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Users\Anderson Oliveira\Downloads\"/>
    </mc:Choice>
  </mc:AlternateContent>
  <xr:revisionPtr revIDLastSave="0" documentId="13_ncr:1_{FC2938F7-95D6-4550-938D-5689011FCB7E}" xr6:coauthVersionLast="36" xr6:coauthVersionMax="36" xr10:uidLastSave="{00000000-0000-0000-0000-000000000000}"/>
  <bookViews>
    <workbookView xWindow="0" yWindow="0" windowWidth="23040" windowHeight="8940" xr2:uid="{00000000-000D-0000-FFFF-FFFF00000000}"/>
  </bookViews>
  <sheets>
    <sheet name="Survey Answers" sheetId="2" r:id="rId1"/>
  </sheets>
  <calcPr calcId="191029"/>
</workbook>
</file>

<file path=xl/calcChain.xml><?xml version="1.0" encoding="utf-8"?>
<calcChain xmlns="http://schemas.openxmlformats.org/spreadsheetml/2006/main">
  <c r="U45" i="2" l="1"/>
  <c r="T45" i="2"/>
  <c r="S45" i="2"/>
  <c r="R45" i="2"/>
  <c r="Q45" i="2"/>
  <c r="P45" i="2"/>
  <c r="O45" i="2"/>
  <c r="N45" i="2"/>
  <c r="M45" i="2"/>
  <c r="L45" i="2"/>
  <c r="K45" i="2"/>
  <c r="J45" i="2"/>
  <c r="I45" i="2"/>
  <c r="H45" i="2"/>
  <c r="G45" i="2"/>
  <c r="D45" i="2"/>
  <c r="C45" i="2"/>
  <c r="U44" i="2"/>
  <c r="T44" i="2"/>
  <c r="S44" i="2"/>
  <c r="R44" i="2"/>
  <c r="Q44" i="2"/>
  <c r="P44" i="2"/>
  <c r="O44" i="2"/>
  <c r="N44" i="2"/>
  <c r="M44" i="2"/>
  <c r="L44" i="2"/>
  <c r="K44" i="2"/>
  <c r="J44" i="2"/>
  <c r="I44" i="2"/>
  <c r="H44" i="2"/>
  <c r="G44" i="2"/>
  <c r="D44" i="2"/>
  <c r="C44" i="2"/>
  <c r="U43" i="2"/>
  <c r="T43" i="2"/>
  <c r="S43" i="2"/>
  <c r="R43" i="2"/>
  <c r="Q43" i="2"/>
  <c r="P43" i="2"/>
  <c r="O43" i="2"/>
  <c r="N43" i="2"/>
  <c r="M43" i="2"/>
  <c r="L43" i="2"/>
  <c r="K43" i="2"/>
  <c r="J43" i="2"/>
  <c r="I43" i="2"/>
  <c r="H43" i="2"/>
  <c r="G43" i="2"/>
  <c r="D43" i="2"/>
  <c r="C43" i="2"/>
  <c r="U42" i="2"/>
  <c r="T42" i="2"/>
  <c r="S42" i="2"/>
  <c r="R42" i="2"/>
  <c r="Q42" i="2"/>
  <c r="P42" i="2"/>
  <c r="O42" i="2"/>
  <c r="N42" i="2"/>
  <c r="M42" i="2"/>
  <c r="L42" i="2"/>
  <c r="K42" i="2"/>
  <c r="J42" i="2"/>
  <c r="I42" i="2"/>
  <c r="H42" i="2"/>
  <c r="G42" i="2"/>
  <c r="D42" i="2"/>
  <c r="C42" i="2"/>
  <c r="U41" i="2"/>
  <c r="T41" i="2"/>
  <c r="S41" i="2"/>
  <c r="R41" i="2"/>
  <c r="Q41" i="2"/>
  <c r="P41" i="2"/>
  <c r="O41" i="2"/>
  <c r="N41" i="2"/>
  <c r="M41" i="2"/>
  <c r="L41" i="2"/>
  <c r="K41" i="2"/>
  <c r="J41" i="2"/>
  <c r="I41" i="2"/>
  <c r="H41" i="2"/>
  <c r="G41" i="2"/>
  <c r="D41" i="2"/>
  <c r="C41" i="2"/>
  <c r="U40" i="2"/>
  <c r="T40" i="2"/>
  <c r="S40" i="2"/>
  <c r="R40" i="2"/>
  <c r="Q40" i="2"/>
  <c r="P40" i="2"/>
  <c r="O40" i="2"/>
  <c r="N40" i="2"/>
  <c r="M40" i="2"/>
  <c r="L40" i="2"/>
  <c r="K40" i="2"/>
  <c r="J40" i="2"/>
  <c r="I40" i="2"/>
  <c r="H40" i="2"/>
  <c r="G40" i="2"/>
  <c r="D40" i="2"/>
  <c r="C40" i="2"/>
  <c r="U39" i="2"/>
  <c r="T39" i="2"/>
  <c r="S39" i="2"/>
  <c r="R39" i="2"/>
  <c r="Q39" i="2"/>
  <c r="P39" i="2"/>
  <c r="O39" i="2"/>
  <c r="N39" i="2"/>
  <c r="M39" i="2"/>
  <c r="L39" i="2"/>
  <c r="K39" i="2"/>
  <c r="J39" i="2"/>
  <c r="I39" i="2"/>
  <c r="H39" i="2"/>
  <c r="G39" i="2"/>
  <c r="D39" i="2"/>
  <c r="C39" i="2"/>
  <c r="U38" i="2"/>
  <c r="T38" i="2"/>
  <c r="S38" i="2"/>
  <c r="R38" i="2"/>
  <c r="Q38" i="2"/>
  <c r="P38" i="2"/>
  <c r="O38" i="2"/>
  <c r="N38" i="2"/>
  <c r="M38" i="2"/>
  <c r="L38" i="2"/>
  <c r="K38" i="2"/>
  <c r="J38" i="2"/>
  <c r="I38" i="2"/>
  <c r="H38" i="2"/>
  <c r="G38" i="2"/>
  <c r="D38" i="2"/>
  <c r="C38" i="2"/>
  <c r="U37" i="2"/>
  <c r="T37" i="2"/>
  <c r="S37" i="2"/>
  <c r="R37" i="2"/>
  <c r="Q37" i="2"/>
  <c r="P37" i="2"/>
  <c r="O37" i="2"/>
  <c r="N37" i="2"/>
  <c r="M37" i="2"/>
  <c r="L37" i="2"/>
  <c r="K37" i="2"/>
  <c r="J37" i="2"/>
  <c r="I37" i="2"/>
  <c r="H37" i="2"/>
  <c r="G37" i="2"/>
  <c r="D37" i="2"/>
  <c r="C37" i="2"/>
  <c r="U36" i="2"/>
  <c r="T36" i="2"/>
  <c r="S36" i="2"/>
  <c r="R36" i="2"/>
  <c r="Q36" i="2"/>
  <c r="P36" i="2"/>
  <c r="O36" i="2"/>
  <c r="N36" i="2"/>
  <c r="M36" i="2"/>
  <c r="L36" i="2"/>
  <c r="K36" i="2"/>
  <c r="J36" i="2"/>
  <c r="I36" i="2"/>
  <c r="H36" i="2"/>
  <c r="G36" i="2"/>
  <c r="D36" i="2"/>
  <c r="C36" i="2"/>
  <c r="U35" i="2"/>
  <c r="T35" i="2"/>
  <c r="S35" i="2"/>
  <c r="R35" i="2"/>
  <c r="Q35" i="2"/>
  <c r="P35" i="2"/>
  <c r="O35" i="2"/>
  <c r="N35" i="2"/>
  <c r="M35" i="2"/>
  <c r="L35" i="2"/>
  <c r="K35" i="2"/>
  <c r="J35" i="2"/>
  <c r="I35" i="2"/>
  <c r="H35" i="2"/>
  <c r="G35" i="2"/>
  <c r="D35" i="2"/>
  <c r="C35" i="2"/>
  <c r="U34" i="2"/>
  <c r="T34" i="2"/>
  <c r="S34" i="2"/>
  <c r="R34" i="2"/>
  <c r="Q34" i="2"/>
  <c r="P34" i="2"/>
  <c r="O34" i="2"/>
  <c r="N34" i="2"/>
  <c r="M34" i="2"/>
  <c r="L34" i="2"/>
  <c r="K34" i="2"/>
  <c r="J34" i="2"/>
  <c r="I34" i="2"/>
  <c r="H34" i="2"/>
  <c r="G34" i="2"/>
  <c r="D34" i="2"/>
  <c r="C34" i="2"/>
  <c r="U33" i="2"/>
  <c r="T33" i="2"/>
  <c r="S33" i="2"/>
  <c r="R33" i="2"/>
  <c r="Q33" i="2"/>
  <c r="P33" i="2"/>
  <c r="O33" i="2"/>
  <c r="N33" i="2"/>
  <c r="M33" i="2"/>
  <c r="L33" i="2"/>
  <c r="K33" i="2"/>
  <c r="J33" i="2"/>
  <c r="I33" i="2"/>
  <c r="H33" i="2"/>
  <c r="G33" i="2"/>
  <c r="D33" i="2"/>
  <c r="C33" i="2"/>
  <c r="U32" i="2"/>
  <c r="T32" i="2"/>
  <c r="S32" i="2"/>
  <c r="R32" i="2"/>
  <c r="Q32" i="2"/>
  <c r="P32" i="2"/>
  <c r="O32" i="2"/>
  <c r="N32" i="2"/>
  <c r="M32" i="2"/>
  <c r="L32" i="2"/>
  <c r="K32" i="2"/>
  <c r="J32" i="2"/>
  <c r="I32" i="2"/>
  <c r="H32" i="2"/>
  <c r="G32" i="2"/>
  <c r="D32" i="2"/>
  <c r="C32" i="2"/>
  <c r="U31" i="2"/>
  <c r="T31" i="2"/>
  <c r="S31" i="2"/>
  <c r="R31" i="2"/>
  <c r="Q31" i="2"/>
  <c r="P31" i="2"/>
  <c r="O31" i="2"/>
  <c r="N31" i="2"/>
  <c r="M31" i="2"/>
  <c r="L31" i="2"/>
  <c r="K31" i="2"/>
  <c r="J31" i="2"/>
  <c r="I31" i="2"/>
  <c r="H31" i="2"/>
  <c r="G31" i="2"/>
  <c r="D31" i="2"/>
  <c r="C31" i="2"/>
  <c r="U30" i="2"/>
  <c r="T30" i="2"/>
  <c r="S30" i="2"/>
  <c r="R30" i="2"/>
  <c r="Q30" i="2"/>
  <c r="P30" i="2"/>
  <c r="O30" i="2"/>
  <c r="N30" i="2"/>
  <c r="M30" i="2"/>
  <c r="L30" i="2"/>
  <c r="K30" i="2"/>
  <c r="J30" i="2"/>
  <c r="I30" i="2"/>
  <c r="H30" i="2"/>
  <c r="G30" i="2"/>
  <c r="D30" i="2"/>
  <c r="C30" i="2"/>
  <c r="U29" i="2"/>
  <c r="T29" i="2"/>
  <c r="S29" i="2"/>
  <c r="R29" i="2"/>
  <c r="Q29" i="2"/>
  <c r="P29" i="2"/>
  <c r="O29" i="2"/>
  <c r="N29" i="2"/>
  <c r="M29" i="2"/>
  <c r="L29" i="2"/>
  <c r="K29" i="2"/>
  <c r="J29" i="2"/>
  <c r="I29" i="2"/>
  <c r="H29" i="2"/>
  <c r="G29" i="2"/>
  <c r="D29" i="2"/>
  <c r="C29" i="2"/>
  <c r="U28" i="2"/>
  <c r="T28" i="2"/>
  <c r="S28" i="2"/>
  <c r="R28" i="2"/>
  <c r="Q28" i="2"/>
  <c r="P28" i="2"/>
  <c r="O28" i="2"/>
  <c r="N28" i="2"/>
  <c r="M28" i="2"/>
  <c r="L28" i="2"/>
  <c r="K28" i="2"/>
  <c r="J28" i="2"/>
  <c r="I28" i="2"/>
  <c r="H28" i="2"/>
  <c r="G28" i="2"/>
  <c r="D28" i="2"/>
  <c r="C28" i="2"/>
  <c r="U27" i="2"/>
  <c r="T27" i="2"/>
  <c r="S27" i="2"/>
  <c r="R27" i="2"/>
  <c r="Q27" i="2"/>
  <c r="P27" i="2"/>
  <c r="O27" i="2"/>
  <c r="N27" i="2"/>
  <c r="M27" i="2"/>
  <c r="L27" i="2"/>
  <c r="K27" i="2"/>
  <c r="J27" i="2"/>
  <c r="I27" i="2"/>
  <c r="H27" i="2"/>
  <c r="G27" i="2"/>
  <c r="D27" i="2"/>
  <c r="C27" i="2"/>
  <c r="U26" i="2"/>
  <c r="T26" i="2"/>
  <c r="S26" i="2"/>
  <c r="R26" i="2"/>
  <c r="Q26" i="2"/>
  <c r="P26" i="2"/>
  <c r="O26" i="2"/>
  <c r="N26" i="2"/>
  <c r="M26" i="2"/>
  <c r="L26" i="2"/>
  <c r="K26" i="2"/>
  <c r="J26" i="2"/>
  <c r="I26" i="2"/>
  <c r="H26" i="2"/>
  <c r="G26" i="2"/>
  <c r="D26" i="2"/>
  <c r="C26" i="2"/>
  <c r="U25" i="2"/>
  <c r="T25" i="2"/>
  <c r="S25" i="2"/>
  <c r="R25" i="2"/>
  <c r="Q25" i="2"/>
  <c r="P25" i="2"/>
  <c r="O25" i="2"/>
  <c r="N25" i="2"/>
  <c r="M25" i="2"/>
  <c r="L25" i="2"/>
  <c r="K25" i="2"/>
  <c r="J25" i="2"/>
  <c r="I25" i="2"/>
  <c r="H25" i="2"/>
  <c r="G25" i="2"/>
  <c r="D25" i="2"/>
  <c r="C25" i="2"/>
  <c r="U24" i="2"/>
  <c r="T24" i="2"/>
  <c r="S24" i="2"/>
  <c r="R24" i="2"/>
  <c r="Q24" i="2"/>
  <c r="P24" i="2"/>
  <c r="O24" i="2"/>
  <c r="N24" i="2"/>
  <c r="M24" i="2"/>
  <c r="L24" i="2"/>
  <c r="K24" i="2"/>
  <c r="J24" i="2"/>
  <c r="I24" i="2"/>
  <c r="H24" i="2"/>
  <c r="G24" i="2"/>
  <c r="D24" i="2"/>
  <c r="C24" i="2"/>
  <c r="U23" i="2"/>
  <c r="T23" i="2"/>
  <c r="S23" i="2"/>
  <c r="R23" i="2"/>
  <c r="Q23" i="2"/>
  <c r="P23" i="2"/>
  <c r="O23" i="2"/>
  <c r="N23" i="2"/>
  <c r="M23" i="2"/>
  <c r="L23" i="2"/>
  <c r="K23" i="2"/>
  <c r="J23" i="2"/>
  <c r="I23" i="2"/>
  <c r="H23" i="2"/>
  <c r="G23" i="2"/>
  <c r="D23" i="2"/>
  <c r="C23" i="2"/>
  <c r="U22" i="2"/>
  <c r="T22" i="2"/>
  <c r="S22" i="2"/>
  <c r="R22" i="2"/>
  <c r="Q22" i="2"/>
  <c r="P22" i="2"/>
  <c r="O22" i="2"/>
  <c r="N22" i="2"/>
  <c r="M22" i="2"/>
  <c r="L22" i="2"/>
  <c r="K22" i="2"/>
  <c r="J22" i="2"/>
  <c r="I22" i="2"/>
  <c r="H22" i="2"/>
  <c r="G22" i="2"/>
  <c r="D22" i="2"/>
  <c r="C22" i="2"/>
  <c r="U21" i="2"/>
  <c r="T21" i="2"/>
  <c r="S21" i="2"/>
  <c r="R21" i="2"/>
  <c r="Q21" i="2"/>
  <c r="P21" i="2"/>
  <c r="O21" i="2"/>
  <c r="N21" i="2"/>
  <c r="M21" i="2"/>
  <c r="L21" i="2"/>
  <c r="K21" i="2"/>
  <c r="J21" i="2"/>
  <c r="I21" i="2"/>
  <c r="H21" i="2"/>
  <c r="G21" i="2"/>
  <c r="D21" i="2"/>
  <c r="C21" i="2"/>
  <c r="U20" i="2"/>
  <c r="T20" i="2"/>
  <c r="S20" i="2"/>
  <c r="R20" i="2"/>
  <c r="Q20" i="2"/>
  <c r="P20" i="2"/>
  <c r="O20" i="2"/>
  <c r="N20" i="2"/>
  <c r="M20" i="2"/>
  <c r="L20" i="2"/>
  <c r="K20" i="2"/>
  <c r="J20" i="2"/>
  <c r="I20" i="2"/>
  <c r="H20" i="2"/>
  <c r="G20" i="2"/>
  <c r="D20" i="2"/>
  <c r="C20" i="2"/>
  <c r="U19" i="2"/>
  <c r="T19" i="2"/>
  <c r="S19" i="2"/>
  <c r="R19" i="2"/>
  <c r="Q19" i="2"/>
  <c r="P19" i="2"/>
  <c r="O19" i="2"/>
  <c r="N19" i="2"/>
  <c r="M19" i="2"/>
  <c r="L19" i="2"/>
  <c r="K19" i="2"/>
  <c r="J19" i="2"/>
  <c r="I19" i="2"/>
  <c r="H19" i="2"/>
  <c r="G19" i="2"/>
  <c r="D19" i="2"/>
  <c r="C19" i="2"/>
  <c r="U18" i="2"/>
  <c r="T18" i="2"/>
  <c r="S18" i="2"/>
  <c r="R18" i="2"/>
  <c r="Q18" i="2"/>
  <c r="P18" i="2"/>
  <c r="O18" i="2"/>
  <c r="N18" i="2"/>
  <c r="M18" i="2"/>
  <c r="L18" i="2"/>
  <c r="K18" i="2"/>
  <c r="J18" i="2"/>
  <c r="I18" i="2"/>
  <c r="H18" i="2"/>
  <c r="G18" i="2"/>
  <c r="D18" i="2"/>
  <c r="C18" i="2"/>
  <c r="U17" i="2"/>
  <c r="T17" i="2"/>
  <c r="S17" i="2"/>
  <c r="R17" i="2"/>
  <c r="Q17" i="2"/>
  <c r="P17" i="2"/>
  <c r="O17" i="2"/>
  <c r="N17" i="2"/>
  <c r="M17" i="2"/>
  <c r="L17" i="2"/>
  <c r="K17" i="2"/>
  <c r="J17" i="2"/>
  <c r="I17" i="2"/>
  <c r="H17" i="2"/>
  <c r="G17" i="2"/>
  <c r="D17" i="2"/>
  <c r="C17" i="2"/>
  <c r="U16" i="2"/>
  <c r="T16" i="2"/>
  <c r="S16" i="2"/>
  <c r="R16" i="2"/>
  <c r="Q16" i="2"/>
  <c r="P16" i="2"/>
  <c r="O16" i="2"/>
  <c r="N16" i="2"/>
  <c r="M16" i="2"/>
  <c r="L16" i="2"/>
  <c r="K16" i="2"/>
  <c r="J16" i="2"/>
  <c r="I16" i="2"/>
  <c r="H16" i="2"/>
  <c r="G16" i="2"/>
  <c r="D16" i="2"/>
  <c r="C16" i="2"/>
  <c r="U15" i="2"/>
  <c r="T15" i="2"/>
  <c r="S15" i="2"/>
  <c r="R15" i="2"/>
  <c r="Q15" i="2"/>
  <c r="P15" i="2"/>
  <c r="O15" i="2"/>
  <c r="N15" i="2"/>
  <c r="M15" i="2"/>
  <c r="L15" i="2"/>
  <c r="K15" i="2"/>
  <c r="J15" i="2"/>
  <c r="I15" i="2"/>
  <c r="H15" i="2"/>
  <c r="G15" i="2"/>
  <c r="D15" i="2"/>
  <c r="C15" i="2"/>
  <c r="U14" i="2"/>
  <c r="T14" i="2"/>
  <c r="S14" i="2"/>
  <c r="R14" i="2"/>
  <c r="Q14" i="2"/>
  <c r="P14" i="2"/>
  <c r="O14" i="2"/>
  <c r="N14" i="2"/>
  <c r="M14" i="2"/>
  <c r="L14" i="2"/>
  <c r="K14" i="2"/>
  <c r="J14" i="2"/>
  <c r="I14" i="2"/>
  <c r="H14" i="2"/>
  <c r="G14" i="2"/>
  <c r="D14" i="2"/>
  <c r="C14" i="2"/>
  <c r="U13" i="2"/>
  <c r="T13" i="2"/>
  <c r="S13" i="2"/>
  <c r="R13" i="2"/>
  <c r="Q13" i="2"/>
  <c r="P13" i="2"/>
  <c r="O13" i="2"/>
  <c r="N13" i="2"/>
  <c r="M13" i="2"/>
  <c r="L13" i="2"/>
  <c r="K13" i="2"/>
  <c r="J13" i="2"/>
  <c r="I13" i="2"/>
  <c r="H13" i="2"/>
  <c r="G13" i="2"/>
  <c r="D13" i="2"/>
  <c r="C13" i="2"/>
  <c r="U12" i="2"/>
  <c r="T12" i="2"/>
  <c r="S12" i="2"/>
  <c r="R12" i="2"/>
  <c r="Q12" i="2"/>
  <c r="P12" i="2"/>
  <c r="O12" i="2"/>
  <c r="N12" i="2"/>
  <c r="M12" i="2"/>
  <c r="L12" i="2"/>
  <c r="K12" i="2"/>
  <c r="J12" i="2"/>
  <c r="I12" i="2"/>
  <c r="H12" i="2"/>
  <c r="G12" i="2"/>
  <c r="D12" i="2"/>
  <c r="C12" i="2"/>
  <c r="U11" i="2"/>
  <c r="T11" i="2"/>
  <c r="S11" i="2"/>
  <c r="R11" i="2"/>
  <c r="Q11" i="2"/>
  <c r="P11" i="2"/>
  <c r="O11" i="2"/>
  <c r="N11" i="2"/>
  <c r="M11" i="2"/>
  <c r="L11" i="2"/>
  <c r="K11" i="2"/>
  <c r="J11" i="2"/>
  <c r="I11" i="2"/>
  <c r="H11" i="2"/>
  <c r="G11" i="2"/>
  <c r="D11" i="2"/>
  <c r="C11" i="2"/>
  <c r="U10" i="2"/>
  <c r="T10" i="2"/>
  <c r="S10" i="2"/>
  <c r="R10" i="2"/>
  <c r="Q10" i="2"/>
  <c r="P10" i="2"/>
  <c r="O10" i="2"/>
  <c r="N10" i="2"/>
  <c r="M10" i="2"/>
  <c r="L10" i="2"/>
  <c r="K10" i="2"/>
  <c r="J10" i="2"/>
  <c r="I10" i="2"/>
  <c r="H10" i="2"/>
  <c r="G10" i="2"/>
  <c r="D10" i="2"/>
  <c r="C10" i="2"/>
  <c r="U9" i="2"/>
  <c r="T9" i="2"/>
  <c r="S9" i="2"/>
  <c r="R9" i="2"/>
  <c r="Q9" i="2"/>
  <c r="P9" i="2"/>
  <c r="O9" i="2"/>
  <c r="N9" i="2"/>
  <c r="M9" i="2"/>
  <c r="L9" i="2"/>
  <c r="K9" i="2"/>
  <c r="J9" i="2"/>
  <c r="I9" i="2"/>
  <c r="H9" i="2"/>
  <c r="G9" i="2"/>
  <c r="D9" i="2"/>
  <c r="C9" i="2"/>
  <c r="U8" i="2"/>
  <c r="T8" i="2"/>
  <c r="S8" i="2"/>
  <c r="R8" i="2"/>
  <c r="Q8" i="2"/>
  <c r="P8" i="2"/>
  <c r="O8" i="2"/>
  <c r="N8" i="2"/>
  <c r="M8" i="2"/>
  <c r="L8" i="2"/>
  <c r="K8" i="2"/>
  <c r="J8" i="2"/>
  <c r="I8" i="2"/>
  <c r="H8" i="2"/>
  <c r="G8" i="2"/>
  <c r="D8" i="2"/>
  <c r="C8" i="2"/>
  <c r="U7" i="2"/>
  <c r="T7" i="2"/>
  <c r="S7" i="2"/>
  <c r="R7" i="2"/>
  <c r="Q7" i="2"/>
  <c r="P7" i="2"/>
  <c r="O7" i="2"/>
  <c r="N7" i="2"/>
  <c r="M7" i="2"/>
  <c r="L7" i="2"/>
  <c r="K7" i="2"/>
  <c r="J7" i="2"/>
  <c r="I7" i="2"/>
  <c r="H7" i="2"/>
  <c r="G7" i="2"/>
  <c r="D7" i="2"/>
  <c r="C7" i="2"/>
  <c r="U6" i="2"/>
  <c r="T6" i="2"/>
  <c r="S6" i="2"/>
  <c r="R6" i="2"/>
  <c r="Q6" i="2"/>
  <c r="P6" i="2"/>
  <c r="O6" i="2"/>
  <c r="N6" i="2"/>
  <c r="M6" i="2"/>
  <c r="L6" i="2"/>
  <c r="K6" i="2"/>
  <c r="J6" i="2"/>
  <c r="I6" i="2"/>
  <c r="H6" i="2"/>
  <c r="G6" i="2"/>
  <c r="D6" i="2"/>
  <c r="C6" i="2"/>
  <c r="U5" i="2"/>
  <c r="T5" i="2"/>
  <c r="S5" i="2"/>
  <c r="R5" i="2"/>
  <c r="Q5" i="2"/>
  <c r="P5" i="2"/>
  <c r="O5" i="2"/>
  <c r="N5" i="2"/>
  <c r="M5" i="2"/>
  <c r="L5" i="2"/>
  <c r="K5" i="2"/>
  <c r="J5" i="2"/>
  <c r="I5" i="2"/>
  <c r="H5" i="2"/>
  <c r="G5" i="2"/>
  <c r="D5" i="2"/>
  <c r="C5" i="2"/>
  <c r="U4" i="2"/>
  <c r="T4" i="2"/>
  <c r="S4" i="2"/>
  <c r="R4" i="2"/>
  <c r="Q4" i="2"/>
  <c r="P4" i="2"/>
  <c r="O4" i="2"/>
  <c r="N4" i="2"/>
  <c r="M4" i="2"/>
  <c r="L4" i="2"/>
  <c r="K4" i="2"/>
  <c r="J4" i="2"/>
  <c r="I4" i="2"/>
  <c r="H4" i="2"/>
  <c r="G4" i="2"/>
  <c r="D4" i="2"/>
  <c r="C4" i="2"/>
  <c r="U3" i="2"/>
  <c r="T3" i="2"/>
  <c r="S3" i="2"/>
  <c r="R3" i="2"/>
  <c r="Q3" i="2"/>
  <c r="P3" i="2"/>
  <c r="O3" i="2"/>
  <c r="N3" i="2"/>
  <c r="M3" i="2"/>
  <c r="L3" i="2"/>
  <c r="K3" i="2"/>
  <c r="J3" i="2"/>
  <c r="I3" i="2"/>
  <c r="H3" i="2"/>
  <c r="G3" i="2"/>
  <c r="D3" i="2"/>
  <c r="C3" i="2"/>
  <c r="U2" i="2"/>
  <c r="T2" i="2"/>
  <c r="S2" i="2"/>
  <c r="R2" i="2"/>
  <c r="Q2" i="2"/>
  <c r="P2" i="2"/>
  <c r="O2" i="2"/>
  <c r="N2" i="2"/>
  <c r="M2" i="2"/>
  <c r="L2" i="2"/>
  <c r="K2" i="2"/>
  <c r="J2" i="2"/>
  <c r="I2" i="2"/>
  <c r="H2" i="2"/>
  <c r="G2" i="2"/>
  <c r="D2" i="2"/>
  <c r="C2" i="2"/>
  <c r="U1" i="2"/>
  <c r="T1" i="2"/>
  <c r="S1" i="2"/>
  <c r="R1" i="2"/>
  <c r="Q1" i="2"/>
  <c r="P1" i="2"/>
  <c r="O1" i="2"/>
  <c r="N1" i="2"/>
  <c r="M1" i="2"/>
  <c r="L1" i="2"/>
  <c r="K1" i="2"/>
  <c r="J1" i="2"/>
  <c r="I1" i="2"/>
  <c r="H1" i="2"/>
  <c r="G1" i="2"/>
  <c r="F1" i="2"/>
  <c r="E1" i="2"/>
  <c r="D1" i="2"/>
  <c r="C1" i="2"/>
</calcChain>
</file>

<file path=xl/sharedStrings.xml><?xml version="1.0" encoding="utf-8"?>
<sst xmlns="http://schemas.openxmlformats.org/spreadsheetml/2006/main" count="47" uniqueCount="47">
  <si>
    <t>ID</t>
  </si>
  <si>
    <t>04</t>
  </si>
  <si>
    <t>Age</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</si>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</sst>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m"/>
  </numFmts>
  <fonts count="5" x14ac:knownFonts="1">
    <font>
      <sz val="10"/>
      <color rgb="FF000000"/>
      <name val="Arial"/>
      <scheme val="minor"/>
    </font>
    <font>
      <b/>
      <sz val="10"/>
      <color rgb="FF000000"/>
      <name val="Arial"/>
    </font>
    <font>
      <b/>
      <sz val="10"/>
      <color theme="1"/>
      <name val="Arial"/>
      <scheme val="minor"/>
    </font>
    <font>
      <sz val="10"/>
      <color rgb="FF000000"/>
      <name val="Arial"/>
    </font>
    <font>
      <sz val="10"/>
      <color theme="1"/>
      <name val="Arial"/>
      <scheme val="minor"/>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13">
    <xf numFmtId="0" fontId="0" fillId="0" borderId="0" xfId="0" applyFont="1" applyAlignment="1"/>
    <xf numFmtId="0" fontId="4" fillId="0" borderId="0" xfId="0" applyFont="1" applyAlignment="1"/>
    <xf numFmtId="0" fontId="1" fillId="2" borderId="0" xfId="0" applyFont="1" applyFill="1" applyAlignment="1">
      <alignment horizontal="left"/>
    </xf>
    <xf numFmtId="0" fontId="1" fillId="2" borderId="0" xfId="0" applyFont="1" applyFill="1" applyAlignment="1"/>
    <xf numFmtId="0" fontId="2" fillId="2" borderId="0" xfId="0" applyFont="1" applyFill="1"/>
    <xf numFmtId="0" fontId="1" fillId="0" borderId="0" xfId="0" applyFont="1" applyAlignment="1">
      <alignment horizontal="left"/>
    </xf>
    <xf numFmtId="0" fontId="3" fillId="0" borderId="0" xfId="0" applyFont="1" applyAlignment="1">
      <alignment horizontal="right"/>
    </xf>
    <xf numFmtId="0" fontId="4" fillId="0" borderId="0" xfId="0" applyFont="1"/>
    <xf numFmtId="0" fontId="3" fillId="0" borderId="0" xfId="0" quotePrefix="1" applyFont="1" applyAlignment="1"/>
    <xf numFmtId="0" fontId="3" fillId="0" borderId="0" xfId="0" applyFont="1" applyAlignment="1">
      <alignment horizontal="right"/>
    </xf>
    <xf numFmtId="165" fontId="3" fillId="0" borderId="0" xfId="0" applyNumberFormat="1" applyFont="1" applyAlignment="1">
      <alignment horizontal="right"/>
    </xf>
    <xf numFmtId="0" fontId="3" fillId="0" borderId="0" xfId="0" applyFont="1" applyAlignme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0"/>
  <sheetViews>
    <sheetView tabSelected="1" topLeftCell="I34" workbookViewId="0">
      <selection activeCell="U1" sqref="U1"/>
    </sheetView>
  </sheetViews>
  <sheetFormatPr defaultColWidth="12.6640625" defaultRowHeight="15.75" customHeight="1" x14ac:dyDescent="0.25"/>
  <cols>
    <col min="1" max="1" width="7" customWidth="1"/>
    <col min="2" max="2" width="8.109375" customWidth="1"/>
    <col min="4" max="4" width="19.109375" customWidth="1"/>
    <col min="21" max="21" width="255.77734375" bestFit="1" customWidth="1"/>
  </cols>
  <sheetData>
    <row r="1" spans="1:24" x14ac:dyDescent="0.25">
      <c r="A1" s="2" t="s">
        <v>0</v>
      </c>
      <c r="B1" s="3" t="s">
        <v>2</v>
      </c>
      <c r="C1" s="4" t="str">
        <f ca="1">IFERROR(__xludf.DUMMYFUNCTION("GoogleTranslate(Main!E1, ""pt"", ""en"")"),"Gender")</f>
        <v>Gender</v>
      </c>
      <c r="D1" s="4" t="str">
        <f ca="1">IFERROR(__xludf.DUMMYFUNCTION("GoogleTranslate(Main!F1, ""pt"", ""en"")"),"Higher academic degree")</f>
        <v>Higher academic degree</v>
      </c>
      <c r="E1" s="4" t="str">
        <f ca="1">IFERROR(__xludf.DUMMYFUNCTION("GoogleTranslate(Main!G1, ""pt"", ""en"")"),"Years of experience in software development")</f>
        <v>Years of experience in software development</v>
      </c>
      <c r="F1" s="4" t="str">
        <f ca="1">IFERROR(__xludf.DUMMYFUNCTION("GoogleTranslate(Main!H1, ""pt"", ""en"")"),"Number of software development projects that participated")</f>
        <v>Number of software development projects that participated</v>
      </c>
      <c r="G1" s="4" t="str">
        <f ca="1">IFERROR(__xludf.DUMMYFUNCTION("GoogleTranslate(Main!I1, ""pt"", ""en"")"),"In your opinion, what is your level of experience with software development?")</f>
        <v>In your opinion, what is your level of experience with software development?</v>
      </c>
      <c r="H1" s="4" t="str">
        <f ca="1">IFERROR(__xludf.DUMMYFUNCTION("GoogleTranslate(Main!J1, ""pt"", ""en"")"),"Current function in the company:")</f>
        <v>Current function in the company:</v>
      </c>
      <c r="I1" s="4" t="str">
        <f ca="1">IFERROR(__xludf.DUMMYFUNCTION("GoogleTranslate(Main!K1, ""pt"", ""en"")"),"Programming languages ​​that you are proficient")</f>
        <v>Programming languages ​​that you are proficient</v>
      </c>
      <c r="J1" s="4" t="str">
        <f ca="1">IFERROR(__xludf.DUMMYFUNCTION("GoogleTranslate(Main!L1, ""pt"", ""en"")"),"2.1 Describe cases where you have been involved in discussions on non -functional requirements (NFRs) in software development")</f>
        <v>2.1 Describe cases where you have been involved in discussions on non -functional requirements (NFRs) in software development</v>
      </c>
      <c r="K1" s="4" t="str">
        <f ca="1">IFERROR(__xludf.DUMMYFUNCTION("GoogleTranslate(Main!M1, ""pt"", ""en"")"),"2.2 What leads you to participate actively when you find discussions related to RNFS in your project (select everyone who applies)")</f>
        <v>2.2 What leads you to participate actively when you find discussions related to RNFS in your project (select everyone who applies)</v>
      </c>
      <c r="L1" s="4" t="str">
        <f ca="1">IFERROR(__xludf.DUMMYFUNCTION("GoogleTranslate(Main!N1, ""pt"", ""en"")"),"2.3 Which RNFs do you normally discuss during software development? (Select everyone who applies)")</f>
        <v>2.3 Which RNFs do you normally discuss during software development? (Select everyone who applies)</v>
      </c>
      <c r="M1" s="4" t="str">
        <f ca="1">IFERROR(__xludf.DUMMYFUNCTION("GoogleTranslate(Main!O1, ""pt"", ""en"")"),"2.4 What is your level of contribution to the elicitation and specification of RNFS?")</f>
        <v>2.4 What is your level of contribution to the elicitation and specification of RNFS?</v>
      </c>
      <c r="N1" s="4" t="str">
        <f ca="1">IFERROR(__xludf.DUMMYFUNCTION("GoogleTranslate(Main!P1, ""pt"", ""en"")"),"2.5 When dealing with problems related to RNFS, how do you access the necessary information? (Select everyone who applies)")</f>
        <v>2.5 When dealing with problems related to RNFS, how do you access the necessary information? (Select everyone who applies)</v>
      </c>
      <c r="O1" s="4" t="str">
        <f ca="1">IFERROR(__xludf.DUMMYFUNCTION("GoogleTranslate(Main!Q1, ""pt"", ""en"")"),"2.6 According to my experience, non -functional requirements (RNFS) are crucial to project success.")</f>
        <v>2.6 According to my experience, non -functional requirements (RNFS) are crucial to project success.</v>
      </c>
      <c r="P1" s="4" t="str">
        <f ca="1">IFERROR(__xludf.DUMMYFUNCTION("GoogleTranslate(Main!R1, ""pt"", ""en"")"),"2.7 At what stage of software development did you observe discussions about NFRs? (Select all that apply)")</f>
        <v>2.7 At what stage of software development did you observe discussions about NFRs? (Select all that apply)</v>
      </c>
      <c r="Q1" s="4" t="str">
        <f ca="1">IFERROR(__xludf.DUMMYFUNCTION("GoogleTranslate(Main!S1, ""pt"", ""en"")"),"2.8 In the software projects you participated in, there were experts dedicated to treating issues associated with non -functional requirements (RNFS) within the system? If such experts existed, did they play a distinct role within the system? Please detai"&amp;"l.")</f>
        <v>2.8 In the software projects you participated in, there were experts dedicated to treating issues associated with non -functional requirements (RNFS) within the system? If such experts existed, did they play a distinct role within the system? Please detail.</v>
      </c>
      <c r="R1" s="4" t="str">
        <f ca="1">IFERROR(__xludf.DUMMYFUNCTION("GoogleTranslate(Main!T1, ""pt"", ""en"")"),"3.1 What strategies do you use to ensure that RNFs are considered properly during development? (Select everyone who applies)")</f>
        <v>3.1 What strategies do you use to ensure that RNFs are considered properly during development? (Select everyone who applies)</v>
      </c>
      <c r="S1" s="4" t="str">
        <f ca="1">IFERROR(__xludf.DUMMYFUNCTION("GoogleTranslate(Main!U1, ""pt"", ""en"")"),"3.1.1 Explain how and when this happens:")</f>
        <v>3.1.1 Explain how and when this happens:</v>
      </c>
      <c r="T1" s="4" t="str">
        <f ca="1">IFERROR(__xludf.DUMMYFUNCTION("GoogleTranslate(Main!V1, ""pt"", ""en"")"),"3.2 During non -functional requirements discussions in open source systems, what challenges you have faced (select everyone who applies)")</f>
        <v>3.2 During non -functional requirements discussions in open source systems, what challenges you have faced (select everyone who applies)</v>
      </c>
      <c r="U1" s="4" t="str">
        <f ca="1">IFERROR(__xludf.DUMMYFUNCTION("GoogleTranslate(Main!W1, ""pt"", ""en"")"),"4.1 Did you receive or gave any useful suggestions on how to approach RNFs in the projects you participated in? Describe how this happened and how you influenced your approach to dealing with RNFs.")</f>
        <v>4.1 Did you receive or gave any useful suggestions on how to approach RNFs in the projects you participated in? Describe how this happened and how you influenced your approach to dealing with RNFs.</v>
      </c>
      <c r="V1" s="4"/>
      <c r="W1" s="4"/>
      <c r="X1" s="4"/>
    </row>
    <row r="2" spans="1:24" x14ac:dyDescent="0.25">
      <c r="A2" s="5" t="s">
        <v>3</v>
      </c>
      <c r="B2" s="6">
        <v>32</v>
      </c>
      <c r="C2" s="7" t="str">
        <f ca="1">IFERROR(__xludf.DUMMYFUNCTION("GoogleTranslate(Main!E2, ""pt"", ""en"")"),"Masculine")</f>
        <v>Masculine</v>
      </c>
      <c r="D2" s="7" t="str">
        <f ca="1">IFERROR(__xludf.DUMMYFUNCTION("GoogleTranslate(Main!F2, ""pt"", ""en"")"),"Master's degree")</f>
        <v>Master's degree</v>
      </c>
      <c r="E2" s="6">
        <v>10</v>
      </c>
      <c r="F2" s="6">
        <v>6</v>
      </c>
      <c r="G2" s="7" t="str">
        <f ca="1">IFERROR(__xludf.DUMMYFUNCTION("GoogleTranslate(Main!I2, ""pt"", ""en"")"),"High")</f>
        <v>High</v>
      </c>
      <c r="H2" s="7" t="str">
        <f ca="1">IFERROR(__xludf.DUMMYFUNCTION("GoogleTranslate(Main!J2, ""pt"", ""en"")"),"Software engineer")</f>
        <v>Software engineer</v>
      </c>
      <c r="I2" s="7" t="str">
        <f ca="1">IFERROR(__xludf.DUMMYFUNCTION("GoogleTranslate(Main!K2, ""pt"", ""en"")"),"Java, Python")</f>
        <v>Java, Python</v>
      </c>
      <c r="J2" s="7" t="str">
        <f ca="1">IFERROR(__xludf.DUMMYFUNCTION("GoogleTranslate(Main!L2, ""pt"", ""en"")"),"Discussions usually focus on issues that impact performance and usability.")</f>
        <v>Discussions usually focus on issues that impact performance and usability.</v>
      </c>
      <c r="K2" s="7" t="str">
        <f ca="1">IFERROR(__xludf.DUMMYFUNCTION("GoogleTranslate(Main!M2, ""pt"", ""en"")"),"Impact on the quality of the software you use, alignment with the project objectives, potential risks of NFRs are not addressed")</f>
        <v>Impact on the quality of the software you use, alignment with the project objectives, potential risks of NFRs are not addressed</v>
      </c>
      <c r="L2" s="7" t="str">
        <f ca="1">IFERROR(__xludf.DUMMYFUNCTION("GoogleTranslate(Main!N2, ""pt"", ""en"")"),"Performance: Speed, Response Capacity and Software Efficiency., Scalability: Ability to deal with increased workload or user traffic., Safety: Measures to protect data and prevent unauthorized access. of use and ease of interaction., Maintenance: Ease of "&amp;"making updates and changes in the software.")</f>
        <v>Performance: Speed, Response Capacity and Software Efficiency., Scalability: Ability to deal with increased workload or user traffic., Safety: Measures to protect data and prevent unauthorized access. of use and ease of interaction., Maintenance: Ease of making updates and changes in the software.</v>
      </c>
      <c r="M2" s="7" t="str">
        <f ca="1">IFERROR(__xludf.DUMMYFUNCTION("GoogleTranslate(Main!O2, ""pt"", ""en"")"),"High")</f>
        <v>High</v>
      </c>
      <c r="N2" s="7" t="str">
        <f ca="1">IFERROR(__xludf.DUMMYFUNCTION("GoogleTranslate(Main!P2, ""pt"", ""en"")"),"Requirements documentation, chat platforms with the team (eg Teams, Slack, Discord), meetings, with other colleagues (more experienced)")</f>
        <v>Requirements documentation, chat platforms with the team (eg Teams, Slack, Discord), meetings, with other colleagues (more experienced)</v>
      </c>
      <c r="O2" s="7" t="str">
        <f ca="1">IFERROR(__xludf.DUMMYFUNCTION("GoogleTranslate(Main!Q2, ""pt"", ""en"")"),"I agree strongly")</f>
        <v>I agree strongly</v>
      </c>
      <c r="P2" s="7" t="str">
        <f ca="1">IFERROR(__xludf.DUMMYFUNCTION("GoogleTranslate(Main!R2, ""pt"", ""en"")"),"Initial phase (for example, the design phase), development phase, testing phase, iteratively during the entire software life cycle")</f>
        <v>Initial phase (for example, the design phase), development phase, testing phase, iteratively during the entire software life cycle</v>
      </c>
      <c r="Q2" s="7" t="str">
        <f ca="1">IFERROR(__xludf.DUMMYFUNCTION("GoogleTranslate(Main!S2, ""pt"", ""en"")"),"No")</f>
        <v>No</v>
      </c>
      <c r="R2" s="7" t="str">
        <f ca="1">IFERROR(__xludf.DUMMYFUNCTION("GoogleTranslate(Main!T2, ""pt"", ""en"")"),"Review and refine RNFS definitions at the beginning of the development process, collaborate with other team members to collect insights, integrating RNFS testing into the continuous integration pipeline")</f>
        <v>Review and refine RNFS definitions at the beginning of the development process, collaborate with other team members to collect insights, integrating RNFS testing into the continuous integration pipeline</v>
      </c>
      <c r="S2" s="7" t="str">
        <f ca="1">IFERROR(__xludf.DUMMYFUNCTION("GoogleTranslate(Main!U2, ""pt"", ""en"")"),"Throughout the project")</f>
        <v>Throughout the project</v>
      </c>
      <c r="T2" s="7" t="str">
        <f ca="1">IFERROR(__xludf.DUMMYFUNCTION("GoogleTranslate(Main!V2, ""pt"", ""en"")"),"None")</f>
        <v>None</v>
      </c>
      <c r="U2" s="7" t="str">
        <f ca="1">IFERROR(__xludf.DUMMYFUNCTION("GoogleTranslate(Main!W2, ""pt"", ""en"")"),"The suggestion I give is that RNFs should be treated with as much priority as other requirements, should always be planned in advance and constantly revised throughout the project")</f>
        <v>The suggestion I give is that RNFs should be treated with as much priority as other requirements, should always be planned in advance and constantly revised throughout the project</v>
      </c>
    </row>
    <row r="3" spans="1:24" x14ac:dyDescent="0.25">
      <c r="A3" s="5" t="s">
        <v>4</v>
      </c>
      <c r="B3" s="6">
        <v>47</v>
      </c>
      <c r="C3" s="7" t="str">
        <f ca="1">IFERROR(__xludf.DUMMYFUNCTION("GoogleTranslate(Main!E3, ""pt"", ""en"")"),"Masculine")</f>
        <v>Masculine</v>
      </c>
      <c r="D3" s="7" t="str">
        <f ca="1">IFERROR(__xludf.DUMMYFUNCTION("GoogleTranslate(Main!F3, ""pt"", ""en"")"),"Master's degree")</f>
        <v>Master's degree</v>
      </c>
      <c r="E3" s="6">
        <v>10</v>
      </c>
      <c r="F3" s="6">
        <v>20</v>
      </c>
      <c r="G3" s="7" t="str">
        <f ca="1">IFERROR(__xludf.DUMMYFUNCTION("GoogleTranslate(Main!I3, ""pt"", ""en"")"),"High")</f>
        <v>High</v>
      </c>
      <c r="H3" s="7" t="str">
        <f ca="1">IFERROR(__xludf.DUMMYFUNCTION("GoogleTranslate(Main!J3, ""pt"", ""en"")"),"teacher")</f>
        <v>teacher</v>
      </c>
      <c r="I3" s="7" t="str">
        <f ca="1">IFERROR(__xludf.DUMMYFUNCTION("GoogleTranslate(Main!K3, ""pt"", ""en"")"),"Java")</f>
        <v>Java</v>
      </c>
      <c r="J3" s="7" t="str">
        <f ca="1">IFERROR(__xludf.DUMMYFUNCTION("GoogleTranslate(Main!L3, ""pt"", ""en"")"),"Didactic education, technical visits, workshops, lectures")</f>
        <v>Didactic education, technical visits, workshops, lectures</v>
      </c>
      <c r="K3" s="7" t="str">
        <f ca="1">IFERROR(__xludf.DUMMYFUNCTION("GoogleTranslate(Main!M3, ""pt"", ""en"")"),"Impact on the quality of the software you use, potential risks of NFRs are not addressed, learning opportunity")</f>
        <v>Impact on the quality of the software you use, potential risks of NFRs are not addressed, learning opportunity</v>
      </c>
      <c r="L3" s="7" t="str">
        <f ca="1">IFERROR(__xludf.DUMMYFUNCTION("GoogleTranslate(Main!N3, ""pt"", ""en"")"),"Performance: Speed, Response Capacity and Software Efficiency., Scalability: Ability to deal with increased workload or users' traffic. data and prevent unauthorized access.")</f>
        <v>Performance: Speed, Response Capacity and Software Efficiency., Scalability: Ability to deal with increased workload or users' traffic. data and prevent unauthorized access.</v>
      </c>
      <c r="M3" s="7" t="str">
        <f ca="1">IFERROR(__xludf.DUMMYFUNCTION("GoogleTranslate(Main!O3, ""pt"", ""en"")"),"Low")</f>
        <v>Low</v>
      </c>
      <c r="N3" s="7" t="str">
        <f ca="1">IFERROR(__xludf.DUMMYFUNCTION("GoogleTranslate(Main!P3, ""pt"", ""en"")"),"Requirements documentation, code comments, meetings")</f>
        <v>Requirements documentation, code comments, meetings</v>
      </c>
      <c r="O3" s="7" t="str">
        <f ca="1">IFERROR(__xludf.DUMMYFUNCTION("GoogleTranslate(Main!Q3, ""pt"", ""en"")"),"I agree")</f>
        <v>I agree</v>
      </c>
      <c r="P3" s="7" t="str">
        <f ca="1">IFERROR(__xludf.DUMMYFUNCTION("GoogleTranslate(Main!R3, ""pt"", ""en"")"),"Iteratively during the entire software life cycle")</f>
        <v>Iteratively during the entire software life cycle</v>
      </c>
      <c r="Q3" s="7" t="str">
        <f ca="1">IFERROR(__xludf.DUMMYFUNCTION("GoogleTranslate(Main!S3, ""pt"", ""en"")"),"No.")</f>
        <v>No.</v>
      </c>
      <c r="R3" s="7" t="str">
        <f ca="1">IFERROR(__xludf.DUMMYFUNCTION("GoogleTranslate(Main!T3, ""pt"", ""en"")"),"Revise and refine RNFS definitions at the beginning of the development process")</f>
        <v>Revise and refine RNFS definitions at the beginning of the development process</v>
      </c>
      <c r="S3" s="7" t="str">
        <f ca="1">IFERROR(__xludf.DUMMYFUNCTION("GoogleTranslate(Main!U3, ""pt"", ""en"")"),"According to the data collection, considering the size of the project, requirements and the development team, it is analyzed if the RNFs agree.")</f>
        <v>According to the data collection, considering the size of the project, requirements and the development team, it is analyzed if the RNFs agree.</v>
      </c>
      <c r="T3" s="7" t="str">
        <f ca="1">IFERROR(__xludf.DUMMYFUNCTION("GoogleTranslate(Main!V3, ""pt"", ""en"")"),"Ambiguity in defining and articulating RNFS clearly, a limited understanding of the technical implications of RNFs")</f>
        <v>Ambiguity in defining and articulating RNFS clearly, a limited understanding of the technical implications of RNFs</v>
      </c>
      <c r="U3" s="7" t="str">
        <f ca="1">IFERROR(__xludf.DUMMYFUNCTION("GoogleTranslate(Main!W3, ""pt"", ""en"")"),"Yes, in the initial validation of the project, one of the validators, according to the environment in which the project would be implemented, cited several possible problems that could occur and affect the operation of the software.")</f>
        <v>Yes, in the initial validation of the project, one of the validators, according to the environment in which the project would be implemented, cited several possible problems that could occur and affect the operation of the software.</v>
      </c>
    </row>
    <row r="4" spans="1:24" x14ac:dyDescent="0.25">
      <c r="A4" s="5" t="s">
        <v>5</v>
      </c>
      <c r="B4" s="6">
        <v>37</v>
      </c>
      <c r="C4" s="7" t="str">
        <f ca="1">IFERROR(__xludf.DUMMYFUNCTION("GoogleTranslate(Main!E4, ""pt"", ""en"")"),"Masculine")</f>
        <v>Masculine</v>
      </c>
      <c r="D4" s="7" t="str">
        <f ca="1">IFERROR(__xludf.DUMMYFUNCTION("GoogleTranslate(Main!F4, ""pt"", ""en"")"),"Bachelor")</f>
        <v>Bachelor</v>
      </c>
      <c r="E4" s="6">
        <v>12</v>
      </c>
      <c r="F4" s="6">
        <v>12</v>
      </c>
      <c r="G4" s="7" t="str">
        <f ca="1">IFERROR(__xludf.DUMMYFUNCTION("GoogleTranslate(Main!I4, ""pt"", ""en"")"),"High")</f>
        <v>High</v>
      </c>
      <c r="H4" s="7" t="str">
        <f ca="1">IFERROR(__xludf.DUMMYFUNCTION("GoogleTranslate(Main!J4, ""pt"", ""en"")"),"Software engineer")</f>
        <v>Software engineer</v>
      </c>
      <c r="I4" s="7" t="str">
        <f ca="1">IFERROR(__xludf.DUMMYFUNCTION("GoogleTranslate(Main!K4, ""pt"", ""en"")"),"Java")</f>
        <v>Java</v>
      </c>
      <c r="J4" s="7" t="str">
        <f ca="1">IFERROR(__xludf.DUMMYFUNCTION("GoogleTranslate(Main!L4, ""pt"", ""en"")"),"Cases where performance optimization, safety or reduction in infrastructure costs were required")</f>
        <v>Cases where performance optimization, safety or reduction in infrastructure costs were required</v>
      </c>
      <c r="K4" s="7" t="str">
        <f ca="1">IFERROR(__xludf.DUMMYFUNCTION("GoogleTranslate(Main!M4, ""pt"", ""en"")"),"Impact on the quality of the software you use")</f>
        <v>Impact on the quality of the software you use</v>
      </c>
      <c r="L4" s="7" t="str">
        <f ca="1">IFERROR(__xludf.DUMMYFUNCTION("GoogleTranslate(Main!N4, ""pt"", ""en"")"),"Performance: Speed, Response Capacity and Efficiency of the Software., Scalability: Ability to deal with increased workload or users' traffic., Robustness: software capacity to recover under various conditions. System and accessibility to users., Security"&amp;": Measures to protect data and prevent unauthorized access., Usability: Ease of use and ease of interaction., Maintenance: Ease of making updates and changes in software.")</f>
        <v>Performance: Speed, Response Capacity and Efficiency of the Software., Scalability: Ability to deal with increased workload or users' traffic., Robustness: software capacity to recover under various conditions. System and accessibility to users., Security: Measures to protect data and prevent unauthorized access., Usability: Ease of use and ease of interaction., Maintenance: Ease of making updates and changes in software.</v>
      </c>
      <c r="M4" s="7" t="str">
        <f ca="1">IFERROR(__xludf.DUMMYFUNCTION("GoogleTranslate(Main!O4, ""pt"", ""en"")"),"High")</f>
        <v>High</v>
      </c>
      <c r="N4" s="7" t="str">
        <f ca="1">IFERROR(__xludf.DUMMYFUNCTION("GoogleTranslate(Main!P4, ""pt"", ""en"")"),"Requirements documentation, chat platforms with the team (eg Teams, Slack, Discord), discussions on version platforms (for example, issues and pull Requests), meetings, with other colleagues (more experienced)")</f>
        <v>Requirements documentation, chat platforms with the team (eg Teams, Slack, Discord), discussions on version platforms (for example, issues and pull Requests), meetings, with other colleagues (more experienced)</v>
      </c>
      <c r="O4" s="7" t="str">
        <f ca="1">IFERROR(__xludf.DUMMYFUNCTION("GoogleTranslate(Main!Q4, ""pt"", ""en"")"),"I agree strongly")</f>
        <v>I agree strongly</v>
      </c>
      <c r="P4" s="7" t="str">
        <f ca="1">IFERROR(__xludf.DUMMYFUNCTION("GoogleTranslate(Main!R4, ""pt"", ""en"")"),"Initial phase (for example, the design phase), development phase, testing phase, implementation phase, maintenance phase, iteratively during the entire software life cycle")</f>
        <v>Initial phase (for example, the design phase), development phase, testing phase, implementation phase, maintenance phase, iteratively during the entire software life cycle</v>
      </c>
      <c r="Q4" s="7" t="str">
        <f ca="1">IFERROR(__xludf.DUMMYFUNCTION("GoogleTranslate(Main!S4, ""pt"", ""en"")"),"All developments were responsible")</f>
        <v>All developments were responsible</v>
      </c>
      <c r="R4" s="7" t="str">
        <f ca="1">IFERROR(__xludf.DUMMYFUNCTION("GoogleTranslate(Main!T4, ""pt"", ""en"")"),"Review and refine RNFS definitions at the beginning of the development process, collaborate with other team members to collect insights, conduct code revisions focused on RFS")</f>
        <v>Review and refine RNFS definitions at the beginning of the development process, collaborate with other team members to collect insights, conduct code revisions focused on RFS</v>
      </c>
      <c r="S4" s="7" t="str">
        <f ca="1">IFERROR(__xludf.DUMMYFUNCTION("GoogleTranslate(Main!U4, ""pt"", ""en"")"),"Constant at all development stages")</f>
        <v>Constant at all development stages</v>
      </c>
      <c r="T4" s="7" t="str">
        <f ca="1">IFERROR(__xludf.DUMMYFUNCTION("GoogleTranslate(Main!V4, ""pt"", ""en"")"),"Dealing with trade-offs between different non-functional requirements")</f>
        <v>Dealing with trade-offs between different non-functional requirements</v>
      </c>
      <c r="U4" s="7" t="str">
        <f ca="1">IFERROR(__xludf.DUMMYFUNCTION("GoogleTranslate(Main!W4, ""pt"", ""en"")"),"Not -made")</f>
        <v>Not -made</v>
      </c>
    </row>
    <row r="5" spans="1:24" x14ac:dyDescent="0.25">
      <c r="A5" s="5" t="s">
        <v>6</v>
      </c>
      <c r="B5" s="6">
        <v>32</v>
      </c>
      <c r="C5" s="7" t="str">
        <f ca="1">IFERROR(__xludf.DUMMYFUNCTION("GoogleTranslate(Main!E5, ""pt"", ""en"")"),"Masculine")</f>
        <v>Masculine</v>
      </c>
      <c r="D5" s="7" t="str">
        <f ca="1">IFERROR(__xludf.DUMMYFUNCTION("GoogleTranslate(Main!F5, ""pt"", ""en"")"),"Master's degree")</f>
        <v>Master's degree</v>
      </c>
      <c r="E5" s="6">
        <v>6</v>
      </c>
      <c r="F5" s="6">
        <v>8</v>
      </c>
      <c r="G5" s="7" t="str">
        <f ca="1">IFERROR(__xludf.DUMMYFUNCTION("GoogleTranslate(Main!I5, ""pt"", ""en"")"),"High")</f>
        <v>High</v>
      </c>
      <c r="H5" s="7" t="str">
        <f ca="1">IFERROR(__xludf.DUMMYFUNCTION("GoogleTranslate(Main!J5, ""pt"", ""en"")"),"Software developer")</f>
        <v>Software developer</v>
      </c>
      <c r="I5" s="7" t="str">
        <f ca="1">IFERROR(__xludf.DUMMYFUNCTION("GoogleTranslate(Main!K5, ""pt"", ""en"")"),"Java, Python, C")</f>
        <v>Java, Python, C</v>
      </c>
      <c r="J5" s="7" t="str">
        <f ca="1">IFERROR(__xludf.DUMMYFUNCTION("GoogleTranslate(Main!L5, ""pt"", ""en"")"),"1) Development of a fraud detection ML model where the model's inference time had to be less than 0.5Seconds. 2) Development of a ML model where the explanibility of the model's results had a relevant importance for users.")</f>
        <v>1) Development of a fraud detection ML model where the model's inference time had to be less than 0.5Seconds. 2) Development of a ML model where the explanibility of the model's results had a relevant importance for users.</v>
      </c>
      <c r="K5" s="7" t="str">
        <f ca="1">IFERROR(__xludf.DUMMYFUNCTION("GoogleTranslate(Main!M5, ""pt"", ""en"")"),"Impact on the quality of the software you use, alignment with the project objectives")</f>
        <v>Impact on the quality of the software you use, alignment with the project objectives</v>
      </c>
      <c r="L5" s="7" t="str">
        <f ca="1">IFERROR(__xludf.DUMMYFUNCTION("GoogleTranslate(Main!N5, ""pt"", ""en"")"),"Performance: Speed, Software Response Capacity and Efficiency., Usability: Ease of use and ease of interaction., Maintenance: Ease of making updates and changes in the software.")</f>
        <v>Performance: Speed, Software Response Capacity and Efficiency., Usability: Ease of use and ease of interaction., Maintenance: Ease of making updates and changes in the software.</v>
      </c>
      <c r="M5" s="7" t="str">
        <f ca="1">IFERROR(__xludf.DUMMYFUNCTION("GoogleTranslate(Main!O5, ""pt"", ""en"")"),"High")</f>
        <v>High</v>
      </c>
      <c r="N5" s="7" t="str">
        <f ca="1">IFERROR(__xludf.DUMMYFUNCTION("GoogleTranslate(Main!P5, ""pt"", ""en"")"),"Meetings, with other colleagues (more experienced), research on sites like Medium.")</f>
        <v>Meetings, with other colleagues (more experienced), research on sites like Medium.</v>
      </c>
      <c r="O5" s="7" t="str">
        <f ca="1">IFERROR(__xludf.DUMMYFUNCTION("GoogleTranslate(Main!Q5, ""pt"", ""en"")"),"I agree")</f>
        <v>I agree</v>
      </c>
      <c r="P5" s="7" t="str">
        <f ca="1">IFERROR(__xludf.DUMMYFUNCTION("GoogleTranslate(Main!R5, ""pt"", ""en"")"),"Iteratively during the entire software life cycle")</f>
        <v>Iteratively during the entire software life cycle</v>
      </c>
      <c r="Q5" s="7" t="str">
        <f ca="1">IFERROR(__xludf.DUMMYFUNCTION("GoogleTranslate(Main!S5, ""pt"", ""en"")"),"I had no colleagues dedicated to this type of requirements. Most of the time, these requirements were addressed by experienced software developers and architects.")</f>
        <v>I had no colleagues dedicated to this type of requirements. Most of the time, these requirements were addressed by experienced software developers and architects.</v>
      </c>
      <c r="R5" s="7" t="str">
        <f ca="1">IFERROR(__xludf.DUMMYFUNCTION("GoogleTranslate(Main!T5, ""pt"", ""en"")"),"Review and refine RNFS definitions at the beginning of the development process, collaborate with other team members to collect insights")</f>
        <v>Review and refine RNFS definitions at the beginning of the development process, collaborate with other team members to collect insights</v>
      </c>
      <c r="S5" s="7" t="str">
        <f ca="1">IFERROR(__xludf.DUMMYFUNCTION("GoogleTranslate(Main!U5, ""pt"", ""en"")"),"Most of the time, the RNFs that are addressed in the development phase come from the requirements specification. Sometimes RNFs arise during the testing phase by identifying that some feature has not been achieved.")</f>
        <v>Most of the time, the RNFs that are addressed in the development phase come from the requirements specification. Sometimes RNFs arise during the testing phase by identifying that some feature has not been achieved.</v>
      </c>
      <c r="T5" s="7" t="str">
        <f ca="1">IFERROR(__xludf.DUMMYFUNCTION("GoogleTranslate(Main!V5, ""pt"", ""en"")"),"None, I have not worked with open source systems")</f>
        <v>None, I have not worked with open source systems</v>
      </c>
      <c r="U5" s="7" t="str">
        <f ca="1">IFERROR(__xludf.DUMMYFUNCTION("GoogleTranslate(Main!W5, ""pt"", ""en"")"),"Use of RNFS catalogs and reference architectures typically give a light.")</f>
        <v>Use of RNFS catalogs and reference architectures typically give a light.</v>
      </c>
    </row>
    <row r="6" spans="1:24" x14ac:dyDescent="0.25">
      <c r="A6" s="5" t="s">
        <v>7</v>
      </c>
      <c r="B6" s="6">
        <v>30</v>
      </c>
      <c r="C6" s="7" t="str">
        <f ca="1">IFERROR(__xludf.DUMMYFUNCTION("GoogleTranslate(Main!E6, ""pt"", ""en"")"),"Masculine")</f>
        <v>Masculine</v>
      </c>
      <c r="D6" s="7" t="str">
        <f ca="1">IFERROR(__xludf.DUMMYFUNCTION("GoogleTranslate(Main!F6, ""pt"", ""en"")"),"Master's degree")</f>
        <v>Master's degree</v>
      </c>
      <c r="E6" s="6">
        <v>5</v>
      </c>
      <c r="F6" s="6">
        <v>4</v>
      </c>
      <c r="G6" s="7" t="str">
        <f ca="1">IFERROR(__xludf.DUMMYFUNCTION("GoogleTranslate(Main!I6, ""pt"", ""en"")"),"High")</f>
        <v>High</v>
      </c>
      <c r="H6" s="7" t="str">
        <f ca="1">IFERROR(__xludf.DUMMYFUNCTION("GoogleTranslate(Main!J6, ""pt"", ""en"")"),"Software developer")</f>
        <v>Software developer</v>
      </c>
      <c r="I6" s="7" t="str">
        <f ca="1">IFERROR(__xludf.DUMMYFUNCTION("GoogleTranslate(Main!K6, ""pt"", ""en"")"),"Python, JavaScript, PHP")</f>
        <v>Python, JavaScript, PHP</v>
      </c>
      <c r="J6" s="7" t="str">
        <f ca="1">IFERROR(__xludf.DUMMYFUNCTION("GoogleTranslate(Main!L6, ""pt"", ""en"")"),"Recently, we come across a situation in which we address the security requirements for communicating a system with a blockchain network. In this context, we had to ensure performance, but also integrity and security in the transmission of data that is rec"&amp;"orded on the network. In addition, we have to ensure that we remained in accordance with LGPD guidelines, ensuring for example the treatment of sensitive information.")</f>
        <v>Recently, we come across a situation in which we address the security requirements for communicating a system with a blockchain network. In this context, we had to ensure performance, but also integrity and security in the transmission of data that is recorded on the network. In addition, we have to ensure that we remained in accordance with LGPD guidelines, ensuring for example the treatment of sensitive information.</v>
      </c>
      <c r="K6" s="7" t="str">
        <f ca="1">IFERROR(__xludf.DUMMYFUNCTION("GoogleTranslate(Main!M6, ""pt"", ""en"")"),"Alignment with the project objectives, potential risks of NFRs are not addressed")</f>
        <v>Alignment with the project objectives, potential risks of NFRs are not addressed</v>
      </c>
      <c r="L6" s="7" t="str">
        <f ca="1">IFERROR(__xludf.DUMMYFUNCTION("GoogleTranslate(Main!N6, ""pt"", ""en"")"),"Performance: Speed, Software Response Capacity and Efficiency., Safety: Measures to protect data and prevent unauthorized access. Maintenance: Ease of making updates and changes in the software.")</f>
        <v>Performance: Speed, Software Response Capacity and Efficiency., Safety: Measures to protect data and prevent unauthorized access. Maintenance: Ease of making updates and changes in the software.</v>
      </c>
      <c r="M6" s="7" t="str">
        <f ca="1">IFERROR(__xludf.DUMMYFUNCTION("GoogleTranslate(Main!O6, ""pt"", ""en"")"),"Low")</f>
        <v>Low</v>
      </c>
      <c r="N6" s="7" t="str">
        <f ca="1">IFERROR(__xludf.DUMMYFUNCTION("GoogleTranslate(Main!P6, ""pt"", ""en"")"),"Requirements documentation, chat platforms with the team (eg Teams, Slack, Discord), meetings")</f>
        <v>Requirements documentation, chat platforms with the team (eg Teams, Slack, Discord), meetings</v>
      </c>
      <c r="O6" s="7" t="str">
        <f ca="1">IFERROR(__xludf.DUMMYFUNCTION("GoogleTranslate(Main!Q6, ""pt"", ""en"")"),"I agree strongly")</f>
        <v>I agree strongly</v>
      </c>
      <c r="P6" s="7" t="str">
        <f ca="1">IFERROR(__xludf.DUMMYFUNCTION("GoogleTranslate(Main!R6, ""pt"", ""en"")"),"Development phase")</f>
        <v>Development phase</v>
      </c>
      <c r="Q6" s="7" t="str">
        <f ca="1">IFERROR(__xludf.DUMMYFUNCTION("GoogleTranslate(Main!S6, ""pt"", ""en"")"),"They didn't exist, we developers had to deal with it.")</f>
        <v>They didn't exist, we developers had to deal with it.</v>
      </c>
      <c r="R6" s="7" t="str">
        <f ca="1">IFERROR(__xludf.DUMMYFUNCTION("GoogleTranslate(Main!T6, ""pt"", ""en"")"),"Revise and refine RNFS definitions at the beginning of the development process")</f>
        <v>Revise and refine RNFS definitions at the beginning of the development process</v>
      </c>
      <c r="S6" s="7" t="str">
        <f ca="1">IFERROR(__xludf.DUMMYFUNCTION("GoogleTranslate(Main!U6, ""pt"", ""en"")"),"During the beginning of the process, a meeting is held with the developers to define the RNFs and then documented")</f>
        <v>During the beginning of the process, a meeting is held with the developers to define the RNFs and then documented</v>
      </c>
      <c r="T6" s="7" t="str">
        <f ca="1">IFERROR(__xludf.DUMMYFUNCTION("GoogleTranslate(Main!V6, ""pt"", ""en"")"),"Lack of clear documentation for non -functional requirements in the open source system, inadequate communication among team members on non -functional requirements")</f>
        <v>Lack of clear documentation for non -functional requirements in the open source system, inadequate communication among team members on non -functional requirements</v>
      </c>
      <c r="U6" s="7" t="str">
        <f ca="1">IFERROR(__xludf.DUMMYFUNCTION("GoogleTranslate(Main!W6, ""pt"", ""en"")"),"I don't remember")</f>
        <v>I don't remember</v>
      </c>
    </row>
    <row r="7" spans="1:24" x14ac:dyDescent="0.25">
      <c r="A7" s="5" t="s">
        <v>8</v>
      </c>
      <c r="B7" s="6">
        <v>37</v>
      </c>
      <c r="C7" s="7" t="str">
        <f ca="1">IFERROR(__xludf.DUMMYFUNCTION("GoogleTranslate(Main!E7, ""pt"", ""en"")"),"Masculine")</f>
        <v>Masculine</v>
      </c>
      <c r="D7" s="7" t="str">
        <f ca="1">IFERROR(__xludf.DUMMYFUNCTION("GoogleTranslate(Main!F7, ""pt"", ""en"")"),"Master's degree")</f>
        <v>Master's degree</v>
      </c>
      <c r="E7" s="6">
        <v>20</v>
      </c>
      <c r="F7" s="6">
        <v>12</v>
      </c>
      <c r="G7" s="7" t="str">
        <f ca="1">IFERROR(__xludf.DUMMYFUNCTION("GoogleTranslate(Main!I7, ""pt"", ""en"")"),"Very high")</f>
        <v>Very high</v>
      </c>
      <c r="H7" s="7" t="str">
        <f ca="1">IFERROR(__xludf.DUMMYFUNCTION("GoogleTranslate(Main!J7, ""pt"", ""en"")"),"Software engineer")</f>
        <v>Software engineer</v>
      </c>
      <c r="I7" s="7" t="str">
        <f ca="1">IFERROR(__xludf.DUMMYFUNCTION("GoogleTranslate(Main!K7, ""pt"", ""en"")"),"C#, JavaScript")</f>
        <v>C#, JavaScript</v>
      </c>
      <c r="J7" s="7" t="str">
        <f ca="1">IFERROR(__xludf.DUMMYFUNCTION("GoogleTranslate(Main!L7, ""pt"", ""en"")"),"Thinking of performance linked requirements, the most interesting thing was how to store, enrich, aggregate and dynamically present post-negotiation data with a 1 million business volume per day and a maximum of 2 seconds latency to filters about any fiel"&amp;"d of the business.")</f>
        <v>Thinking of performance linked requirements, the most interesting thing was how to store, enrich, aggregate and dynamically present post-negotiation data with a 1 million business volume per day and a maximum of 2 seconds latency to filters about any field of the business.</v>
      </c>
      <c r="K7" s="7" t="str">
        <f ca="1">IFERROR(__xludf.DUMMYFUNCTION("GoogleTranslate(Main!M7, ""pt"", ""en"")"),"Impact on the quality of the software you use")</f>
        <v>Impact on the quality of the software you use</v>
      </c>
      <c r="L7" s="7" t="str">
        <f ca="1">IFERROR(__xludf.DUMMYFUNCTION("GoogleTranslate(Main!N7, ""pt"", ""en"")"),"Performance: Speed, Response Capacity and Efficiency of the Software., Scalability: Ability to deal with increased workload or users' traffic., Robustness: software capacity to recover under various conditions. system and accessibility to users., Maintena"&amp;"nce: Ease of making updates and changes in the software.")</f>
        <v>Performance: Speed, Response Capacity and Efficiency of the Software., Scalability: Ability to deal with increased workload or users' traffic., Robustness: software capacity to recover under various conditions. system and accessibility to users., Maintenance: Ease of making updates and changes in the software.</v>
      </c>
      <c r="M7" s="7" t="str">
        <f ca="1">IFERROR(__xludf.DUMMYFUNCTION("GoogleTranslate(Main!O7, ""pt"", ""en"")"),"Very high")</f>
        <v>Very high</v>
      </c>
      <c r="N7" s="7" t="str">
        <f ca="1">IFERROR(__xludf.DUMMYFUNCTION("GoogleTranslate(Main!P7, ""pt"", ""en"")"),"Chat platforms with the team (for example, Teams, Slack, Discord), discussions on version platforms (for example, issues and pull Requests), meetings")</f>
        <v>Chat platforms with the team (for example, Teams, Slack, Discord), discussions on version platforms (for example, issues and pull Requests), meetings</v>
      </c>
      <c r="O7" s="7" t="str">
        <f ca="1">IFERROR(__xludf.DUMMYFUNCTION("GoogleTranslate(Main!Q7, ""pt"", ""en"")"),"I agree strongly")</f>
        <v>I agree strongly</v>
      </c>
      <c r="P7" s="7" t="str">
        <f ca="1">IFERROR(__xludf.DUMMYFUNCTION("GoogleTranslate(Main!R7, ""pt"", ""en"")"),"Initial phase (for example, the design phase), development phase, testing phase, implementation phase, maintenance phase, iteratively during the entire software life cycle")</f>
        <v>Initial phase (for example, the design phase), development phase, testing phase, implementation phase, maintenance phase, iteratively during the entire software life cycle</v>
      </c>
      <c r="Q7" s="7" t="str">
        <f ca="1">IFERROR(__xludf.DUMMYFUNCTION("GoogleTranslate(Main!S7, ""pt"", ""en"")"),"Yes and no. In the company where developers work are not allocated according to a specialty (although each naturally has his). The problems are published to each and each one chooses if you can / can contribute.")</f>
        <v>Yes and no. In the company where developers work are not allocated according to a specialty (although each naturally has his). The problems are published to each and each one chooses if you can / can contribute.</v>
      </c>
      <c r="R7" s="7" t="str">
        <f ca="1">IFERROR(__xludf.DUMMYFUNCTION("GoogleTranslate(Main!T7, ""pt"", ""en"")"),"Conduct code revisions focused on RNFs, employ specific tools or frameworks for RNFs assessment, integrating RNFS testing into the continuous integration pipeline")</f>
        <v>Conduct code revisions focused on RNFs, employ specific tools or frameworks for RNFs assessment, integrating RNFS testing into the continuous integration pipeline</v>
      </c>
      <c r="S7" s="7" t="str">
        <f ca="1">IFERROR(__xludf.DUMMYFUNCTION("GoogleTranslate(Main!U7, ""pt"", ""en"")"),"Each PR is revised and naturally during the review points (in my case, especially speaking of performance) are discussed. Performance tests to avoid regression take place at the end of the day about the latest version of Branch 'Nightly'. Occasionally tes"&amp;"ts need to be changed to cover problems encountered in production.")</f>
        <v>Each PR is revised and naturally during the review points (in my case, especially speaking of performance) are discussed. Performance tests to avoid regression take place at the end of the day about the latest version of Branch 'Nightly'. Occasionally tests need to be changed to cover problems encountered in production.</v>
      </c>
      <c r="T7" s="7" t="str">
        <f ca="1">IFERROR(__xludf.DUMMYFUNCTION("GoogleTranslate(Main!V7, ""pt"", ""en"")"),"Insufficient tools or frameworks to test and check non-functional aspects, dealing with trade-offs between different non-functional requirements")</f>
        <v>Insufficient tools or frameworks to test and check non-functional aspects, dealing with trade-offs between different non-functional requirements</v>
      </c>
      <c r="U7" s="7" t="str">
        <f ca="1">IFERROR(__xludf.DUMMYFUNCTION("GoogleTranslate(Main!W7, ""pt"", ""en"")"),"Requirements documents serve very little and usually get more disturbed than they help because they reflect the reality of the moment they were written and their maintenance cost is high on the return")</f>
        <v>Requirements documents serve very little and usually get more disturbed than they help because they reflect the reality of the moment they were written and their maintenance cost is high on the return</v>
      </c>
    </row>
    <row r="8" spans="1:24" x14ac:dyDescent="0.25">
      <c r="A8" s="5" t="s">
        <v>9</v>
      </c>
      <c r="B8" s="6">
        <v>31</v>
      </c>
      <c r="C8" s="7" t="str">
        <f ca="1">IFERROR(__xludf.DUMMYFUNCTION("GoogleTranslate(Main!E8, ""pt"", ""en"")"),"Masculine")</f>
        <v>Masculine</v>
      </c>
      <c r="D8" s="7" t="str">
        <f ca="1">IFERROR(__xludf.DUMMYFUNCTION("GoogleTranslate(Main!F8, ""pt"", ""en"")"),"Specialization/MBA")</f>
        <v>Specialization/MBA</v>
      </c>
      <c r="E8" s="6">
        <v>4</v>
      </c>
      <c r="F8" s="6">
        <v>2</v>
      </c>
      <c r="G8" s="7" t="str">
        <f ca="1">IFERROR(__xludf.DUMMYFUNCTION("GoogleTranslate(Main!I8, ""pt"", ""en"")"),"Low")</f>
        <v>Low</v>
      </c>
      <c r="H8" s="7" t="str">
        <f ca="1">IFERROR(__xludf.DUMMYFUNCTION("GoogleTranslate(Main!J8, ""pt"", ""en"")"),"Project Management")</f>
        <v>Project Management</v>
      </c>
      <c r="I8" s="7" t="str">
        <f ca="1">IFERROR(__xludf.DUMMYFUNCTION("GoogleTranslate(Main!K8, ""pt"", ""en"")"),"W")</f>
        <v>W</v>
      </c>
      <c r="J8" s="7" t="str">
        <f ca="1">IFERROR(__xludf.DUMMYFUNCTION("GoogleTranslate(Main!L8, ""pt"", ""en"")"),"Inventory systems in an industry")</f>
        <v>Inventory systems in an industry</v>
      </c>
      <c r="K8" s="7" t="str">
        <f ca="1">IFERROR(__xludf.DUMMYFUNCTION("GoogleTranslate(Main!M8, ""pt"", ""en"")"),"Potential risks of NFRs not to be addressed")</f>
        <v>Potential risks of NFRs not to be addressed</v>
      </c>
      <c r="L8" s="7" t="str">
        <f ca="1">IFERROR(__xludf.DUMMYFUNCTION("GoogleTranslate(Main!N8, ""pt"", ""en"")"),"Performance: Speed, Response Capacity and Efficiency of Software., Scalability: Ability to deal with increased workload or user traffic., Availability: System activity time and accessibility for users. Protect data and prevent unauthorized access., Usabil"&amp;"ity: ease of use and ease of interaction., Maintenance: Ease of making updates and changes in the software.")</f>
        <v>Performance: Speed, Response Capacity and Efficiency of Software., Scalability: Ability to deal with increased workload or user traffic., Availability: System activity time and accessibility for users. Protect data and prevent unauthorized access., Usability: ease of use and ease of interaction., Maintenance: Ease of making updates and changes in the software.</v>
      </c>
      <c r="M8" s="7" t="str">
        <f ca="1">IFERROR(__xludf.DUMMYFUNCTION("GoogleTranslate(Main!O8, ""pt"", ""en"")"),"High")</f>
        <v>High</v>
      </c>
      <c r="N8" s="7" t="str">
        <f ca="1">IFERROR(__xludf.DUMMYFUNCTION("GoogleTranslate(Main!P8, ""pt"", ""en"")"),"Requirements documentation")</f>
        <v>Requirements documentation</v>
      </c>
      <c r="O8" s="7" t="str">
        <f ca="1">IFERROR(__xludf.DUMMYFUNCTION("GoogleTranslate(Main!Q8, ""pt"", ""en"")"),"I agree strongly")</f>
        <v>I agree strongly</v>
      </c>
      <c r="P8" s="7" t="str">
        <f ca="1">IFERROR(__xludf.DUMMYFUNCTION("GoogleTranslate(Main!R8, ""pt"", ""en"")"),"Initial phase (for example, the design phase)")</f>
        <v>Initial phase (for example, the design phase)</v>
      </c>
      <c r="Q8" s="7" t="str">
        <f ca="1">IFERROR(__xludf.DUMMYFUNCTION("GoogleTranslate(Main!S8, ""pt"", ""en"")"),"Yes")</f>
        <v>Yes</v>
      </c>
      <c r="R8" s="7" t="str">
        <f ca="1">IFERROR(__xludf.DUMMYFUNCTION("GoogleTranslate(Main!T8, ""pt"", ""en"")"),"Review and refine RNFS definitions at the beginning of the development process, collaborate with other team members to collect insights")</f>
        <v>Review and refine RNFS definitions at the beginning of the development process, collaborate with other team members to collect insights</v>
      </c>
      <c r="S8" s="7" t="str">
        <f ca="1">IFERROR(__xludf.DUMMYFUNCTION("GoogleTranslate(Main!U8, ""pt"", ""en"")"),"Requirements survey meetings with the business process owner")</f>
        <v>Requirements survey meetings with the business process owner</v>
      </c>
      <c r="T8" s="7" t="str">
        <f ca="1">IFERROR(__xludf.DUMMYFUNCTION("GoogleTranslate(Main!V8, ""pt"", ""en"")"),"Inadequate communication among team members on non-functional requirements, insufficient tools or frameworks to test and verify non-functional aspects, dealing with trade-offs between different non-functional requirements")</f>
        <v>Inadequate communication among team members on non-functional requirements, insufficient tools or frameworks to test and verify non-functional aspects, dealing with trade-offs between different non-functional requirements</v>
      </c>
      <c r="U8" s="7" t="str">
        <f ca="1">IFERROR(__xludf.DUMMYFUNCTION("GoogleTranslate(Main!W8, ""pt"", ""en"")"),"Collaborative approach with all stakeholders of the project")</f>
        <v>Collaborative approach with all stakeholders of the project</v>
      </c>
    </row>
    <row r="9" spans="1:24" x14ac:dyDescent="0.25">
      <c r="A9" s="5" t="s">
        <v>10</v>
      </c>
      <c r="B9" s="6">
        <v>35</v>
      </c>
      <c r="C9" s="7" t="str">
        <f ca="1">IFERROR(__xludf.DUMMYFUNCTION("GoogleTranslate(Main!E9, ""pt"", ""en"")"),"Masculine")</f>
        <v>Masculine</v>
      </c>
      <c r="D9" s="7" t="str">
        <f ca="1">IFERROR(__xludf.DUMMYFUNCTION("GoogleTranslate(Main!F9, ""pt"", ""en"")"),"Bachelor")</f>
        <v>Bachelor</v>
      </c>
      <c r="E9" s="6">
        <v>16</v>
      </c>
      <c r="F9" s="6">
        <v>100</v>
      </c>
      <c r="G9" s="7" t="str">
        <f ca="1">IFERROR(__xludf.DUMMYFUNCTION("GoogleTranslate(Main!I9, ""pt"", ""en"")"),"Very high")</f>
        <v>Very high</v>
      </c>
      <c r="H9" s="7" t="str">
        <f ca="1">IFERROR(__xludf.DUMMYFUNCTION("GoogleTranslate(Main!J9, ""pt"", ""en"")"),"Project Management")</f>
        <v>Project Management</v>
      </c>
      <c r="I9" s="7" t="str">
        <f ca="1">IFERROR(__xludf.DUMMYFUNCTION("GoogleTranslate(Main!K9, ""pt"", ""en"")"),"C#, C ++")</f>
        <v>C#, C ++</v>
      </c>
      <c r="J9" s="7" t="str">
        <f ca="1">IFERROR(__xludf.DUMMYFUNCTION("GoogleTranslate(Main!L9, ""pt"", ""en"")"),"The systems we develop need to deal with a very expressive volume and low latency. So in almost every project we have to deal with non -functional requirements")</f>
        <v>The systems we develop need to deal with a very expressive volume and low latency. So in almost every project we have to deal with non -functional requirements</v>
      </c>
      <c r="K9" s="7" t="str">
        <f ca="1">IFERROR(__xludf.DUMMYFUNCTION("GoogleTranslate(Main!M9, ""pt"", ""en"")"),"Relevance to your expertise area, alignment with project objectives, potential risks of NFRs are not addressed")</f>
        <v>Relevance to your expertise area, alignment with project objectives, potential risks of NFRs are not addressed</v>
      </c>
      <c r="L9" s="7" t="str">
        <f ca="1">IFERROR(__xludf.DUMMYFUNCTION("GoogleTranslate(Main!N9, ""pt"", ""en"")"),"Performance: Speed, Response Capacity and Efficiency of the Software., Scalability: Ability to deal with increased workload or users' traffic., Robustness: software capacity to recover under various conditions. system and accessibility to users., usabilit"&amp;"y: ease of use and ease of interaction., Maintenance: Ease of making updates and changes in the software.")</f>
        <v>Performance: Speed, Response Capacity and Efficiency of the Software., Scalability: Ability to deal with increased workload or users' traffic., Robustness: software capacity to recover under various conditions. system and accessibility to users., usability: ease of use and ease of interaction., Maintenance: Ease of making updates and changes in the software.</v>
      </c>
      <c r="M9" s="7" t="str">
        <f ca="1">IFERROR(__xludf.DUMMYFUNCTION("GoogleTranslate(Main!O9, ""pt"", ""en"")"),"Very high")</f>
        <v>Very high</v>
      </c>
      <c r="N9" s="7" t="str">
        <f ca="1">IFERROR(__xludf.DUMMYFUNCTION("GoogleTranslate(Main!P9, ""pt"", ""en"")"),"Requirements documentation, chat platforms with the team (eg Teams, Slack, Discord), discussions on version platforms (eg, issues and pull refills), meetings, email")</f>
        <v>Requirements documentation, chat platforms with the team (eg Teams, Slack, Discord), discussions on version platforms (eg, issues and pull refills), meetings, email</v>
      </c>
      <c r="O9" s="7" t="str">
        <f ca="1">IFERROR(__xludf.DUMMYFUNCTION("GoogleTranslate(Main!Q9, ""pt"", ""en"")"),"I agree strongly")</f>
        <v>I agree strongly</v>
      </c>
      <c r="P9" s="7" t="str">
        <f ca="1">IFERROR(__xludf.DUMMYFUNCTION("GoogleTranslate(Main!R9, ""pt"", ""en"")"),"Initial phase (for example, the design phase), development phase, testing phase, implementation phase, maintenance phase, iteratively during the entire software life cycle")</f>
        <v>Initial phase (for example, the design phase), development phase, testing phase, implementation phase, maintenance phase, iteratively during the entire software life cycle</v>
      </c>
      <c r="Q9" s="7" t="str">
        <f ca="1">IFERROR(__xludf.DUMMYFUNCTION("GoogleTranslate(Main!S9, ""pt"", ""en"")"),"In general there is no 1 person specifically focused on NFR because we encourage everyone to look at NFR as a cross aspect, present in all implemented activities and features. Everyone must dominate the theme and not outsidor to a ""expert""")</f>
        <v>In general there is no 1 person specifically focused on NFR because we encourage everyone to look at NFR as a cross aspect, present in all implemented activities and features. Everyone must dominate the theme and not outsidor to a "expert"</v>
      </c>
      <c r="R9" s="7" t="str">
        <f ca="1">IFERROR(__xludf.DUMMYFUNCTION("GoogleTranslate(Main!T9, ""pt"", ""en"")"),"Review and refine RNFS settings at the beginning of the development process, collaborate with other team members to collect insights, conduct code revisions focused on RNFs, employ specific tools or frameworks for RNFS evaluation")</f>
        <v>Review and refine RNFS settings at the beginning of the development process, collaborate with other team members to collect insights, conduct code revisions focused on RNFs, employ specific tools or frameworks for RNFS evaluation</v>
      </c>
      <c r="S9" s="7" t="str">
        <f ca="1">IFERROR(__xludf.DUMMYFUNCTION("GoogleTranslate(Main!U9, ""pt"", ""en"")"),"-")</f>
        <v>-</v>
      </c>
      <c r="T9" s="7" t="str">
        <f ca="1">IFERROR(__xludf.DUMMYFUNCTION("GoogleTranslate(Main!V9, ""pt"", ""en"")"),"None, -")</f>
        <v>None, -</v>
      </c>
      <c r="U9" s="7" t="str">
        <f ca="1">IFERROR(__xludf.DUMMYFUNCTION("GoogleTranslate(Main!W9, ""pt"", ""en"")"),"Citing examples, being detailed and concrete, showing the path of stones, showing that it is perhaps the most interesting aspect for us developers (this is where things get complex and challenging, no one likes to be implementing Crud Boçal)")</f>
        <v>Citing examples, being detailed and concrete, showing the path of stones, showing that it is perhaps the most interesting aspect for us developers (this is where things get complex and challenging, no one likes to be implementing Crud Boçal)</v>
      </c>
    </row>
    <row r="10" spans="1:24" x14ac:dyDescent="0.25">
      <c r="A10" s="5" t="s">
        <v>11</v>
      </c>
      <c r="B10" s="6">
        <v>22</v>
      </c>
      <c r="C10" s="7" t="str">
        <f ca="1">IFERROR(__xludf.DUMMYFUNCTION("GoogleTranslate(Main!E10, ""pt"", ""en"")"),"Masculine")</f>
        <v>Masculine</v>
      </c>
      <c r="D10" s="7" t="str">
        <f ca="1">IFERROR(__xludf.DUMMYFUNCTION("GoogleTranslate(Main!F10, ""pt"", ""en"")"),"Bachelor")</f>
        <v>Bachelor</v>
      </c>
      <c r="E10" s="6">
        <v>2</v>
      </c>
      <c r="F10" s="6">
        <v>2</v>
      </c>
      <c r="G10" s="7" t="str">
        <f ca="1">IFERROR(__xludf.DUMMYFUNCTION("GoogleTranslate(Main!I10, ""pt"", ""en"")"),"High")</f>
        <v>High</v>
      </c>
      <c r="H10" s="7" t="str">
        <f ca="1">IFERROR(__xludf.DUMMYFUNCTION("GoogleTranslate(Main!J10, ""pt"", ""en"")"),"Software engineer")</f>
        <v>Software engineer</v>
      </c>
      <c r="I10" s="7" t="str">
        <f ca="1">IFERROR(__xludf.DUMMYFUNCTION("GoogleTranslate(Main!K10, ""pt"", ""en"")"),"Java, C#")</f>
        <v>Java, C#</v>
      </c>
      <c r="J10" s="7" t="str">
        <f ca="1">IFERROR(__xludf.DUMMYFUNCTION("GoogleTranslate(Main!L10, ""pt"", ""en"")"),"Development of concept evidence")</f>
        <v>Development of concept evidence</v>
      </c>
      <c r="K10" s="7" t="str">
        <f ca="1">IFERROR(__xludf.DUMMYFUNCTION("GoogleTranslate(Main!M10, ""pt"", ""en"")"),"Learning opportunity")</f>
        <v>Learning opportunity</v>
      </c>
      <c r="L10" s="7" t="str">
        <f ca="1">IFERROR(__xludf.DUMMYFUNCTION("GoogleTranslate(Main!N10, ""pt"", ""en"")"),"Performance: Speed, Software Response Capacity and Efficiency., Scalability: Ability to deal with increased workload or users' traffic. Maintenance: Ease of making updates and changes in the software.")</f>
        <v>Performance: Speed, Software Response Capacity and Efficiency., Scalability: Ability to deal with increased workload or users' traffic. Maintenance: Ease of making updates and changes in the software.</v>
      </c>
      <c r="M10" s="7" t="str">
        <f ca="1">IFERROR(__xludf.DUMMYFUNCTION("GoogleTranslate(Main!O10, ""pt"", ""en"")"),"Low")</f>
        <v>Low</v>
      </c>
      <c r="N10" s="7" t="str">
        <f ca="1">IFERROR(__xludf.DUMMYFUNCTION("GoogleTranslate(Main!P10, ""pt"", ""en"")"),"Requirements documentation, chat platforms with the team (eg Teams, Slack, Discord), discussions on version platforms (for example, issues and pull Requests), meetings, with other colleagues (more experienced)")</f>
        <v>Requirements documentation, chat platforms with the team (eg Teams, Slack, Discord), discussions on version platforms (for example, issues and pull Requests), meetings, with other colleagues (more experienced)</v>
      </c>
      <c r="O10" s="7" t="str">
        <f ca="1">IFERROR(__xludf.DUMMYFUNCTION("GoogleTranslate(Main!Q10, ""pt"", ""en"")"),"I agree")</f>
        <v>I agree</v>
      </c>
      <c r="P10" s="7" t="str">
        <f ca="1">IFERROR(__xludf.DUMMYFUNCTION("GoogleTranslate(Main!R10, ""pt"", ""en"")"),"Iteratively during the entire software life cycle")</f>
        <v>Iteratively during the entire software life cycle</v>
      </c>
      <c r="Q10" s="7" t="str">
        <f ca="1">IFERROR(__xludf.DUMMYFUNCTION("GoogleTranslate(Main!S10, ""pt"", ""en"")"),"In one yes and the other not. In the latest there is a team that delivers the requirements and documentation but does not implement it")</f>
        <v>In one yes and the other not. In the latest there is a team that delivers the requirements and documentation but does not implement it</v>
      </c>
      <c r="R10" s="7" t="str">
        <f ca="1">IFERROR(__xludf.DUMMYFUNCTION("GoogleTranslate(Main!T10, ""pt"", ""en"")"),"Review and refine RNFS definitions at the beginning of the development process, employ specific tools or frameworks for RNFS evaluation")</f>
        <v>Review and refine RNFS definitions at the beginning of the development process, employ specific tools or frameworks for RNFS evaluation</v>
      </c>
      <c r="S10" s="7" t="str">
        <f ca="1">IFERROR(__xludf.DUMMYFUNCTION("GoogleTranslate(Main!U10, ""pt"", ""en"")"),"Metrics with tools to evaluate at the end of Sprint cycles and when developing new projects there are meetings to discuss the requirements")</f>
        <v>Metrics with tools to evaluate at the end of Sprint cycles and when developing new projects there are meetings to discuss the requirements</v>
      </c>
      <c r="T10" s="7" t="str">
        <f ca="1">IFERROR(__xludf.DUMMYFUNCTION("GoogleTranslate(Main!V10, ""pt"", ""en"")"),"Inadequate communication among team members on non-functional requirements, dealing with trade-offs between different non-functional requirements, limited understanding of the technical implications of RNFs")</f>
        <v>Inadequate communication among team members on non-functional requirements, dealing with trade-offs between different non-functional requirements, limited understanding of the technical implications of RNFs</v>
      </c>
      <c r="U10" s="7" t="str">
        <f ca="1">IFERROR(__xludf.DUMMYFUNCTION("GoogleTranslate(Main!W10, ""pt"", ""en"")"),"No")</f>
        <v>No</v>
      </c>
    </row>
    <row r="11" spans="1:24" x14ac:dyDescent="0.25">
      <c r="A11" s="5" t="s">
        <v>12</v>
      </c>
      <c r="B11" s="6">
        <v>38</v>
      </c>
      <c r="C11" s="7" t="str">
        <f ca="1">IFERROR(__xludf.DUMMYFUNCTION("GoogleTranslate(Main!E11, ""pt"", ""en"")"),"Masculine")</f>
        <v>Masculine</v>
      </c>
      <c r="D11" s="7" t="str">
        <f ca="1">IFERROR(__xludf.DUMMYFUNCTION("GoogleTranslate(Main!F11, ""pt"", ""en"")"),"High school")</f>
        <v>High school</v>
      </c>
      <c r="E11" s="6">
        <v>20</v>
      </c>
      <c r="F11" s="6">
        <v>30</v>
      </c>
      <c r="G11" s="7" t="str">
        <f ca="1">IFERROR(__xludf.DUMMYFUNCTION("GoogleTranslate(Main!I11, ""pt"", ""en"")"),"High")</f>
        <v>High</v>
      </c>
      <c r="H11" s="7" t="str">
        <f ca="1">IFERROR(__xludf.DUMMYFUNCTION("GoogleTranslate(Main!J11, ""pt"", ""en"")"),"Software developer")</f>
        <v>Software developer</v>
      </c>
      <c r="I11" s="7" t="str">
        <f ca="1">IFERROR(__xludf.DUMMYFUNCTION("GoogleTranslate(Main!K11, ""pt"", ""en"")"),"Java, C, C#, C ++, JavaScript, VB6, Vb.net, ASP, SQL, Swift")</f>
        <v>Java, C, C#, C ++, JavaScript, VB6, Vb.net, ASP, SQL, Swift</v>
      </c>
      <c r="J11" s="7" t="str">
        <f ca="1">IFERROR(__xludf.DUMMYFUNCTION("GoogleTranslate(Main!L11, ""pt"", ""en"")"),"SCALIDAD DEL SYSTEM, USE CASES, DIAGRAMS OF FAIR, DER, VARIOUS Documentation, SECURITY, ETC.")</f>
        <v>SCALIDAD DEL SYSTEM, USE CASES, DIAGRAMS OF FAIR, DER, VARIOUS Documentation, SECURITY, ETC.</v>
      </c>
      <c r="K11" s="7" t="str">
        <f ca="1">IFERROR(__xludf.DUMMYFUNCTION("GoogleTranslate(Main!M11, ""pt"", ""en"")"),"Impact on the quality of the software you use, alignment with the project objectives, potential NFRs risks not to be addressed, profesionate")</f>
        <v>Impact on the quality of the software you use, alignment with the project objectives, potential NFRs risks not to be addressed, profesionate</v>
      </c>
      <c r="L11" s="7" t="str">
        <f ca="1">IFERROR(__xludf.DUMMYFUNCTION("GoogleTranslate(Main!N11, ""pt"", ""en"")"),"Performance: Speed, Response Capacity and Efficiency of the Software., Scalability: Ability to deal with increased workload or users' traffic., Robustness: software capacity to recover under various conditions. System and accessibility to users., Security"&amp;": Measures to protect data and prevent unauthorized access., Usability: Ease of use and ease of interaction., Maintenance: Ease of making updates and changes in software.")</f>
        <v>Performance: Speed, Response Capacity and Efficiency of the Software., Scalability: Ability to deal with increased workload or users' traffic., Robustness: software capacity to recover under various conditions. System and accessibility to users., Security: Measures to protect data and prevent unauthorized access., Usability: Ease of use and ease of interaction., Maintenance: Ease of making updates and changes in software.</v>
      </c>
      <c r="M11" s="7" t="str">
        <f ca="1">IFERROR(__xludf.DUMMYFUNCTION("GoogleTranslate(Main!O11, ""pt"", ""en"")"),"High")</f>
        <v>High</v>
      </c>
      <c r="N11" s="7" t="str">
        <f ca="1">IFERROR(__xludf.DUMMYFUNCTION("GoogleTranslate(Main!P11, ""pt"", ""en"")"),"Requirements documentation, chat platforms with the team (eg Teams, Slack, Discord), Code Comments, Version Platform Discussions (for example, Issues and Pull Requests), Meetings, Email")</f>
        <v>Requirements documentation, chat platforms with the team (eg Teams, Slack, Discord), Code Comments, Version Platform Discussions (for example, Issues and Pull Requests), Meetings, Email</v>
      </c>
      <c r="O11" s="7" t="str">
        <f ca="1">IFERROR(__xludf.DUMMYFUNCTION("GoogleTranslate(Main!Q11, ""pt"", ""en"")"),"I agree strongly")</f>
        <v>I agree strongly</v>
      </c>
      <c r="P11" s="7" t="str">
        <f ca="1">IFERROR(__xludf.DUMMYFUNCTION("GoogleTranslate(Main!R11, ""pt"", ""en"")"),"Initial phase (for example, the design phase), development phase, testing phase, implementation phase, maintenance phase, iteratively during the entire software life cycle, lamentably to casi all las")</f>
        <v>Initial phase (for example, the design phase), development phase, testing phase, implementation phase, maintenance phase, iteratively during the entire software life cycle, lamentably to casi all las</v>
      </c>
      <c r="Q11" s="7" t="str">
        <f ca="1">IFERROR(__xludf.DUMMYFUNCTION("GoogleTranslate(Main!S11, ""pt"", ""en"")"),"Lamentably casi never hay experts of nfr y debo yo insist on su Si Importance")</f>
        <v>Lamentably casi never hay experts of nfr y debo yo insist on su Si Importance</v>
      </c>
      <c r="R11" s="7" t="str">
        <f ca="1">IFERROR(__xludf.DUMMYFUNCTION("GoogleTranslate(Main!T11, ""pt"", ""en"")"),"Review and refine RNFS definitions at the beginning of the development process, conduct code revisions focused on RNFS")</f>
        <v>Review and refine RNFS definitions at the beginning of the development process, conduct code revisions focused on RNFS</v>
      </c>
      <c r="S11" s="7" t="str">
        <f ca="1">IFERROR(__xludf.DUMMYFUNCTION("GoogleTranslate(Main!U11, ""pt"", ""en"")"),"Approach Los RNF IMPORTANCE SINCE E -PRINCIO Y Communicate to all involved so that Las Conozcan")</f>
        <v>Approach Los RNF IMPORTANCE SINCE E -PRINCIO Y Communicate to all involved so that Las Conozcan</v>
      </c>
      <c r="T11" s="7" t="str">
        <f ca="1">IFERROR(__xludf.DUMMYFUNCTION("GoogleTranslate(Main!V11, ""pt"", ""en"")"),"In the participant en desarrollos of Code Abida")</f>
        <v>In the participant en desarrollos of Code Abida</v>
      </c>
      <c r="U11" s="7" t="str">
        <f ca="1">IFERROR(__xludf.DUMMYFUNCTION("GoogleTranslate(Main!W11, ""pt"", ""en"")"),"Since a Comienzo del Desarrollo, it has been acclaimed that he is inverted in the La Larga recovers, and to take action to implement RNF necessarily to perform El Desarrollo, otherwise in the Acepto El Proyecto.")</f>
        <v>Since a Comienzo del Desarrollo, it has been acclaimed that he is inverted in the La Larga recovers, and to take action to implement RNF necessarily to perform El Desarrollo, otherwise in the Acepto El Proyecto.</v>
      </c>
    </row>
    <row r="12" spans="1:24" x14ac:dyDescent="0.25">
      <c r="A12" s="5" t="s">
        <v>13</v>
      </c>
      <c r="B12" s="6">
        <v>32</v>
      </c>
      <c r="C12" s="7" t="str">
        <f ca="1">IFERROR(__xludf.DUMMYFUNCTION("GoogleTranslate(Main!E12, ""pt"", ""en"")"),"Masculine")</f>
        <v>Masculine</v>
      </c>
      <c r="D12" s="7" t="str">
        <f ca="1">IFERROR(__xludf.DUMMYFUNCTION("GoogleTranslate(Main!F12, ""pt"", ""en"")"),"Bachelor")</f>
        <v>Bachelor</v>
      </c>
      <c r="E12" s="6">
        <v>3</v>
      </c>
      <c r="F12" s="6">
        <v>4</v>
      </c>
      <c r="G12" s="7" t="str">
        <f ca="1">IFERROR(__xludf.DUMMYFUNCTION("GoogleTranslate(Main!I12, ""pt"", ""en"")"),"High")</f>
        <v>High</v>
      </c>
      <c r="H12" s="7" t="str">
        <f ca="1">IFERROR(__xludf.DUMMYFUNCTION("GoogleTranslate(Main!J12, ""pt"", ""en"")"),"Ti software and technician developer")</f>
        <v>Ti software and technician developer</v>
      </c>
      <c r="I12" s="7" t="str">
        <f ca="1">IFERROR(__xludf.DUMMYFUNCTION("GoogleTranslate(Main!K12, ""pt"", ""en"")"),"Java, Python, Dart -&gt; Flutter")</f>
        <v>Java, Python, Dart -&gt; Flutter</v>
      </c>
      <c r="J12" s="7" t="str">
        <f ca="1">IFERROR(__xludf.DUMMYFUNCTION("GoogleTranslate(Main!L12, ""pt"", ""en"")"),"During the initial phase of project development, much of the NFRs are easily recognized, when the company is giving due importance to the questions of the collection and analysis of requirements.")</f>
        <v>During the initial phase of project development, much of the NFRs are easily recognized, when the company is giving due importance to the questions of the collection and analysis of requirements.</v>
      </c>
      <c r="K12" s="7" t="str">
        <f ca="1">IFERROR(__xludf.DUMMYFUNCTION("GoogleTranslate(Main!M12, ""pt"", ""en"")"),"Impact on the quality of the software you use, alignment with the project's objectives, when trying to implement a new NFR, after confirming the projector, and is something outside the good development practices, can cause a failure or delay of delivery f"&amp;"rom the project.")</f>
        <v>Impact on the quality of the software you use, alignment with the project's objectives, when trying to implement a new NFR, after confirming the projector, and is something outside the good development practices, can cause a failure or delay of delivery from the project.</v>
      </c>
      <c r="L12" s="7" t="str">
        <f ca="1">IFERROR(__xludf.DUMMYFUNCTION("GoogleTranslate(Main!N12, ""pt"", ""en"")"),"Scalability: Ability to deal with increased workload or user traffic., Availability: System activity time and accessibility to users., Safety: Measures to protect data and prevent unauthorized access., Usability: Ease of use and ease of interaction.")</f>
        <v>Scalability: Ability to deal with increased workload or user traffic., Availability: System activity time and accessibility to users., Safety: Measures to protect data and prevent unauthorized access., Usability: Ease of use and ease of interaction.</v>
      </c>
      <c r="M12" s="7" t="str">
        <f ca="1">IFERROR(__xludf.DUMMYFUNCTION("GoogleTranslate(Main!O12, ""pt"", ""en"")"),"High")</f>
        <v>High</v>
      </c>
      <c r="N12" s="7" t="str">
        <f ca="1">IFERROR(__xludf.DUMMYFUNCTION("GoogleTranslate(Main!P12, ""pt"", ""en"")"),"Requirements documentation, chat platforms with the team (eg Teams, Slack, Discord), code comments, meetings")</f>
        <v>Requirements documentation, chat platforms with the team (eg Teams, Slack, Discord), code comments, meetings</v>
      </c>
      <c r="O12" s="7" t="str">
        <f ca="1">IFERROR(__xludf.DUMMYFUNCTION("GoogleTranslate(Main!Q12, ""pt"", ""en"")"),"I agree")</f>
        <v>I agree</v>
      </c>
      <c r="P12" s="7" t="str">
        <f ca="1">IFERROR(__xludf.DUMMYFUNCTION("GoogleTranslate(Main!R12, ""pt"", ""en"")"),"Initial phase (for example, the design phase), development phase")</f>
        <v>Initial phase (for example, the design phase), development phase</v>
      </c>
      <c r="Q12" s="7" t="str">
        <f ca="1">IFERROR(__xludf.DUMMYFUNCTION("GoogleTranslate(Main!S12, ""pt"", ""en"")"),"Existed within the majority. Clarify developers, what technologies would be applied to the project and/or know which programmers were able to start the project immediately and which needed to go through a period of learning about these technologies.")</f>
        <v>Existed within the majority. Clarify developers, what technologies would be applied to the project and/or know which programmers were able to start the project immediately and which needed to go through a period of learning about these technologies.</v>
      </c>
      <c r="R12" s="7" t="str">
        <f ca="1">IFERROR(__xludf.DUMMYFUNCTION("GoogleTranslate(Main!T12, ""pt"", ""en"")"),"Review and refine RNFS definitions at the beginning of the development process, collaborate with other team members to collect insights, conduct code revisions focused on RFS")</f>
        <v>Review and refine RNFS definitions at the beginning of the development process, collaborate with other team members to collect insights, conduct code revisions focused on RFS</v>
      </c>
      <c r="S12" s="7" t="str">
        <f ca="1">IFERROR(__xludf.DUMMYFUNCTION("GoogleTranslate(Main!U12, ""pt"", ""en"")"),"During development, if there is any questions about the NFRs, it is looking for the pre -established documentation, if not enough, the ideal is to ask the cooperation of team members. If there is still no solution, a meeting is scheduled between the parti"&amp;"es involved. (If you reach the meeting part, prove a failure in the collection and analysis of requirements)")</f>
        <v>During development, if there is any questions about the NFRs, it is looking for the pre -established documentation, if not enough, the ideal is to ask the cooperation of team members. If there is still no solution, a meeting is scheduled between the parties involved. (If you reach the meeting part, prove a failure in the collection and analysis of requirements)</v>
      </c>
      <c r="T12" s="7" t="str">
        <f ca="1">IFERROR(__xludf.DUMMYFUNCTION("GoogleTranslate(Main!V12, ""pt"", ""en"")"),"Lack of clear documentation for non -functional requirements in the open source system, inadequate communication among team members on non -functional requirements, limited understanding of the technical implications of RNFs")</f>
        <v>Lack of clear documentation for non -functional requirements in the open source system, inadequate communication among team members on non -functional requirements, limited understanding of the technical implications of RNFs</v>
      </c>
      <c r="U12" s="7" t="str">
        <f ca="1">IFERROR(__xludf.DUMMYFUNCTION("GoogleTranslate(Main!W12, ""pt"", ""en"")"),"I am usually responsible for leaving NFRs, more plausible, for the established time and computational resources. Many developers at the beginning of the project speculate NFRs, to innovation of the tool, which are very out of reality for the customer's re"&amp;"quest. But if there is any form of implementing such resources in a way that does not disturb the project, I accept such a suggestion and still deal with the next NFRs.")</f>
        <v>I am usually responsible for leaving NFRs, more plausible, for the established time and computational resources. Many developers at the beginning of the project speculate NFRs, to innovation of the tool, which are very out of reality for the customer's request. But if there is any form of implementing such resources in a way that does not disturb the project, I accept such a suggestion and still deal with the next NFRs.</v>
      </c>
    </row>
    <row r="13" spans="1:24" x14ac:dyDescent="0.25">
      <c r="A13" s="5" t="s">
        <v>14</v>
      </c>
      <c r="B13" s="6">
        <v>35</v>
      </c>
      <c r="C13" s="7" t="str">
        <f ca="1">IFERROR(__xludf.DUMMYFUNCTION("GoogleTranslate(Main!E13, ""pt"", ""en"")"),"Feminine")</f>
        <v>Feminine</v>
      </c>
      <c r="D13" s="7" t="str">
        <f ca="1">IFERROR(__xludf.DUMMYFUNCTION("GoogleTranslate(Main!F13, ""pt"", ""en"")"),"Master's degree")</f>
        <v>Master's degree</v>
      </c>
      <c r="E13" s="6">
        <v>17</v>
      </c>
      <c r="F13" s="6">
        <v>15</v>
      </c>
      <c r="G13" s="7" t="str">
        <f ca="1">IFERROR(__xludf.DUMMYFUNCTION("GoogleTranslate(Main!I13, ""pt"", ""en"")"),"Very high")</f>
        <v>Very high</v>
      </c>
      <c r="H13" s="7" t="str">
        <f ca="1">IFERROR(__xludf.DUMMYFUNCTION("GoogleTranslate(Main!J13, ""pt"", ""en"")"),"CEO")</f>
        <v>CEO</v>
      </c>
      <c r="I13" s="7" t="str">
        <f ca="1">IFERROR(__xludf.DUMMYFUNCTION("GoogleTranslate(Main!K13, ""pt"", ""en"")"),"Python, JavaScript")</f>
        <v>Python, JavaScript</v>
      </c>
      <c r="J13" s="7" t="str">
        <f ca="1">IFERROR(__xludf.DUMMYFUNCTION("GoogleTranslate(Main!L13, ""pt"", ""en"")"),"In all projects I have already worked. Some of them in the role of requirements consultant, in others as Product Owner")</f>
        <v>In all projects I have already worked. Some of them in the role of requirements consultant, in others as Product Owner</v>
      </c>
      <c r="K13" s="7" t="str">
        <f ca="1">IFERROR(__xludf.DUMMYFUNCTION("GoogleTranslate(Main!M13, ""pt"", ""en"")"),"Relevance to your expertise area, impact on the quality of the software you use, alignment with the project objectives")</f>
        <v>Relevance to your expertise area, impact on the quality of the software you use, alignment with the project objectives</v>
      </c>
      <c r="L13" s="7" t="str">
        <f ca="1">IFERROR(__xludf.DUMMYFUNCTION("GoogleTranslate(Main!N13, ""pt"", ""en"")"),"Performance: Speed, Response Capacity and Efficiency of the Software., Scalability: Ability to deal with increased workload or users' traffic., Robustness: software capacity to recover under various conditions. System and accessibility to users., Security"&amp;": Measures to protect data and prevent unauthorized access., Usability: Ease of use and ease of interaction., Maintenance: Ease of making updates and changes in software.")</f>
        <v>Performance: Speed, Response Capacity and Efficiency of the Software., Scalability: Ability to deal with increased workload or users' traffic., Robustness: software capacity to recover under various conditions. System and accessibility to users., Security: Measures to protect data and prevent unauthorized access., Usability: Ease of use and ease of interaction., Maintenance: Ease of making updates and changes in software.</v>
      </c>
      <c r="M13" s="7" t="str">
        <f ca="1">IFERROR(__xludf.DUMMYFUNCTION("GoogleTranslate(Main!O13, ""pt"", ""en"")"),"Very high")</f>
        <v>Very high</v>
      </c>
      <c r="N13" s="7" t="str">
        <f ca="1">IFERROR(__xludf.DUMMYFUNCTION("GoogleTranslate(Main!P13, ""pt"", ""en"")"),"Chat platforms with the team (eg Teams, Slack, Discord), discussions on versioning platforms (for example, Issues and Pull Requests), meetings, I confess that I did not understand this question very well. “The necessary information” for diagnosis or resol"&amp;"ution?")</f>
        <v>Chat platforms with the team (eg Teams, Slack, Discord), discussions on versioning platforms (for example, Issues and Pull Requests), meetings, I confess that I did not understand this question very well. “The necessary information” for diagnosis or resolution?</v>
      </c>
      <c r="O13" s="7" t="str">
        <f ca="1">IFERROR(__xludf.DUMMYFUNCTION("GoogleTranslate(Main!Q13, ""pt"", ""en"")"),"I agree strongly")</f>
        <v>I agree strongly</v>
      </c>
      <c r="P13" s="7" t="str">
        <f ca="1">IFERROR(__xludf.DUMMYFUNCTION("GoogleTranslate(Main!R13, ""pt"", ""en"")"),"Initial phase (for example, the design phase), development phase, testing phase, implementation phase, maintenance phase, iteratively during the entire software life cycle")</f>
        <v>Initial phase (for example, the design phase), development phase, testing phase, implementation phase, maintenance phase, iteratively during the entire software life cycle</v>
      </c>
      <c r="Q13" s="7" t="str">
        <f ca="1">IFERROR(__xludf.DUMMYFUNCTION("GoogleTranslate(Main!S13, ""pt"", ""en"")"),"No, they were treated by everyone on the team")</f>
        <v>No, they were treated by everyone on the team</v>
      </c>
      <c r="R13" s="7" t="str">
        <f ca="1">IFERROR(__xludf.DUMMYFUNCTION("GoogleTranslate(Main!T13, ""pt"", ""en"")"),"Review and refine RNFS definitions at the beginning of the development process, collaborate with other team members to collect insights, integrating RNFS testing into the continuous integration pipeline")</f>
        <v>Review and refine RNFS definitions at the beginning of the development process, collaborate with other team members to collect insights, integrating RNFS testing into the continuous integration pipeline</v>
      </c>
      <c r="S13" s="7" t="str">
        <f ca="1">IFERROR(__xludf.DUMMYFUNCTION("GoogleTranslate(Main!U13, ""pt"", ""en"")"),"In my company we do not have a definite process that guarantees that we will not forget the RNFs. However, by my experience and vision of how important they are, always raise discussion related to them in the design and maintenance of all features. We als"&amp;"o included some performance and robust tests on the IC pipeline (but we still do it less than I would like)")</f>
        <v>In my company we do not have a definite process that guarantees that we will not forget the RNFs. However, by my experience and vision of how important they are, always raise discussion related to them in the design and maintenance of all features. We also included some performance and robust tests on the IC pipeline (but we still do it less than I would like)</v>
      </c>
      <c r="T13" s="7" t="str">
        <f ca="1">IFERROR(__xludf.DUMMYFUNCTION("GoogleTranslate(Main!V13, ""pt"", ""en"")"),"Insufficient tools or frameworks to test and check non-functional aspects, dealing with trade-offs between different non-functional requirements")</f>
        <v>Insufficient tools or frameworks to test and check non-functional aspects, dealing with trade-offs between different non-functional requirements</v>
      </c>
      <c r="U13" s="7" t="str">
        <f ca="1">IFERROR(__xludf.DUMMYFUNCTION("GoogleTranslate(Main!W13, ""pt"", ""en"")"),"I always greatly reinforce the importance of RNFs and guarantee that they are treated with the proper priority. However, I do this tacitly, without formal support methodology")</f>
        <v>I always greatly reinforce the importance of RNFs and guarantee that they are treated with the proper priority. However, I do this tacitly, without formal support methodology</v>
      </c>
    </row>
    <row r="14" spans="1:24" x14ac:dyDescent="0.25">
      <c r="A14" s="5" t="s">
        <v>15</v>
      </c>
      <c r="B14" s="6">
        <v>26</v>
      </c>
      <c r="C14" s="7" t="str">
        <f ca="1">IFERROR(__xludf.DUMMYFUNCTION("GoogleTranslate(Main!E14, ""pt"", ""en"")"),"Masculine")</f>
        <v>Masculine</v>
      </c>
      <c r="D14" s="7" t="str">
        <f ca="1">IFERROR(__xludf.DUMMYFUNCTION("GoogleTranslate(Main!F14, ""pt"", ""en"")"),"Bachelor")</f>
        <v>Bachelor</v>
      </c>
      <c r="E14" s="6">
        <v>6</v>
      </c>
      <c r="F14" s="6">
        <v>2</v>
      </c>
      <c r="G14" s="7" t="str">
        <f ca="1">IFERROR(__xludf.DUMMYFUNCTION("GoogleTranslate(Main!I14, ""pt"", ""en"")"),"High")</f>
        <v>High</v>
      </c>
      <c r="H14" s="7" t="str">
        <f ca="1">IFERROR(__xludf.DUMMYFUNCTION("GoogleTranslate(Main!J14, ""pt"", ""en"")"),"Software engineer")</f>
        <v>Software engineer</v>
      </c>
      <c r="I14" s="7" t="str">
        <f ca="1">IFERROR(__xludf.DUMMYFUNCTION("GoogleTranslate(Main!K14, ""pt"", ""en"")"),"C#, php")</f>
        <v>C#, php</v>
      </c>
      <c r="J14" s="7" t="str">
        <f ca="1">IFERROR(__xludf.DUMMYFUNCTION("GoogleTranslate(Main!L14, ""pt"", ""en"")"),"Need to reduce the loading time of a web page that should provide tens of thousands of records. Control of memory consumption of an application with millions of records stored in memory.")</f>
        <v>Need to reduce the loading time of a web page that should provide tens of thousands of records. Control of memory consumption of an application with millions of records stored in memory.</v>
      </c>
      <c r="K14" s="7" t="str">
        <f ca="1">IFERROR(__xludf.DUMMYFUNCTION("GoogleTranslate(Main!M14, ""pt"", ""en"")"),"Impact on the quality of the software you use, alignment with the project objectives")</f>
        <v>Impact on the quality of the software you use, alignment with the project objectives</v>
      </c>
      <c r="L14" s="7" t="str">
        <f ca="1">IFERROR(__xludf.DUMMYFUNCTION("GoogleTranslate(Main!N14, ""pt"", ""en"")"),"Performance: Speed, Response Capacity and Software Efficiency., Scalability: Ability to deal with increased workload or user traffic., Robustness: software capacity to recover under various conditions. Usability: ease of use and ease of interaction., Main"&amp;"tenance: Ease of making updates and changes in the software.")</f>
        <v>Performance: Speed, Response Capacity and Software Efficiency., Scalability: Ability to deal with increased workload or user traffic., Robustness: software capacity to recover under various conditions. Usability: ease of use and ease of interaction., Maintenance: Ease of making updates and changes in the software.</v>
      </c>
      <c r="M14" s="7" t="str">
        <f ca="1">IFERROR(__xludf.DUMMYFUNCTION("GoogleTranslate(Main!O14, ""pt"", ""en"")"),"Low")</f>
        <v>Low</v>
      </c>
      <c r="N14" s="7" t="str">
        <f ca="1">IFERROR(__xludf.DUMMYFUNCTION("GoogleTranslate(Main!P14, ""pt"", ""en"")"),"Chat platforms with the team (eg Teams, Slack, Discord), meetings, with other colleagues (more experienced)")</f>
        <v>Chat platforms with the team (eg Teams, Slack, Discord), meetings, with other colleagues (more experienced)</v>
      </c>
      <c r="O14" s="7" t="str">
        <f ca="1">IFERROR(__xludf.DUMMYFUNCTION("GoogleTranslate(Main!Q14, ""pt"", ""en"")"),"I agree")</f>
        <v>I agree</v>
      </c>
      <c r="P14" s="7" t="str">
        <f ca="1">IFERROR(__xludf.DUMMYFUNCTION("GoogleTranslate(Main!R14, ""pt"", ""en"")"),"Initial phase (for example, the design phase), development phase, testing phase, maintenance phase")</f>
        <v>Initial phase (for example, the design phase), development phase, testing phase, maintenance phase</v>
      </c>
      <c r="Q14" s="7" t="str">
        <f ca="1">IFERROR(__xludf.DUMMYFUNCTION("GoogleTranslate(Main!S14, ""pt"", ""en"")"),"No")</f>
        <v>No</v>
      </c>
      <c r="R14" s="7" t="str">
        <f ca="1">IFERROR(__xludf.DUMMYFUNCTION("GoogleTranslate(Main!T14, ""pt"", ""en"")"),"Review and refine RNFS definitions at the beginning of the development process, collaborate with other team members to collect insights, conduct code revisions focused on RFS")</f>
        <v>Review and refine RNFS definitions at the beginning of the development process, collaborate with other team members to collect insights, conduct code revisions focused on RFS</v>
      </c>
      <c r="S14" s="7" t="str">
        <f ca="1">IFERROR(__xludf.DUMMYFUNCTION("GoogleTranslate(Main!U14, ""pt"", ""en"")"),"During the design of the software solution, the team lists the RNFs typically based on the prior experience or some specific point raised with customers. During the code review phase, reviewers also evaluate points mainly related to the performance and sc"&amp;"alability of the developed code.")</f>
        <v>During the design of the software solution, the team lists the RNFs typically based on the prior experience or some specific point raised with customers. During the code review phase, reviewers also evaluate points mainly related to the performance and scalability of the developed code.</v>
      </c>
      <c r="T14" s="7" t="str">
        <f ca="1">IFERROR(__xludf.DUMMYFUNCTION("GoogleTranslate(Main!V14, ""pt"", ""en"")"),"I never participated in such discussions.")</f>
        <v>I never participated in such discussions.</v>
      </c>
      <c r="U14" s="7" t="str">
        <f ca="1">IFERROR(__xludf.DUMMYFUNCTION("GoogleTranslate(Main!W14, ""pt"", ""en"")"),"One of the most useful suggestions I've ever received was to make Bechmarks to simulate the behavior of a code stretch or algorithm under different conditions. This allows you to review and/or refact the code to meet the project specifications.")</f>
        <v>One of the most useful suggestions I've ever received was to make Bechmarks to simulate the behavior of a code stretch or algorithm under different conditions. This allows you to review and/or refact the code to meet the project specifications.</v>
      </c>
    </row>
    <row r="15" spans="1:24" x14ac:dyDescent="0.25">
      <c r="A15" s="5" t="s">
        <v>16</v>
      </c>
      <c r="B15" s="6">
        <v>32</v>
      </c>
      <c r="C15" s="7" t="str">
        <f ca="1">IFERROR(__xludf.DUMMYFUNCTION("GoogleTranslate(Main!E15, ""pt"", ""en"")"),"Masculine")</f>
        <v>Masculine</v>
      </c>
      <c r="D15" s="7" t="str">
        <f ca="1">IFERROR(__xludf.DUMMYFUNCTION("GoogleTranslate(Main!F15, ""pt"", ""en"")"),"Master's degree")</f>
        <v>Master's degree</v>
      </c>
      <c r="E15" s="6">
        <v>8</v>
      </c>
      <c r="F15" s="6">
        <v>8</v>
      </c>
      <c r="G15" s="7" t="str">
        <f ca="1">IFERROR(__xludf.DUMMYFUNCTION("GoogleTranslate(Main!I15, ""pt"", ""en"")"),"Very high")</f>
        <v>Very high</v>
      </c>
      <c r="H15" s="7" t="str">
        <f ca="1">IFERROR(__xludf.DUMMYFUNCTION("GoogleTranslate(Main!J15, ""pt"", ""en"")"),"Software engineer")</f>
        <v>Software engineer</v>
      </c>
      <c r="I15" s="7" t="str">
        <f ca="1">IFERROR(__xludf.DUMMYFUNCTION("GoogleTranslate(Main!K15, ""pt"", ""en"")"),"Java, Python, C, JavaScript")</f>
        <v>Java, Python, C, JavaScript</v>
      </c>
      <c r="J15" s="7" t="str">
        <f ca="1">IFERROR(__xludf.DUMMYFUNCTION("GoogleTranslate(Main!L15, ""pt"", ""en"")"),"Requirements regarding the scalability and safety of systems")</f>
        <v>Requirements regarding the scalability and safety of systems</v>
      </c>
      <c r="K15" s="7" t="str">
        <f ca="1">IFERROR(__xludf.DUMMYFUNCTION("GoogleTranslate(Main!M15, ""pt"", ""en"")"),"Impact on the quality of the software you use, alignment with the project objectives, potential risks of NFRs are not addressed")</f>
        <v>Impact on the quality of the software you use, alignment with the project objectives, potential risks of NFRs are not addressed</v>
      </c>
      <c r="L15" s="7" t="str">
        <f ca="1">IFERROR(__xludf.DUMMYFUNCTION("GoogleTranslate(Main!N15, ""pt"", ""en"")"),"Performance: Speed, Response Capacity and Efficiency of the Software., Scalability: Ability to deal with increased workload or users' traffic., Robustness: software capacity to recover under various conditions. System and accessibility to users., Security"&amp;": Measures to protect data and prevent unauthorized access., Maintenance: Ease of making updates and changes in the software.")</f>
        <v>Performance: Speed, Response Capacity and Efficiency of the Software., Scalability: Ability to deal with increased workload or users' traffic., Robustness: software capacity to recover under various conditions. System and accessibility to users., Security: Measures to protect data and prevent unauthorized access., Maintenance: Ease of making updates and changes in the software.</v>
      </c>
      <c r="M15" s="7" t="str">
        <f ca="1">IFERROR(__xludf.DUMMYFUNCTION("GoogleTranslate(Main!O15, ""pt"", ""en"")"),"High")</f>
        <v>High</v>
      </c>
      <c r="N15" s="7" t="str">
        <f ca="1">IFERROR(__xludf.DUMMYFUNCTION("GoogleTranslate(Main!P15, ""pt"", ""en"")"),"Requirements documentation, chat platforms with the team (eg Teams, Slack, Discord), meetings")</f>
        <v>Requirements documentation, chat platforms with the team (eg Teams, Slack, Discord), meetings</v>
      </c>
      <c r="O15" s="7" t="str">
        <f ca="1">IFERROR(__xludf.DUMMYFUNCTION("GoogleTranslate(Main!Q15, ""pt"", ""en"")"),"I agree strongly")</f>
        <v>I agree strongly</v>
      </c>
      <c r="P15" s="7" t="str">
        <f ca="1">IFERROR(__xludf.DUMMYFUNCTION("GoogleTranslate(Main!R15, ""pt"", ""en"")"),"Initial phase (for example, the design phase), development phase, testing phase, implementation phase, maintenance phase, iteratively during the entire software life cycle")</f>
        <v>Initial phase (for example, the design phase), development phase, testing phase, implementation phase, maintenance phase, iteratively during the entire software life cycle</v>
      </c>
      <c r="Q15" s="7" t="str">
        <f ca="1">IFERROR(__xludf.DUMMYFUNCTION("GoogleTranslate(Main!S15, ""pt"", ""en"")"),"Yes, they were in charge of the Sres (Rally Engineering site) and software engineers.")</f>
        <v>Yes, they were in charge of the Sres (Rally Engineering site) and software engineers.</v>
      </c>
      <c r="R15" s="7" t="str">
        <f ca="1">IFERROR(__xludf.DUMMYFUNCTION("GoogleTranslate(Main!T15, ""pt"", ""en"")"),"Review and refine RNFS definitions at the beginning of the development process, collaborate with other team members to collect insights, employ specific tools or frameworks for RNFs assessment, integrating RNFs testing into the continuous integration pipe"&amp;"line")</f>
        <v>Review and refine RNFS definitions at the beginning of the development process, collaborate with other team members to collect insights, employ specific tools or frameworks for RNFs assessment, integrating RNFs testing into the continuous integration pipeline</v>
      </c>
      <c r="S15" s="7" t="str">
        <f ca="1">IFERROR(__xludf.DUMMYFUNCTION("GoogleTranslate(Main!U15, ""pt"", ""en"")"),"All systems follow a set of rules from their conception to ensure scalability, safety and availability.")</f>
        <v>All systems follow a set of rules from their conception to ensure scalability, safety and availability.</v>
      </c>
      <c r="T15" s="7" t="str">
        <f ca="1">IFERROR(__xludf.DUMMYFUNCTION("GoogleTranslate(Main!V15, ""pt"", ""en"")"),"None")</f>
        <v>None</v>
      </c>
      <c r="U15" s="7" t="str">
        <f ca="1">IFERROR(__xludf.DUMMYFUNCTION("GoogleTranslate(Main!W15, ""pt"", ""en"")"),"Yes, discussions about safety layers with Gateways and Requests Limits.")</f>
        <v>Yes, discussions about safety layers with Gateways and Requests Limits.</v>
      </c>
    </row>
    <row r="16" spans="1:24" x14ac:dyDescent="0.25">
      <c r="A16" s="5" t="s">
        <v>17</v>
      </c>
      <c r="B16" s="6">
        <v>53</v>
      </c>
      <c r="C16" s="7" t="str">
        <f ca="1">IFERROR(__xludf.DUMMYFUNCTION("GoogleTranslate(Main!E16, ""pt"", ""en"")"),"Masculine")</f>
        <v>Masculine</v>
      </c>
      <c r="D16" s="7" t="str">
        <f ca="1">IFERROR(__xludf.DUMMYFUNCTION("GoogleTranslate(Main!F16, ""pt"", ""en"")"),"Specialization/MBA")</f>
        <v>Specialization/MBA</v>
      </c>
      <c r="E16" s="6">
        <v>20</v>
      </c>
      <c r="F16" s="6">
        <v>50</v>
      </c>
      <c r="G16" s="7" t="str">
        <f ca="1">IFERROR(__xludf.DUMMYFUNCTION("GoogleTranslate(Main!I16, ""pt"", ""en"")"),"High")</f>
        <v>High</v>
      </c>
      <c r="H16" s="7" t="str">
        <f ca="1">IFERROR(__xludf.DUMMYFUNCTION("GoogleTranslate(Main!J16, ""pt"", ""en"")"),"Software developer")</f>
        <v>Software developer</v>
      </c>
      <c r="I16" s="7" t="str">
        <f ca="1">IFERROR(__xludf.DUMMYFUNCTION("GoogleTranslate(Main!K16, ""pt"", ""en"")"),"Java, C, C ++, JavaScript")</f>
        <v>Java, C, C ++, JavaScript</v>
      </c>
      <c r="J16" s="7" t="str">
        <f ca="1">IFERROR(__xludf.DUMMYFUNCTION("GoogleTranslate(Main!L16, ""pt"", ""en"")"),"Working with languages ​​associated with the database, and working with a stalker database such as Oracle and SQL Server, we always kept in mind that we need to keep the system working so that it does not fall into discredit, carrying the database needs t"&amp;"o be redundant, to Do not stop on the first disc or machine problem, so when any component drops by hardware problem, we should always have a plan that will mitigate the problems and present new solutions to customers who are accessing the system, making "&amp;"it more reliable, and Less susceptible to errors that can be minimized.")</f>
        <v>Working with languages ​​associated with the database, and working with a stalker database such as Oracle and SQL Server, we always kept in mind that we need to keep the system working so that it does not fall into discredit, carrying the database needs to be redundant, to Do not stop on the first disc or machine problem, so when any component drops by hardware problem, we should always have a plan that will mitigate the problems and present new solutions to customers who are accessing the system, making it more reliable, and Less susceptible to errors that can be minimized.</v>
      </c>
      <c r="K16" s="7" t="str">
        <f ca="1">IFERROR(__xludf.DUMMYFUNCTION("GoogleTranslate(Main!M16, ""pt"", ""en"")"),"Relevance to your expertise area, impact on the quality of the software you use, learning opportunity")</f>
        <v>Relevance to your expertise area, impact on the quality of the software you use, learning opportunity</v>
      </c>
      <c r="L16" s="7" t="str">
        <f ca="1">IFERROR(__xludf.DUMMYFUNCTION("GoogleTranslate(Main!N16, ""pt"", ""en"")"),"Performance: Speed, Response Capacity and Software Efficiency., Scalability: Ability to deal with increased workload or users' traffic. data and prevent unauthorized access.")</f>
        <v>Performance: Speed, Response Capacity and Software Efficiency., Scalability: Ability to deal with increased workload or users' traffic. data and prevent unauthorized access.</v>
      </c>
      <c r="M16" s="7" t="str">
        <f ca="1">IFERROR(__xludf.DUMMYFUNCTION("GoogleTranslate(Main!O16, ""pt"", ""en"")"),"High")</f>
        <v>High</v>
      </c>
      <c r="N16" s="7" t="str">
        <f ca="1">IFERROR(__xludf.DUMMYFUNCTION("GoogleTranslate(Main!P16, ""pt"", ""en"")"),"Chat platforms with the team (for example, Teams, Slack, Discord), discussions on version platforms (for example, issues and pull Requests), meetings")</f>
        <v>Chat platforms with the team (for example, Teams, Slack, Discord), discussions on version platforms (for example, issues and pull Requests), meetings</v>
      </c>
      <c r="O16" s="7" t="str">
        <f ca="1">IFERROR(__xludf.DUMMYFUNCTION("GoogleTranslate(Main!Q16, ""pt"", ""en"")"),"I agree")</f>
        <v>I agree</v>
      </c>
      <c r="P16" s="7" t="str">
        <f ca="1">IFERROR(__xludf.DUMMYFUNCTION("GoogleTranslate(Main!R16, ""pt"", ""en"")"),"Development phase, implementation phase")</f>
        <v>Development phase, implementation phase</v>
      </c>
      <c r="Q16" s="7" t="str">
        <f ca="1">IFERROR(__xludf.DUMMYFUNCTION("GoogleTranslate(Main!S16, ""pt"", ""en"")"),"There were no designated people, but concerns were always brought about with reliability, scalability, and performance of the system, which was widely discussed at meetings.")</f>
        <v>There were no designated people, but concerns were always brought about with reliability, scalability, and performance of the system, which was widely discussed at meetings.</v>
      </c>
      <c r="R16" s="7" t="str">
        <f ca="1">IFERROR(__xludf.DUMMYFUNCTION("GoogleTranslate(Main!T16, ""pt"", ""en"")"),"Collaborate with other team members to collect insights, integrating RNFS testing into the continuous integration pipeline")</f>
        <v>Collaborate with other team members to collect insights, integrating RNFS testing into the continuous integration pipeline</v>
      </c>
      <c r="S16" s="7" t="str">
        <f ca="1">IFERROR(__xludf.DUMMYFUNCTION("GoogleTranslate(Main!U16, ""pt"", ""en"")"),"At the meetings of. Discussions on System Reliability and Performance")</f>
        <v>At the meetings of. Discussions on System Reliability and Performance</v>
      </c>
      <c r="T16" s="7" t="str">
        <f ca="1">IFERROR(__xludf.DUMMYFUNCTION("GoogleTranslate(Main!V16, ""pt"", ""en"")"),"Lack of clear documentation for non -functional requirements in the open source system, insufficient tools or frameworks to test and verify non -functional aspects, limited understanding of the technical implications of RNFs")</f>
        <v>Lack of clear documentation for non -functional requirements in the open source system, insufficient tools or frameworks to test and verify non -functional aspects, limited understanding of the technical implications of RNFs</v>
      </c>
      <c r="U16" s="7" t="str">
        <f ca="1">IFERROR(__xludf.DUMMYFUNCTION("GoogleTranslate(Main!W16, ""pt"", ""en"")"),"With tool approach, reliability discussions, and system performance.")</f>
        <v>With tool approach, reliability discussions, and system performance.</v>
      </c>
    </row>
    <row r="17" spans="1:21" x14ac:dyDescent="0.25">
      <c r="A17" s="5" t="s">
        <v>18</v>
      </c>
      <c r="B17" s="6">
        <v>61</v>
      </c>
      <c r="C17" s="7" t="str">
        <f ca="1">IFERROR(__xludf.DUMMYFUNCTION("GoogleTranslate(Main!E17, ""pt"", ""en"")"),"Masculine")</f>
        <v>Masculine</v>
      </c>
      <c r="D17" s="7" t="str">
        <f ca="1">IFERROR(__xludf.DUMMYFUNCTION("GoogleTranslate(Main!F17, ""pt"", ""en"")"),"Specialization/MBA")</f>
        <v>Specialization/MBA</v>
      </c>
      <c r="E17" s="6">
        <v>3</v>
      </c>
      <c r="F17" s="8" t="s">
        <v>1</v>
      </c>
      <c r="G17" s="7" t="str">
        <f ca="1">IFERROR(__xludf.DUMMYFUNCTION("GoogleTranslate(Main!I17, ""pt"", ""en"")"),"Low")</f>
        <v>Low</v>
      </c>
      <c r="H17" s="7" t="str">
        <f ca="1">IFERROR(__xludf.DUMMYFUNCTION("GoogleTranslate(Main!J17, ""pt"", ""en"")"),"Data analyst")</f>
        <v>Data analyst</v>
      </c>
      <c r="I17" s="7" t="str">
        <f ca="1">IFERROR(__xludf.DUMMYFUNCTION("GoogleTranslate(Main!K17, ""pt"", ""en"")"),"Python")</f>
        <v>Python</v>
      </c>
      <c r="J17" s="7" t="str">
        <f ca="1">IFERROR(__xludf.DUMMYFUNCTION("GoogleTranslate(Main!L17, ""pt"", ""en"")"),"Navigability, aid (help), screen design")</f>
        <v>Navigability, aid (help), screen design</v>
      </c>
      <c r="K17" s="7" t="str">
        <f ca="1">IFERROR(__xludf.DUMMYFUNCTION("GoogleTranslate(Main!M17, ""pt"", ""en"")"),"Impact on the quality of the software you use, alignment with the project objectives")</f>
        <v>Impact on the quality of the software you use, alignment with the project objectives</v>
      </c>
      <c r="L17" s="7" t="str">
        <f ca="1">IFERROR(__xludf.DUMMYFUNCTION("GoogleTranslate(Main!N17, ""pt"", ""en"")"),"Scalability: Ability to deal with increased workload or user traffic., Availability: System activity time and accessibility to users., Safety: Measures to protect data and prevent unauthorized access., Usability: Ease of use and ease of interaction.")</f>
        <v>Scalability: Ability to deal with increased workload or user traffic., Availability: System activity time and accessibility to users., Safety: Measures to protect data and prevent unauthorized access., Usability: Ease of use and ease of interaction.</v>
      </c>
      <c r="M17" s="7" t="str">
        <f ca="1">IFERROR(__xludf.DUMMYFUNCTION("GoogleTranslate(Main!O17, ""pt"", ""en"")"),"Low")</f>
        <v>Low</v>
      </c>
      <c r="N17" s="7" t="str">
        <f ca="1">IFERROR(__xludf.DUMMYFUNCTION("GoogleTranslate(Main!P17, ""pt"", ""en"")"),"Requirements documentation, chat platforms with the team (eg Teams, Slack, Discord), meetings")</f>
        <v>Requirements documentation, chat platforms with the team (eg Teams, Slack, Discord), meetings</v>
      </c>
      <c r="O17" s="7" t="str">
        <f ca="1">IFERROR(__xludf.DUMMYFUNCTION("GoogleTranslate(Main!Q17, ""pt"", ""en"")"),"I agree strongly")</f>
        <v>I agree strongly</v>
      </c>
      <c r="P17" s="7" t="str">
        <f ca="1">IFERROR(__xludf.DUMMYFUNCTION("GoogleTranslate(Main!R17, ""pt"", ""en"")"),"Initial phase (for example, the design phase), development phase")</f>
        <v>Initial phase (for example, the design phase), development phase</v>
      </c>
      <c r="Q17" s="7" t="str">
        <f ca="1">IFERROR(__xludf.DUMMYFUNCTION("GoogleTranslate(Main!S17, ""pt"", ""en"")"),"No")</f>
        <v>No</v>
      </c>
      <c r="R17" s="7" t="str">
        <f ca="1">IFERROR(__xludf.DUMMYFUNCTION("GoogleTranslate(Main!T17, ""pt"", ""en"")"),"Review and refine RNFS definitions at the beginning of the development process, collaborate with other team members to collect insights")</f>
        <v>Review and refine RNFS definitions at the beginning of the development process, collaborate with other team members to collect insights</v>
      </c>
      <c r="S17" s="7" t="str">
        <f ca="1">IFERROR(__xludf.DUMMYFUNCTION("GoogleTranslate(Main!U17, ""pt"", ""en"")"),"Seek constant customer feedback during development")</f>
        <v>Seek constant customer feedback during development</v>
      </c>
      <c r="T17" s="7" t="str">
        <f ca="1">IFERROR(__xludf.DUMMYFUNCTION("GoogleTranslate(Main!V17, ""pt"", ""en"")"),"Inadequate communication among team members on non -functional requirements, ambiguity to define and articulate RNFS clearly")</f>
        <v>Inadequate communication among team members on non -functional requirements, ambiguity to define and articulate RNFS clearly</v>
      </c>
      <c r="U17" s="7" t="str">
        <f ca="1">IFERROR(__xludf.DUMMYFUNCTION("GoogleTranslate(Main!W17, ""pt"", ""en"")"),"Yes.
Presenting the information and data clearly and objectively.
Getting in usability")</f>
        <v>Yes.
Presenting the information and data clearly and objectively.
Getting in usability</v>
      </c>
    </row>
    <row r="18" spans="1:21" x14ac:dyDescent="0.25">
      <c r="A18" s="5" t="s">
        <v>19</v>
      </c>
      <c r="B18" s="6">
        <v>42</v>
      </c>
      <c r="C18" s="7" t="str">
        <f ca="1">IFERROR(__xludf.DUMMYFUNCTION("GoogleTranslate(Main!E18, ""pt"", ""en"")"),"Masculine")</f>
        <v>Masculine</v>
      </c>
      <c r="D18" s="7" t="str">
        <f ca="1">IFERROR(__xludf.DUMMYFUNCTION("GoogleTranslate(Main!F18, ""pt"", ""en"")"),"Specialization/MBA")</f>
        <v>Specialization/MBA</v>
      </c>
      <c r="E18" s="6">
        <v>23</v>
      </c>
      <c r="F18" s="6">
        <v>50</v>
      </c>
      <c r="G18" s="7" t="str">
        <f ca="1">IFERROR(__xludf.DUMMYFUNCTION("GoogleTranslate(Main!I18, ""pt"", ""en"")"),"Very high")</f>
        <v>Very high</v>
      </c>
      <c r="H18" s="7" t="str">
        <f ca="1">IFERROR(__xludf.DUMMYFUNCTION("GoogleTranslate(Main!J18, ""pt"", ""en"")"),"Data Engineering")</f>
        <v>Data Engineering</v>
      </c>
      <c r="I18" s="7" t="str">
        <f ca="1">IFERROR(__xludf.DUMMYFUNCTION("GoogleTranslate(Main!K18, ""pt"", ""en"")"),"Java, C#")</f>
        <v>Java, C#</v>
      </c>
      <c r="J18" s="7" t="str">
        <f ca="1">IFERROR(__xludf.DUMMYFUNCTION("GoogleTranslate(Main!L18, ""pt"", ""en"")"),"For 15 years, in solutions to the City of São Luís")</f>
        <v>For 15 years, in solutions to the City of São Luís</v>
      </c>
      <c r="K18" s="7" t="str">
        <f ca="1">IFERROR(__xludf.DUMMYFUNCTION("GoogleTranslate(Main!M18, ""pt"", ""en"")"),"Impact on the quality of the software you use, alignment with the project objectives, potential risks of NFRs are not addressed")</f>
        <v>Impact on the quality of the software you use, alignment with the project objectives, potential risks of NFRs are not addressed</v>
      </c>
      <c r="L18" s="7" t="str">
        <f ca="1">IFERROR(__xludf.DUMMYFUNCTION("GoogleTranslate(Main!N18, ""pt"", ""en"")"),"Scalability: ability to deal with increased workload or users' traffic., Robustness: software capacity to recover under various conditions. Availability: System activity time and accessibility for users. Make updates and changes in the software.")</f>
        <v>Scalability: ability to deal with increased workload or users' traffic., Robustness: software capacity to recover under various conditions. Availability: System activity time and accessibility for users. Make updates and changes in the software.</v>
      </c>
      <c r="M18" s="7" t="str">
        <f ca="1">IFERROR(__xludf.DUMMYFUNCTION("GoogleTranslate(Main!O18, ""pt"", ""en"")"),"Very high")</f>
        <v>Very high</v>
      </c>
      <c r="N18" s="7" t="str">
        <f ca="1">IFERROR(__xludf.DUMMYFUNCTION("GoogleTranslate(Main!P18, ""pt"", ""en"")"),"Requirements documentation, chat platforms with the team (eg Teams, Slack, Discord), Code Comments, Version Platform Discussions (eg, Issues and Pull Requests), meetings, with other colleagues (more experienced ), Email")</f>
        <v>Requirements documentation, chat platforms with the team (eg Teams, Slack, Discord), Code Comments, Version Platform Discussions (eg, Issues and Pull Requests), meetings, with other colleagues (more experienced ), Email</v>
      </c>
      <c r="O18" s="7" t="str">
        <f ca="1">IFERROR(__xludf.DUMMYFUNCTION("GoogleTranslate(Main!Q18, ""pt"", ""en"")"),"I disagree")</f>
        <v>I disagree</v>
      </c>
      <c r="P18" s="7" t="str">
        <f ca="1">IFERROR(__xludf.DUMMYFUNCTION("GoogleTranslate(Main!R18, ""pt"", ""en"")"),"Initial phase (for example, the design phase), development phase, testing phase, implementation phase, maintenance phase")</f>
        <v>Initial phase (for example, the design phase), development phase, testing phase, implementation phase, maintenance phase</v>
      </c>
      <c r="Q18" s="7" t="str">
        <f ca="1">IFERROR(__xludf.DUMMYFUNCTION("GoogleTranslate(Main!S18, ""pt"", ""en"")"),"No")</f>
        <v>No</v>
      </c>
      <c r="R18" s="7" t="str">
        <f ca="1">IFERROR(__xludf.DUMMYFUNCTION("GoogleTranslate(Main!T18, ""pt"", ""en"")"),"Collaborate with other team members to collect insights, employ specific tools or frameworks for RNFs assessment, integrating RNFS testing into the continuous integration pipeline")</f>
        <v>Collaborate with other team members to collect insights, employ specific tools or frameworks for RNFs assessment, integrating RNFS testing into the continuous integration pipeline</v>
      </c>
      <c r="S18" s="7" t="str">
        <f ca="1">IFERROR(__xludf.DUMMYFUNCTION("GoogleTranslate(Main!U18, ""pt"", ""en"")"),"It has always occurred reactively when an RNF was below acceptable. Proactively, only when RNF is a requirement of a TDR, for example. In this case, many times, automated tools are used to ensure that the RNF is being served. Ex: Use of SONAR QUBE for min"&amp;"imum automated testing coverage.")</f>
        <v>It has always occurred reactively when an RNF was below acceptable. Proactively, only when RNF is a requirement of a TDR, for example. In this case, many times, automated tools are used to ensure that the RNF is being served. Ex: Use of SONAR QUBE for minimum automated testing coverage.</v>
      </c>
      <c r="T18" s="7" t="str">
        <f ca="1">IFERROR(__xludf.DUMMYFUNCTION("GoogleTranslate(Main!V18, ""pt"", ""en"")"),"Lack of clear documentation for non -functional requirements in the open source system, insufficient tools or frameworks to test and verify non -functional aspects, ambiguity to define and articulate RNFs clearly")</f>
        <v>Lack of clear documentation for non -functional requirements in the open source system, insufficient tools or frameworks to test and verify non -functional aspects, ambiguity to define and articulate RNFs clearly</v>
      </c>
      <c r="U18" s="7" t="str">
        <f ca="1">IFERROR(__xludf.DUMMYFUNCTION("GoogleTranslate(Main!W18, ""pt"", ""en"")"),"The suggestion I recommend is always to keep RNF visible and traceable, so that the team is able to include them within the solution development of the solution. When this does not happen, they are easily neglected.")</f>
        <v>The suggestion I recommend is always to keep RNF visible and traceable, so that the team is able to include them within the solution development of the solution. When this does not happen, they are easily neglected.</v>
      </c>
    </row>
    <row r="19" spans="1:21" x14ac:dyDescent="0.25">
      <c r="A19" s="5" t="s">
        <v>20</v>
      </c>
      <c r="B19" s="6">
        <v>24</v>
      </c>
      <c r="C19" s="7" t="str">
        <f ca="1">IFERROR(__xludf.DUMMYFUNCTION("GoogleTranslate(Main!E19, ""pt"", ""en"")"),"Masculine")</f>
        <v>Masculine</v>
      </c>
      <c r="D19" s="7" t="str">
        <f ca="1">IFERROR(__xludf.DUMMYFUNCTION("GoogleTranslate(Main!F19, ""pt"", ""en"")"),"High school")</f>
        <v>High school</v>
      </c>
      <c r="E19" s="6">
        <v>9</v>
      </c>
      <c r="F19" s="6">
        <v>2</v>
      </c>
      <c r="G19" s="7" t="str">
        <f ca="1">IFERROR(__xludf.DUMMYFUNCTION("GoogleTranslate(Main!I19, ""pt"", ""en"")"),"Low")</f>
        <v>Low</v>
      </c>
      <c r="H19" s="7" t="str">
        <f ca="1">IFERROR(__xludf.DUMMYFUNCTION("GoogleTranslate(Main!J19, ""pt"", ""en"")"),"Robotics teacher")</f>
        <v>Robotics teacher</v>
      </c>
      <c r="I19" s="7" t="str">
        <f ca="1">IFERROR(__xludf.DUMMYFUNCTION("GoogleTranslate(Main!K19, ""pt"", ""en"")"),"Java, C ++, JavaScript")</f>
        <v>Java, C ++, JavaScript</v>
      </c>
      <c r="J19" s="7" t="str">
        <f ca="1">IFERROR(__xludf.DUMMYFUNCTION("GoogleTranslate(Main!L19, ""pt"", ""en"")"),"Academic works, projects with companies and private projects")</f>
        <v>Academic works, projects with companies and private projects</v>
      </c>
      <c r="K19" s="7" t="str">
        <f ca="1">IFERROR(__xludf.DUMMYFUNCTION("GoogleTranslate(Main!M19, ""pt"", ""en"")"),"Impact on the quality of the software you use, alignment with the project objectives, potential risks of NFRs are not addressed")</f>
        <v>Impact on the quality of the software you use, alignment with the project objectives, potential risks of NFRs are not addressed</v>
      </c>
      <c r="L19" s="7" t="str">
        <f ca="1">IFERROR(__xludf.DUMMYFUNCTION("GoogleTranslate(Main!N19, ""pt"", ""en"")"),"Performance: Speed, Software Response Capacity, and Efficiency., Robustness: Software capacity to recover under various conditions., Safety: Measures to protect data and prevent unauthorized access. Software.")</f>
        <v>Performance: Speed, Software Response Capacity, and Efficiency., Robustness: Software capacity to recover under various conditions., Safety: Measures to protect data and prevent unauthorized access. Software.</v>
      </c>
      <c r="M19" s="7" t="str">
        <f ca="1">IFERROR(__xludf.DUMMYFUNCTION("GoogleTranslate(Main!O19, ""pt"", ""en"")"),"High")</f>
        <v>High</v>
      </c>
      <c r="N19" s="7" t="str">
        <f ca="1">IFERROR(__xludf.DUMMYFUNCTION("GoogleTranslate(Main!P19, ""pt"", ""en"")"),"Requirements documentation, code comments, meetings")</f>
        <v>Requirements documentation, code comments, meetings</v>
      </c>
      <c r="O19" s="7" t="str">
        <f ca="1">IFERROR(__xludf.DUMMYFUNCTION("GoogleTranslate(Main!Q19, ""pt"", ""en"")"),"I agree strongly")</f>
        <v>I agree strongly</v>
      </c>
      <c r="P19" s="7" t="str">
        <f ca="1">IFERROR(__xludf.DUMMYFUNCTION("GoogleTranslate(Main!R19, ""pt"", ""en"")"),"Initial phase (for example, the design phase), development phase, testing phase, implementation phase, maintenance phase, iteratively during the entire software life cycle")</f>
        <v>Initial phase (for example, the design phase), development phase, testing phase, implementation phase, maintenance phase, iteratively during the entire software life cycle</v>
      </c>
      <c r="Q19" s="7" t="str">
        <f ca="1">IFERROR(__xludf.DUMMYFUNCTION("GoogleTranslate(Main!S19, ""pt"", ""en"")"),"no")</f>
        <v>no</v>
      </c>
      <c r="R19" s="7" t="str">
        <f ca="1">IFERROR(__xludf.DUMMYFUNCTION("GoogleTranslate(Main!T19, ""pt"", ""en"")"),"Review and refine RNFS definitions at the beginning of the development process, conduct code revisions focused on RNFs, integrating RNFS testing into the continuous integration pipeline")</f>
        <v>Review and refine RNFS definitions at the beginning of the development process, conduct code revisions focused on RNFs, integrating RNFS testing into the continuous integration pipeline</v>
      </c>
      <c r="S19" s="7" t="str">
        <f ca="1">IFERROR(__xludf.DUMMYFUNCTION("GoogleTranslate(Main!U19, ""pt"", ""en"")"),"main revisions to ensure the coherence of all requirements")</f>
        <v>main revisions to ensure the coherence of all requirements</v>
      </c>
      <c r="T19" s="7" t="str">
        <f ca="1">IFERROR(__xludf.DUMMYFUNCTION("GoogleTranslate(Main!V19, ""pt"", ""en"")"),"Lack of clear documentation for non-functional requirements in the open source system, dealing with trade-offs between different non-functional requirements")</f>
        <v>Lack of clear documentation for non-functional requirements in the open source system, dealing with trade-offs between different non-functional requirements</v>
      </c>
      <c r="U19" s="7" t="str">
        <f ca="1">IFERROR(__xludf.DUMMYFUNCTION("GoogleTranslate(Main!W19, ""pt"", ""en"")"),"no")</f>
        <v>no</v>
      </c>
    </row>
    <row r="20" spans="1:21" x14ac:dyDescent="0.25">
      <c r="A20" s="5" t="s">
        <v>21</v>
      </c>
      <c r="B20" s="6">
        <v>45</v>
      </c>
      <c r="C20" s="7" t="str">
        <f ca="1">IFERROR(__xludf.DUMMYFUNCTION("GoogleTranslate(Main!E20, ""pt"", ""en"")"),"Masculine")</f>
        <v>Masculine</v>
      </c>
      <c r="D20" s="7" t="str">
        <f ca="1">IFERROR(__xludf.DUMMYFUNCTION("GoogleTranslate(Main!F20, ""pt"", ""en"")"),"Doctorate degree")</f>
        <v>Doctorate degree</v>
      </c>
      <c r="E20" s="6">
        <v>7</v>
      </c>
      <c r="F20" s="6">
        <v>5</v>
      </c>
      <c r="G20" s="7" t="str">
        <f ca="1">IFERROR(__xludf.DUMMYFUNCTION("GoogleTranslate(Main!I20, ""pt"", ""en"")"),"High")</f>
        <v>High</v>
      </c>
      <c r="H20" s="7" t="str">
        <f ca="1">IFERROR(__xludf.DUMMYFUNCTION("GoogleTranslate(Main!J20, ""pt"", ""en"")"),"Software developer")</f>
        <v>Software developer</v>
      </c>
      <c r="I20" s="7" t="str">
        <f ca="1">IFERROR(__xludf.DUMMYFUNCTION("GoogleTranslate(Main!K20, ""pt"", ""en"")"),"Java, Python, C, C ++")</f>
        <v>Java, Python, C, C ++</v>
      </c>
      <c r="J20" s="7" t="str">
        <f ca="1">IFERROR(__xludf.DUMMYFUNCTION("GoogleTranslate(Main!L20, ""pt"", ""en"")"),"During the requirements of a project requirements in the medical field")</f>
        <v>During the requirements of a project requirements in the medical field</v>
      </c>
      <c r="K20" s="7" t="str">
        <f ca="1">IFERROR(__xludf.DUMMYFUNCTION("GoogleTranslate(Main!M20, ""pt"", ""en"")"),"Alignment with the project objectives")</f>
        <v>Alignment with the project objectives</v>
      </c>
      <c r="L20" s="7" t="str">
        <f ca="1">IFERROR(__xludf.DUMMYFUNCTION("GoogleTranslate(Main!N20, ""pt"", ""en"")"),"Performance: Speed, Response Capacity and Software Efficiency., Scalability: Ability to deal with increased workload or users' traffic. data and prevent unauthorized access., Maintenance: Ease of making updates and changes in the software.")</f>
        <v>Performance: Speed, Response Capacity and Software Efficiency., Scalability: Ability to deal with increased workload or users' traffic. data and prevent unauthorized access., Maintenance: Ease of making updates and changes in the software.</v>
      </c>
      <c r="M20" s="7" t="str">
        <f ca="1">IFERROR(__xludf.DUMMYFUNCTION("GoogleTranslate(Main!O20, ""pt"", ""en"")"),"High")</f>
        <v>High</v>
      </c>
      <c r="N20" s="7" t="str">
        <f ca="1">IFERROR(__xludf.DUMMYFUNCTION("GoogleTranslate(Main!P20, ""pt"", ""en"")"),"Requirements documentation, meetings, with other colleagues (more experienced)")</f>
        <v>Requirements documentation, meetings, with other colleagues (more experienced)</v>
      </c>
      <c r="O20" s="7" t="str">
        <f ca="1">IFERROR(__xludf.DUMMYFUNCTION("GoogleTranslate(Main!Q20, ""pt"", ""en"")"),"I agree")</f>
        <v>I agree</v>
      </c>
      <c r="P20" s="7" t="str">
        <f ca="1">IFERROR(__xludf.DUMMYFUNCTION("GoogleTranslate(Main!R20, ""pt"", ""en"")"),"Iteratively during the entire software life cycle")</f>
        <v>Iteratively during the entire software life cycle</v>
      </c>
      <c r="Q20" s="7" t="str">
        <f ca="1">IFERROR(__xludf.DUMMYFUNCTION("GoogleTranslate(Main!S20, ""pt"", ""en"")"),"No, we were all involved in the RNFS")</f>
        <v>No, we were all involved in the RNFS</v>
      </c>
      <c r="R20" s="7" t="str">
        <f ca="1">IFERROR(__xludf.DUMMYFUNCTION("GoogleTranslate(Main!T20, ""pt"", ""en"")"),"Review and refine RNFS definitions at the beginning of the development process, collaborate with other team members to collect insights, integrating RNFS testing into the continuous integration pipeline")</f>
        <v>Review and refine RNFS definitions at the beginning of the development process, collaborate with other team members to collect insights, integrating RNFS testing into the continuous integration pipeline</v>
      </c>
      <c r="S20" s="7" t="str">
        <f ca="1">IFERROR(__xludf.DUMMYFUNCTION("GoogleTranslate(Main!U20, ""pt"", ""en"")"),"RNFS are validated and evaluated throughout the software's lifetime.")</f>
        <v>RNFS are validated and evaluated throughout the software's lifetime.</v>
      </c>
      <c r="T20" s="7" t="str">
        <f ca="1">IFERROR(__xludf.DUMMYFUNCTION("GoogleTranslate(Main!V20, ""pt"", ""en"")"),"Lack of clear documentation for non -functional requirements in the open source system, ambiguity to define and articulate RNFS clearly")</f>
        <v>Lack of clear documentation for non -functional requirements in the open source system, ambiguity to define and articulate RNFS clearly</v>
      </c>
      <c r="U20" s="7" t="str">
        <f ca="1">IFERROR(__xludf.DUMMYFUNCTION("GoogleTranslate(Main!W20, ""pt"", ""en"")"),"All RNFs formed in teams, step by step before being implemented and tested.")</f>
        <v>All RNFs formed in teams, step by step before being implemented and tested.</v>
      </c>
    </row>
    <row r="21" spans="1:21" x14ac:dyDescent="0.25">
      <c r="A21" s="5" t="s">
        <v>22</v>
      </c>
      <c r="B21" s="6">
        <v>27</v>
      </c>
      <c r="C21" s="7" t="str">
        <f ca="1">IFERROR(__xludf.DUMMYFUNCTION("GoogleTranslate(Main!E21, ""pt"", ""en"")"),"Masculine")</f>
        <v>Masculine</v>
      </c>
      <c r="D21" s="7" t="str">
        <f ca="1">IFERROR(__xludf.DUMMYFUNCTION("GoogleTranslate(Main!F21, ""pt"", ""en"")"),"Master's degree")</f>
        <v>Master's degree</v>
      </c>
      <c r="E21" s="6">
        <v>1</v>
      </c>
      <c r="F21" s="6">
        <v>5</v>
      </c>
      <c r="G21" s="7" t="str">
        <f ca="1">IFERROR(__xludf.DUMMYFUNCTION("GoogleTranslate(Main!I21, ""pt"", ""en"")"),"Low")</f>
        <v>Low</v>
      </c>
      <c r="H21" s="7" t="str">
        <f ca="1">IFERROR(__xludf.DUMMYFUNCTION("GoogleTranslate(Main!J21, ""pt"", ""en"")"),"Software developer")</f>
        <v>Software developer</v>
      </c>
      <c r="I21" s="7" t="str">
        <f ca="1">IFERROR(__xludf.DUMMYFUNCTION("GoogleTranslate(Main!K21, ""pt"", ""en"")"),"Python")</f>
        <v>Python</v>
      </c>
      <c r="J21" s="7" t="str">
        <f ca="1">IFERROR(__xludf.DUMMYFUNCTION("GoogleTranslate(Main!L21, ""pt"", ""en"")"),"- What is the best technology to do some of the system charts;
- If one should generate one executable for Linux and another for Windows;
- If we would use a localhost or remote server.")</f>
        <v>- What is the best technology to do some of the system charts;
- If one should generate one executable for Linux and another for Windows;
- If we would use a localhost or remote server.</v>
      </c>
      <c r="K21" s="7" t="str">
        <f ca="1">IFERROR(__xludf.DUMMYFUNCTION("GoogleTranslate(Main!M21, ""pt"", ""en"")"),"Impact on the quality of the software you use, learning opportunity")</f>
        <v>Impact on the quality of the software you use, learning opportunity</v>
      </c>
      <c r="L21" s="7" t="str">
        <f ca="1">IFERROR(__xludf.DUMMYFUNCTION("GoogleTranslate(Main!N21, ""pt"", ""en"")"),"Performance: Speed, Software Response Capacity, and Efficiency., Roil: Software capacity to recover under various conditions. Usability: Ease of use and ease of interaction. Maintenance: Ease of making updates and changes in the software.")</f>
        <v>Performance: Speed, Software Response Capacity, and Efficiency., Roil: Software capacity to recover under various conditions. Usability: Ease of use and ease of interaction. Maintenance: Ease of making updates and changes in the software.</v>
      </c>
      <c r="M21" s="7" t="str">
        <f ca="1">IFERROR(__xludf.DUMMYFUNCTION("GoogleTranslate(Main!O21, ""pt"", ""en"")"),"Low")</f>
        <v>Low</v>
      </c>
      <c r="N21" s="7" t="str">
        <f ca="1">IFERROR(__xludf.DUMMYFUNCTION("GoogleTranslate(Main!P21, ""pt"", ""en"")"),"Code comments, meetings, with other colleagues (more experienced)")</f>
        <v>Code comments, meetings, with other colleagues (more experienced)</v>
      </c>
      <c r="O21" s="7" t="str">
        <f ca="1">IFERROR(__xludf.DUMMYFUNCTION("GoogleTranslate(Main!Q21, ""pt"", ""en"")"),"I agree")</f>
        <v>I agree</v>
      </c>
      <c r="P21" s="7" t="str">
        <f ca="1">IFERROR(__xludf.DUMMYFUNCTION("GoogleTranslate(Main!R21, ""pt"", ""en"")"),"Initial phase (for example, the design phase), iteratively during the entire software life cycle")</f>
        <v>Initial phase (for example, the design phase), iteratively during the entire software life cycle</v>
      </c>
      <c r="Q21" s="7" t="str">
        <f ca="1">IFERROR(__xludf.DUMMYFUNCTION("GoogleTranslate(Main!S21, ""pt"", ""en"")"),"I never identified.")</f>
        <v>I never identified.</v>
      </c>
      <c r="R21" s="7" t="str">
        <f ca="1">IFERROR(__xludf.DUMMYFUNCTION("GoogleTranslate(Main!T21, ""pt"", ""en"")"),"Collaborate with other team members to collect insights")</f>
        <v>Collaborate with other team members to collect insights</v>
      </c>
      <c r="S21" s="7" t="str">
        <f ca="1">IFERROR(__xludf.DUMMYFUNCTION("GoogleTranslate(Main!U21, ""pt"", ""en"")"),"It usually happens when we find a problem.")</f>
        <v>It usually happens when we find a problem.</v>
      </c>
      <c r="T21" s="7" t="str">
        <f ca="1">IFERROR(__xludf.DUMMYFUNCTION("GoogleTranslate(Main!V21, ""pt"", ""en"")"),"Lack of clear documentation for non -functional requirements in the open source system, limited understanding of the technical implications of RNFs")</f>
        <v>Lack of clear documentation for non -functional requirements in the open source system, limited understanding of the technical implications of RNFs</v>
      </c>
      <c r="U21" s="7" t="str">
        <f ca="1">IFERROR(__xludf.DUMMYFUNCTION("GoogleTranslate(Main!W21, ""pt"", ""en"")"),"It is usually not explicitly said that this is an RNF, but we usually discuss the ways of making the systems better. In this way, I seek means of identifying and addressing the RNFs.")</f>
        <v>It is usually not explicitly said that this is an RNF, but we usually discuss the ways of making the systems better. In this way, I seek means of identifying and addressing the RNFs.</v>
      </c>
    </row>
    <row r="22" spans="1:21" x14ac:dyDescent="0.25">
      <c r="A22" s="5" t="s">
        <v>23</v>
      </c>
      <c r="B22" s="6">
        <v>54</v>
      </c>
      <c r="C22" s="7" t="str">
        <f ca="1">IFERROR(__xludf.DUMMYFUNCTION("GoogleTranslate(Main!E22, ""pt"", ""en"")"),"Masculine")</f>
        <v>Masculine</v>
      </c>
      <c r="D22" s="7" t="str">
        <f ca="1">IFERROR(__xludf.DUMMYFUNCTION("GoogleTranslate(Main!F22, ""pt"", ""en"")"),"Master's degree")</f>
        <v>Master's degree</v>
      </c>
      <c r="E22" s="6">
        <v>25</v>
      </c>
      <c r="F22" s="6">
        <v>10</v>
      </c>
      <c r="G22" s="7" t="str">
        <f ca="1">IFERROR(__xludf.DUMMYFUNCTION("GoogleTranslate(Main!I22, ""pt"", ""en"")"),"Very high")</f>
        <v>Very high</v>
      </c>
      <c r="H22" s="7" t="str">
        <f ca="1">IFERROR(__xludf.DUMMYFUNCTION("GoogleTranslate(Main!J22, ""pt"", ""en"")"),"Software engineer")</f>
        <v>Software engineer</v>
      </c>
      <c r="I22" s="7" t="str">
        <f ca="1">IFERROR(__xludf.DUMMYFUNCTION("GoogleTranslate(Main!K22, ""pt"", ""en"")"),"Python, C, C#, C ++")</f>
        <v>Python, C, C#, C ++</v>
      </c>
      <c r="J22" s="7" t="str">
        <f ca="1">IFERROR(__xludf.DUMMYFUNCTION("GoogleTranslate(Main!L22, ""pt"", ""en"")"),"Major starts from the projects in which I participated were in the area of ​​computer graphics, so I always designed its architecture and developed them looking for a high performance performance.
These systems were architecture as components to grow orga"&amp;"nically.")</f>
        <v>Major starts from the projects in which I participated were in the area of ​​computer graphics, so I always designed its architecture and developed them looking for a high performance performance.
These systems were architecture as components to grow organically.</v>
      </c>
      <c r="K22" s="7" t="str">
        <f ca="1">IFERROR(__xludf.DUMMYFUNCTION("GoogleTranslate(Main!M22, ""pt"", ""en"")"),"Relevance to your expertise area, alignment with project objectives, potential NFRs risks not to be addressed, learning opportunity")</f>
        <v>Relevance to your expertise area, alignment with project objectives, potential NFRs risks not to be addressed, learning opportunity</v>
      </c>
      <c r="L22" s="7" t="str">
        <f ca="1">IFERROR(__xludf.DUMMYFUNCTION("GoogleTranslate(Main!N22, ""pt"", ""en"")"),"Performance: Speed, Response Capacity and Software Efficiency., Scalability: Ability to deal with increased workload or user traffic., Robustness: software capacity to recover under various conditions. Usability: ease of use and ease of interaction., Main"&amp;"tenance: Ease of making updates and changes in the software.")</f>
        <v>Performance: Speed, Response Capacity and Software Efficiency., Scalability: Ability to deal with increased workload or user traffic., Robustness: software capacity to recover under various conditions. Usability: ease of use and ease of interaction., Maintenance: Ease of making updates and changes in the software.</v>
      </c>
      <c r="M22" s="7" t="str">
        <f ca="1">IFERROR(__xludf.DUMMYFUNCTION("GoogleTranslate(Main!O22, ""pt"", ""en"")"),"Very high")</f>
        <v>Very high</v>
      </c>
      <c r="N22" s="7" t="str">
        <f ca="1">IFERROR(__xludf.DUMMYFUNCTION("GoogleTranslate(Main!P22, ""pt"", ""en"")"),"Meetings with other colleagues (more experienced)")</f>
        <v>Meetings with other colleagues (more experienced)</v>
      </c>
      <c r="O22" s="7" t="str">
        <f ca="1">IFERROR(__xludf.DUMMYFUNCTION("GoogleTranslate(Main!Q22, ""pt"", ""en"")"),"I agree strongly")</f>
        <v>I agree strongly</v>
      </c>
      <c r="P22" s="7" t="str">
        <f ca="1">IFERROR(__xludf.DUMMYFUNCTION("GoogleTranslate(Main!R22, ""pt"", ""en"")"),"Initial phase (for example, the design phase), development phase, testing phase, implementation phase, maintenance phase, iteratively during the entire software life cycle")</f>
        <v>Initial phase (for example, the design phase), development phase, testing phase, implementation phase, maintenance phase, iteratively during the entire software life cycle</v>
      </c>
      <c r="Q22" s="7" t="str">
        <f ca="1">IFERROR(__xludf.DUMMYFUNCTION("GoogleTranslate(Main!S22, ""pt"", ""en"")"),"There were no dedicated experts, the most experienced architects and/or developers were concerned with these issues within their expertise areas.")</f>
        <v>There were no dedicated experts, the most experienced architects and/or developers were concerned with these issues within their expertise areas.</v>
      </c>
      <c r="R22" s="7" t="str">
        <f ca="1">IFERROR(__xludf.DUMMYFUNCTION("GoogleTranslate(Main!T22, ""pt"", ""en"")"),"Review and refine RNFS definitions at the beginning of the development process, collaborate with other team members to collect insights, integrating RNFS testing into the continuous integration pipeline")</f>
        <v>Review and refine RNFS definitions at the beginning of the development process, collaborate with other team members to collect insights, integrating RNFS testing into the continuous integration pipeline</v>
      </c>
      <c r="S22" s="7" t="str">
        <f ca="1">IFERROR(__xludf.DUMMYFUNCTION("GoogleTranslate(Main!U22, ""pt"", ""en"")"),"Since the beginning of projects I have thought of RNFS to architect the systems. Throughout the development sprints I test the RNFs and the necessary refactors are made.")</f>
        <v>Since the beginning of projects I have thought of RNFS to architect the systems. Throughout the development sprints I test the RNFs and the necessary refactors are made.</v>
      </c>
      <c r="T22" s="7" t="str">
        <f ca="1">IFERROR(__xludf.DUMMYFUNCTION("GoogleTranslate(Main!V22, ""pt"", ""en"")"),"Lack of clear documentation for non-functional requirements in the open source system, insufficient tools or frameworks to test and verify non-functional aspects, dealing with trade-offs between different non-functional requirements, limited understanding"&amp;" of the technical implications of RNFs")</f>
        <v>Lack of clear documentation for non-functional requirements in the open source system, insufficient tools or frameworks to test and verify non-functional aspects, dealing with trade-offs between different non-functional requirements, limited understanding of the technical implications of RNFs</v>
      </c>
      <c r="U22" s="7" t="str">
        <f ca="1">IFERROR(__xludf.DUMMYFUNCTION("GoogleTranslate(Main!W22, ""pt"", ""en"")"),"One observation that I received and guides my job is that to extend the life time of a system we must consider the following things:
- The user has to have a pleasant experience, so performance, safety and ease of use are very important.
- The user will a"&amp;"lways need new features, so project the system to grow organically and stable.
- The system you develop is not yours, and this code will be maintained by other developers, so create it so that it is easy to maintain.")</f>
        <v>One observation that I received and guides my job is that to extend the life time of a system we must consider the following things:
- The user has to have a pleasant experience, so performance, safety and ease of use are very important.
- The user will always need new features, so project the system to grow organically and stable.
- The system you develop is not yours, and this code will be maintained by other developers, so create it so that it is easy to maintain.</v>
      </c>
    </row>
    <row r="23" spans="1:21" x14ac:dyDescent="0.25">
      <c r="A23" s="5" t="s">
        <v>24</v>
      </c>
      <c r="B23" s="6">
        <v>32</v>
      </c>
      <c r="C23" s="7" t="str">
        <f ca="1">IFERROR(__xludf.DUMMYFUNCTION("GoogleTranslate(Main!E23, ""pt"", ""en"")"),"Masculine")</f>
        <v>Masculine</v>
      </c>
      <c r="D23" s="7" t="str">
        <f ca="1">IFERROR(__xludf.DUMMYFUNCTION("GoogleTranslate(Main!F23, ""pt"", ""en"")"),"Doctorate degree")</f>
        <v>Doctorate degree</v>
      </c>
      <c r="E23" s="6">
        <v>3</v>
      </c>
      <c r="F23" s="6">
        <v>4</v>
      </c>
      <c r="G23" s="7" t="str">
        <f ca="1">IFERROR(__xludf.DUMMYFUNCTION("GoogleTranslate(Main!I23, ""pt"", ""en"")"),"High")</f>
        <v>High</v>
      </c>
      <c r="H23" s="7" t="str">
        <f ca="1">IFERROR(__xludf.DUMMYFUNCTION("GoogleTranslate(Main!J23, ""pt"", ""en"")"),"Software developer")</f>
        <v>Software developer</v>
      </c>
      <c r="I23" s="7" t="str">
        <f ca="1">IFERROR(__xludf.DUMMYFUNCTION("GoogleTranslate(Main!K23, ""pt"", ""en"")"),"Python, JavaScript, R")</f>
        <v>Python, JavaScript, R</v>
      </c>
      <c r="J23" s="7" t="str">
        <f ca="1">IFERROR(__xludf.DUMMYFUNCTION("GoogleTranslate(Main!L23, ""pt"", ""en"")"),"Project description")</f>
        <v>Project description</v>
      </c>
      <c r="K23" s="7" t="str">
        <f ca="1">IFERROR(__xludf.DUMMYFUNCTION("GoogleTranslate(Main!M23, ""pt"", ""en"")"),"Impact on the quality of the software you use")</f>
        <v>Impact on the quality of the software you use</v>
      </c>
      <c r="L23" s="7" t="str">
        <f ca="1">IFERROR(__xludf.DUMMYFUNCTION("GoogleTranslate(Main!N23, ""pt"", ""en"")"),"Performance: Speed, Response Capacity and Software Efficiency., Scalability: Ability to deal with increased workload or user traffic., Safety: Measures to protect data and prevent unauthorized access. of use and ease of interaction.")</f>
        <v>Performance: Speed, Response Capacity and Software Efficiency., Scalability: Ability to deal with increased workload or user traffic., Safety: Measures to protect data and prevent unauthorized access. of use and ease of interaction.</v>
      </c>
      <c r="M23" s="7" t="str">
        <f ca="1">IFERROR(__xludf.DUMMYFUNCTION("GoogleTranslate(Main!O23, ""pt"", ""en"")"),"Low")</f>
        <v>Low</v>
      </c>
      <c r="N23" s="7" t="str">
        <f ca="1">IFERROR(__xludf.DUMMYFUNCTION("GoogleTranslate(Main!P23, ""pt"", ""en"")"),"Chat platforms with the team (for example, teams, slack, disorder), meetings")</f>
        <v>Chat platforms with the team (for example, teams, slack, disorder), meetings</v>
      </c>
      <c r="O23" s="7" t="str">
        <f ca="1">IFERROR(__xludf.DUMMYFUNCTION("GoogleTranslate(Main!Q23, ""pt"", ""en"")"),"I disagree")</f>
        <v>I disagree</v>
      </c>
      <c r="P23" s="7" t="str">
        <f ca="1">IFERROR(__xludf.DUMMYFUNCTION("GoogleTranslate(Main!R23, ""pt"", ""en"")"),"Development phase")</f>
        <v>Development phase</v>
      </c>
      <c r="Q23" s="7" t="str">
        <f ca="1">IFERROR(__xludf.DUMMYFUNCTION("GoogleTranslate(Main!S23, ""pt"", ""en"")"),"No")</f>
        <v>No</v>
      </c>
      <c r="R23" s="7" t="str">
        <f ca="1">IFERROR(__xludf.DUMMYFUNCTION("GoogleTranslate(Main!T23, ""pt"", ""en"")"),"Collaborate with other team members to collect insights")</f>
        <v>Collaborate with other team members to collect insights</v>
      </c>
      <c r="S23" s="7" t="str">
        <f ca="1">IFERROR(__xludf.DUMMYFUNCTION("GoogleTranslate(Main!U23, ""pt"", ""en"")"),"During development")</f>
        <v>During development</v>
      </c>
      <c r="T23" s="7" t="str">
        <f ca="1">IFERROR(__xludf.DUMMYFUNCTION("GoogleTranslate(Main!V23, ""pt"", ""en"")"),"Insufficient tools or frameworks to test and check non-functional aspects, dealing with trade-offs between different non-functional requirements")</f>
        <v>Insufficient tools or frameworks to test and check non-functional aspects, dealing with trade-offs between different non-functional requirements</v>
      </c>
      <c r="U23" s="7" t="str">
        <f ca="1">IFERROR(__xludf.DUMMYFUNCTION("GoogleTranslate(Main!W23, ""pt"", ""en"")"),"No")</f>
        <v>No</v>
      </c>
    </row>
    <row r="24" spans="1:21" x14ac:dyDescent="0.25">
      <c r="A24" s="5" t="s">
        <v>25</v>
      </c>
      <c r="B24" s="6">
        <v>36</v>
      </c>
      <c r="C24" s="7" t="str">
        <f ca="1">IFERROR(__xludf.DUMMYFUNCTION("GoogleTranslate(Main!E24, ""pt"", ""en"")"),"Masculine")</f>
        <v>Masculine</v>
      </c>
      <c r="D24" s="7" t="str">
        <f ca="1">IFERROR(__xludf.DUMMYFUNCTION("GoogleTranslate(Main!F24, ""pt"", ""en"")"),"Master's degree")</f>
        <v>Master's degree</v>
      </c>
      <c r="E24" s="6">
        <v>12</v>
      </c>
      <c r="F24" s="6">
        <v>20</v>
      </c>
      <c r="G24" s="7" t="str">
        <f ca="1">IFERROR(__xludf.DUMMYFUNCTION("GoogleTranslate(Main!I24, ""pt"", ""en"")"),"Very high")</f>
        <v>Very high</v>
      </c>
      <c r="H24" s="7" t="str">
        <f ca="1">IFERROR(__xludf.DUMMYFUNCTION("GoogleTranslate(Main!J24, ""pt"", ""en"")"),"Software developer")</f>
        <v>Software developer</v>
      </c>
      <c r="I24" s="7" t="str">
        <f ca="1">IFERROR(__xludf.DUMMYFUNCTION("GoogleTranslate(Main!K24, ""pt"", ""en"")"),"Python, C#, JavaScript")</f>
        <v>Python, C#, JavaScript</v>
      </c>
      <c r="J24" s="7" t="str">
        <f ca="1">IFERROR(__xludf.DUMMYFUNCTION("GoogleTranslate(Main!L24, ""pt"", ""en"")"),"- Sast report analysis and vulnerabilities dealings.
- Performance analysis of consultation in databases.
- Discussions about software architecture.")</f>
        <v>- Sast report analysis and vulnerabilities dealings.
- Performance analysis of consultation in databases.
- Discussions about software architecture.</v>
      </c>
      <c r="K24" s="7" t="str">
        <f ca="1">IFERROR(__xludf.DUMMYFUNCTION("GoogleTranslate(Main!M24, ""pt"", ""en"")"),"Relevance to your expertise area, impact on the quality of the software you use, alignment with the project objectives, learning opportunity")</f>
        <v>Relevance to your expertise area, impact on the quality of the software you use, alignment with the project objectives, learning opportunity</v>
      </c>
      <c r="L24" s="7" t="str">
        <f ca="1">IFERROR(__xludf.DUMMYFUNCTION("GoogleTranslate(Main!N24, ""pt"", ""en"")"),"Performance: Speed, Response Capacity and Efficiency of the Software., Roil: Software capacity to recover under various conditions., Safety: Measures to protect data and prevent unauthorized access., Usability: Ease of use and ease of interaction ., Maint"&amp;"enance: Ease of making updates and changes in the software.")</f>
        <v>Performance: Speed, Response Capacity and Efficiency of the Software., Roil: Software capacity to recover under various conditions., Safety: Measures to protect data and prevent unauthorized access., Usability: Ease of use and ease of interaction ., Maintenance: Ease of making updates and changes in the software.</v>
      </c>
      <c r="M24" s="7" t="str">
        <f ca="1">IFERROR(__xludf.DUMMYFUNCTION("GoogleTranslate(Main!O24, ""pt"", ""en"")"),"High")</f>
        <v>High</v>
      </c>
      <c r="N24" s="7" t="str">
        <f ca="1">IFERROR(__xludf.DUMMYFUNCTION("GoogleTranslate(Main!P24, ""pt"", ""en"")"),"Chat platforms with the team (eg Teams, Slack, Discord), meetings, with other colleagues (more experienced)")</f>
        <v>Chat platforms with the team (eg Teams, Slack, Discord), meetings, with other colleagues (more experienced)</v>
      </c>
      <c r="O24" s="7" t="str">
        <f ca="1">IFERROR(__xludf.DUMMYFUNCTION("GoogleTranslate(Main!Q24, ""pt"", ""en"")"),"I agree strongly")</f>
        <v>I agree strongly</v>
      </c>
      <c r="P24" s="7" t="str">
        <f ca="1">IFERROR(__xludf.DUMMYFUNCTION("GoogleTranslate(Main!R24, ""pt"", ""en"")"),"Initial phase (for example, the design phase), development phase, testing phase, iteratively during the entire software life cycle")</f>
        <v>Initial phase (for example, the design phase), development phase, testing phase, iteratively during the entire software life cycle</v>
      </c>
      <c r="Q24" s="7" t="str">
        <f ca="1">IFERROR(__xludf.DUMMYFUNCTION("GoogleTranslate(Main!S24, ""pt"", ""en"")"),"No")</f>
        <v>No</v>
      </c>
      <c r="R24" s="7" t="str">
        <f ca="1">IFERROR(__xludf.DUMMYFUNCTION("GoogleTranslate(Main!T24, ""pt"", ""en"")"),"Review and refine RNFS definitions at the beginning of the development process, collaborate with other team members to collect insights, conduct code revisions focused on RFS")</f>
        <v>Review and refine RNFS definitions at the beginning of the development process, collaborate with other team members to collect insights, conduct code revisions focused on RFS</v>
      </c>
      <c r="S24" s="7" t="str">
        <f ca="1">IFERROR(__xludf.DUMMYFUNCTION("GoogleTranslate(Main!U24, ""pt"", ""en"")"),"Discussions about software architecture. Discussions with colleagues about performance problems.")</f>
        <v>Discussions about software architecture. Discussions with colleagues about performance problems.</v>
      </c>
      <c r="T24" s="7" t="str">
        <f ca="1">IFERROR(__xludf.DUMMYFUNCTION("GoogleTranslate(Main!V24, ""pt"", ""en"")"),"None")</f>
        <v>None</v>
      </c>
      <c r="U24" s="7" t="str">
        <f ca="1">IFERROR(__xludf.DUMMYFUNCTION("GoogleTranslate(Main!W24, ""pt"", ""en"")"),"According to my experience I realize that RNFs appear more often during the process of developing a project. In the projects that I usually participated in the discussions related to RNFS came from the developers themselves.")</f>
        <v>According to my experience I realize that RNFs appear more often during the process of developing a project. In the projects that I usually participated in the discussions related to RNFS came from the developers themselves.</v>
      </c>
    </row>
    <row r="25" spans="1:21" x14ac:dyDescent="0.25">
      <c r="A25" s="5" t="s">
        <v>26</v>
      </c>
      <c r="B25" s="6">
        <v>32</v>
      </c>
      <c r="C25" s="7" t="str">
        <f ca="1">IFERROR(__xludf.DUMMYFUNCTION("GoogleTranslate(Main!E25, ""pt"", ""en"")"),"Masculine")</f>
        <v>Masculine</v>
      </c>
      <c r="D25" s="7" t="str">
        <f ca="1">IFERROR(__xludf.DUMMYFUNCTION("GoogleTranslate(Main!F25, ""pt"", ""en"")"),"Master's degree")</f>
        <v>Master's degree</v>
      </c>
      <c r="E25" s="6">
        <v>9</v>
      </c>
      <c r="F25" s="6">
        <v>30</v>
      </c>
      <c r="G25" s="7" t="str">
        <f ca="1">IFERROR(__xludf.DUMMYFUNCTION("GoogleTranslate(Main!I25, ""pt"", ""en"")"),"High")</f>
        <v>High</v>
      </c>
      <c r="H25" s="7" t="str">
        <f ca="1">IFERROR(__xludf.DUMMYFUNCTION("GoogleTranslate(Main!J25, ""pt"", ""en"")"),"Software developer")</f>
        <v>Software developer</v>
      </c>
      <c r="I25" s="7" t="str">
        <f ca="1">IFERROR(__xludf.DUMMYFUNCTION("GoogleTranslate(Main!K25, ""pt"", ""en"")"),"Python, JavaScript, Ruby")</f>
        <v>Python, JavaScript, Ruby</v>
      </c>
      <c r="J25" s="7" t="str">
        <f ca="1">IFERROR(__xludf.DUMMYFUNCTION("GoogleTranslate(Main!L25, ""pt"", ""en"")"),"System architecture proposition, security report analysis, automated test coverage and etc.")</f>
        <v>System architecture proposition, security report analysis, automated test coverage and etc.</v>
      </c>
      <c r="K25" s="7" t="str">
        <f ca="1">IFERROR(__xludf.DUMMYFUNCTION("GoogleTranslate(Main!M25, ""pt"", ""en"")"),"Relevance to your expertise area, impact on the quality of the software you use, alignment with the project objectives, potential NFRs risks not to be addressed, learning opportunity")</f>
        <v>Relevance to your expertise area, impact on the quality of the software you use, alignment with the project objectives, potential NFRs risks not to be addressed, learning opportunity</v>
      </c>
      <c r="L25" s="7" t="str">
        <f ca="1">IFERROR(__xludf.DUMMYFUNCTION("GoogleTranslate(Main!N25, ""pt"", ""en"")"),"Performance: Speed, Response Capacity and Software Efficiency., Scalability: Ability to deal with increased workload or user traffic., Safety: Measures to protect data and prevent unauthorized access. of use and ease of interaction., Maintenance: Ease of "&amp;"making updates and changes in the software.")</f>
        <v>Performance: Speed, Response Capacity and Software Efficiency., Scalability: Ability to deal with increased workload or user traffic., Safety: Measures to protect data and prevent unauthorized access. of use and ease of interaction., Maintenance: Ease of making updates and changes in the software.</v>
      </c>
      <c r="M25" s="7" t="str">
        <f ca="1">IFERROR(__xludf.DUMMYFUNCTION("GoogleTranslate(Main!O25, ""pt"", ""en"")"),"High")</f>
        <v>High</v>
      </c>
      <c r="N25" s="7" t="str">
        <f ca="1">IFERROR(__xludf.DUMMYFUNCTION("GoogleTranslate(Main!P25, ""pt"", ""en"")"),"Requirements documentation, chat platforms with the team (eg Teams, Slack, Discord), Code Comments, Version Platform Discussions (eg, Issues and Pull Requests), meetings, with other colleagues (more experienced )")</f>
        <v>Requirements documentation, chat platforms with the team (eg Teams, Slack, Discord), Code Comments, Version Platform Discussions (eg, Issues and Pull Requests), meetings, with other colleagues (more experienced )</v>
      </c>
      <c r="O25" s="7" t="str">
        <f ca="1">IFERROR(__xludf.DUMMYFUNCTION("GoogleTranslate(Main!Q25, ""pt"", ""en"")"),"I agree strongly")</f>
        <v>I agree strongly</v>
      </c>
      <c r="P25" s="7" t="str">
        <f ca="1">IFERROR(__xludf.DUMMYFUNCTION("GoogleTranslate(Main!R25, ""pt"", ""en"")"),"Initial phase (for example, the design phase), development phase, testing phase, implementation phase")</f>
        <v>Initial phase (for example, the design phase), development phase, testing phase, implementation phase</v>
      </c>
      <c r="Q25" s="7" t="str">
        <f ca="1">IFERROR(__xludf.DUMMYFUNCTION("GoogleTranslate(Main!S25, ""pt"", ""en"")"),"No, every team gets involved in the RNFS")</f>
        <v>No, every team gets involved in the RNFS</v>
      </c>
      <c r="R25" s="7" t="str">
        <f ca="1">IFERROR(__xludf.DUMMYFUNCTION("GoogleTranslate(Main!T25, ""pt"", ""en"")"),"Review and refine RNFS definitions at the beginning of the development process, collaborate with other team members to collect insights, employ specific tools or frameworks for RNFs assessment, integrating RNFs testing into the continuous integration pipe"&amp;"line")</f>
        <v>Review and refine RNFS definitions at the beginning of the development process, collaborate with other team members to collect insights, employ specific tools or frameworks for RNFs assessment, integrating RNFs testing into the continuous integration pipeline</v>
      </c>
      <c r="S25" s="7" t="str">
        <f ca="1">IFERROR(__xludf.DUMMYFUNCTION("GoogleTranslate(Main!U25, ""pt"", ""en"")"),"At the beginning of the process, an architecture is defined, which is discussed and enhanced by the team throughout development. In addition, tools are used to analyze aspects such as security and code quality.")</f>
        <v>At the beginning of the process, an architecture is defined, which is discussed and enhanced by the team throughout development. In addition, tools are used to analyze aspects such as security and code quality.</v>
      </c>
      <c r="T25" s="7" t="str">
        <f ca="1">IFERROR(__xludf.DUMMYFUNCTION("GoogleTranslate(Main!V25, ""pt"", ""en"")"),"Inadequate communication among team members on non -functional requirements, limited understanding of the technical implications of RNFs")</f>
        <v>Inadequate communication among team members on non -functional requirements, limited understanding of the technical implications of RNFs</v>
      </c>
      <c r="U25" s="7" t="str">
        <f ca="1">IFERROR(__xludf.DUMMYFUNCTION("GoogleTranslate(Main!W25, ""pt"", ""en"")"),"Yes, we often receive feedback from infrastructure teams, as well as automatic returns from the analysis tools.")</f>
        <v>Yes, we often receive feedback from infrastructure teams, as well as automatic returns from the analysis tools.</v>
      </c>
    </row>
    <row r="26" spans="1:21" x14ac:dyDescent="0.25">
      <c r="A26" s="5" t="s">
        <v>27</v>
      </c>
      <c r="B26" s="6">
        <v>38</v>
      </c>
      <c r="C26" s="7" t="str">
        <f ca="1">IFERROR(__xludf.DUMMYFUNCTION("GoogleTranslate(Main!E26, ""pt"", ""en"")"),"Masculine")</f>
        <v>Masculine</v>
      </c>
      <c r="D26" s="7" t="str">
        <f ca="1">IFERROR(__xludf.DUMMYFUNCTION("GoogleTranslate(Main!F26, ""pt"", ""en"")"),"Master's degree")</f>
        <v>Master's degree</v>
      </c>
      <c r="E26" s="6">
        <v>19</v>
      </c>
      <c r="F26" s="6">
        <v>20</v>
      </c>
      <c r="G26" s="7" t="str">
        <f ca="1">IFERROR(__xludf.DUMMYFUNCTION("GoogleTranslate(Main!I26, ""pt"", ""en"")"),"High")</f>
        <v>High</v>
      </c>
      <c r="H26" s="7" t="str">
        <f ca="1">IFERROR(__xludf.DUMMYFUNCTION("GoogleTranslate(Main!J26, ""pt"", ""en"")"),"Software developer")</f>
        <v>Software developer</v>
      </c>
      <c r="I26" s="7" t="str">
        <f ca="1">IFERROR(__xludf.DUMMYFUNCTION("GoogleTranslate(Main!K26, ""pt"", ""en"")"),"Python, C#, C ++")</f>
        <v>Python, C#, C ++</v>
      </c>
      <c r="J26" s="7" t="str">
        <f ca="1">IFERROR(__xludf.DUMMYFUNCTION("GoogleTranslate(Main!L26, ""pt"", ""en"")"),"I always get involved when NFRs are related to performance and usability")</f>
        <v>I always get involved when NFRs are related to performance and usability</v>
      </c>
      <c r="K26" s="7" t="str">
        <f ca="1">IFERROR(__xludf.DUMMYFUNCTION("GoogleTranslate(Main!M26, ""pt"", ""en"")"),"Relevance to your expertise area, potential risks of NFRs are not addressed")</f>
        <v>Relevance to your expertise area, potential risks of NFRs are not addressed</v>
      </c>
      <c r="L26" s="7" t="str">
        <f ca="1">IFERROR(__xludf.DUMMYFUNCTION("GoogleTranslate(Main!N26, ""pt"", ""en"")"),"Performance: Speed, Software Response Capacity and Efficiency., Usability: Ease of use and ease of interaction.")</f>
        <v>Performance: Speed, Software Response Capacity and Efficiency., Usability: Ease of use and ease of interaction.</v>
      </c>
      <c r="M26" s="7" t="str">
        <f ca="1">IFERROR(__xludf.DUMMYFUNCTION("GoogleTranslate(Main!O26, ""pt"", ""en"")"),"High")</f>
        <v>High</v>
      </c>
      <c r="N26" s="7" t="str">
        <f ca="1">IFERROR(__xludf.DUMMYFUNCTION("GoogleTranslate(Main!P26, ""pt"", ""en"")"),"Chat platforms with the team (eg Teams, Slack, Discord), Code Comments, Version Platform Discussions (eg, Issues and Pull Requests), meetings, with other colleagues (more experienced)")</f>
        <v>Chat platforms with the team (eg Teams, Slack, Discord), Code Comments, Version Platform Discussions (eg, Issues and Pull Requests), meetings, with other colleagues (more experienced)</v>
      </c>
      <c r="O26" s="7" t="str">
        <f ca="1">IFERROR(__xludf.DUMMYFUNCTION("GoogleTranslate(Main!Q26, ""pt"", ""en"")"),"I agree strongly")</f>
        <v>I agree strongly</v>
      </c>
      <c r="P26" s="7" t="str">
        <f ca="1">IFERROR(__xludf.DUMMYFUNCTION("GoogleTranslate(Main!R26, ""pt"", ""en"")"),"Initial phase (for example, the design phase), development phase, testing phase, implementation phase, maintenance phase, iteratively during the entire software life cycle")</f>
        <v>Initial phase (for example, the design phase), development phase, testing phase, implementation phase, maintenance phase, iteratively during the entire software life cycle</v>
      </c>
      <c r="Q26" s="7" t="str">
        <f ca="1">IFERROR(__xludf.DUMMYFUNCTION("GoogleTranslate(Main!S26, ""pt"", ""en"")"),"No")</f>
        <v>No</v>
      </c>
      <c r="R26" s="7" t="str">
        <f ca="1">IFERROR(__xludf.DUMMYFUNCTION("GoogleTranslate(Main!T26, ""pt"", ""en"")"),"Collaborate with other team members to collect insights, conduct code revisions focused on RNFS")</f>
        <v>Collaborate with other team members to collect insights, conduct code revisions focused on RNFS</v>
      </c>
      <c r="S26" s="7" t="str">
        <f ca="1">IFERROR(__xludf.DUMMYFUNCTION("GoogleTranslate(Main!U26, ""pt"", ""en"")"),"Meetings and message exchange, when a problem identified")</f>
        <v>Meetings and message exchange, when a problem identified</v>
      </c>
      <c r="T26" s="7" t="str">
        <f ca="1">IFERROR(__xludf.DUMMYFUNCTION("GoogleTranslate(Main!V26, ""pt"", ""en"")"),"Lack of clear documentation for non -functional requirements in the open source system, insufficient tools or frameworks to test and verify non -functional aspects")</f>
        <v>Lack of clear documentation for non -functional requirements in the open source system, insufficient tools or frameworks to test and verify non -functional aspects</v>
      </c>
      <c r="U26" s="7" t="str">
        <f ca="1">IFERROR(__xludf.DUMMYFUNCTION("GoogleTranslate(Main!W26, ""pt"", ""en"")"),"No")</f>
        <v>No</v>
      </c>
    </row>
    <row r="27" spans="1:21" x14ac:dyDescent="0.25">
      <c r="A27" s="5" t="s">
        <v>28</v>
      </c>
      <c r="B27" s="6">
        <v>68</v>
      </c>
      <c r="C27" s="7" t="str">
        <f ca="1">IFERROR(__xludf.DUMMYFUNCTION("GoogleTranslate(Main!E27, ""pt"", ""en"")"),"Masculine")</f>
        <v>Masculine</v>
      </c>
      <c r="D27" s="7" t="str">
        <f ca="1">IFERROR(__xludf.DUMMYFUNCTION("GoogleTranslate(Main!F27, ""pt"", ""en"")"),"Master's degree")</f>
        <v>Master's degree</v>
      </c>
      <c r="E27" s="6">
        <v>42</v>
      </c>
      <c r="F27" s="6">
        <v>10</v>
      </c>
      <c r="G27" s="7" t="str">
        <f ca="1">IFERROR(__xludf.DUMMYFUNCTION("GoogleTranslate(Main!I27, ""pt"", ""en"")"),"High")</f>
        <v>High</v>
      </c>
      <c r="H27" s="7" t="str">
        <f ca="1">IFERROR(__xludf.DUMMYFUNCTION("GoogleTranslate(Main!J27, ""pt"", ""en"")"),"Software developer")</f>
        <v>Software developer</v>
      </c>
      <c r="I27" s="7" t="str">
        <f ca="1">IFERROR(__xludf.DUMMYFUNCTION("GoogleTranslate(Main!K27, ""pt"", ""en"")"),"Python, C, C ++")</f>
        <v>Python, C, C ++</v>
      </c>
      <c r="J27" s="7" t="str">
        <f ca="1">IFERROR(__xludf.DUMMYFUNCTION("GoogleTranslate(Main!L27, ""pt"", ""en"")"),"NFRS Discussions for the Development of Sigeo - Geology and Geophysical System")</f>
        <v>NFRS Discussions for the Development of Sigeo - Geology and Geophysical System</v>
      </c>
      <c r="K27" s="7" t="str">
        <f ca="1">IFERROR(__xludf.DUMMYFUNCTION("GoogleTranslate(Main!M27, ""pt"", ""en"")"),"Relevance to your expertise area, impact on the quality of the software you use, alignment with the project objectives, learning opportunity")</f>
        <v>Relevance to your expertise area, impact on the quality of the software you use, alignment with the project objectives, learning opportunity</v>
      </c>
      <c r="L27" s="7" t="str">
        <f ca="1">IFERROR(__xludf.DUMMYFUNCTION("GoogleTranslate(Main!N27, ""pt"", ""en"")"),"Performance: Speed, Response Capacity and Efficiency of the Software., Scalability: Ability to deal with increased workload or users' traffic., Robustness: software capacity to recover under various conditions. System and accessibility to users., Security"&amp;": Measures to protect data and prevent unauthorized access., Usability: Ease of use and ease of interaction., Maintenance: Ease of making updates and changes in software.")</f>
        <v>Performance: Speed, Response Capacity and Efficiency of the Software., Scalability: Ability to deal with increased workload or users' traffic., Robustness: software capacity to recover under various conditions. System and accessibility to users., Security: Measures to protect data and prevent unauthorized access., Usability: Ease of use and ease of interaction., Maintenance: Ease of making updates and changes in software.</v>
      </c>
      <c r="M27" s="7" t="str">
        <f ca="1">IFERROR(__xludf.DUMMYFUNCTION("GoogleTranslate(Main!O27, ""pt"", ""en"")"),"High")</f>
        <v>High</v>
      </c>
      <c r="N27" s="7" t="str">
        <f ca="1">IFERROR(__xludf.DUMMYFUNCTION("GoogleTranslate(Main!P27, ""pt"", ""en"")"),"Requirements documentation, chat platforms with the team (for example, teams, slack, disorder), code comments, meetings, with other colleagues (more experienced)")</f>
        <v>Requirements documentation, chat platforms with the team (for example, teams, slack, disorder), code comments, meetings, with other colleagues (more experienced)</v>
      </c>
      <c r="O27" s="7" t="str">
        <f ca="1">IFERROR(__xludf.DUMMYFUNCTION("GoogleTranslate(Main!Q27, ""pt"", ""en"")"),"I agree")</f>
        <v>I agree</v>
      </c>
      <c r="P27" s="7" t="str">
        <f ca="1">IFERROR(__xludf.DUMMYFUNCTION("GoogleTranslate(Main!R27, ""pt"", ""en"")"),"Initial phase (for example, the design phase), development phase")</f>
        <v>Initial phase (for example, the design phase), development phase</v>
      </c>
      <c r="Q27" s="7" t="str">
        <f ca="1">IFERROR(__xludf.DUMMYFUNCTION("GoogleTranslate(Main!S27, ""pt"", ""en"")"),"There were no experts. The requirements were discussed by team members")</f>
        <v>There were no experts. The requirements were discussed by team members</v>
      </c>
      <c r="R27" s="7" t="str">
        <f ca="1">IFERROR(__xludf.DUMMYFUNCTION("GoogleTranslate(Main!T27, ""pt"", ""en"")"),"Review and refine RNFS definitions at the beginning of the development process, collaborate with other team members to collect insights")</f>
        <v>Review and refine RNFS definitions at the beginning of the development process, collaborate with other team members to collect insights</v>
      </c>
      <c r="S27" s="7" t="str">
        <f ca="1">IFERROR(__xludf.DUMMYFUNCTION("GoogleTranslate(Main!U27, ""pt"", ""en"")"),"always at the beginning of new development.")</f>
        <v>always at the beginning of new development.</v>
      </c>
      <c r="T27" s="7" t="str">
        <f ca="1">IFERROR(__xludf.DUMMYFUNCTION("GoogleTranslate(Main!V27, ""pt"", ""en"")"),"Lack of clear documentation for non -functional requirements in the open source system, inadequate communication among team members on non -functional requirements, limited understanding of the technical implications of RNFs")</f>
        <v>Lack of clear documentation for non -functional requirements in the open source system, inadequate communication among team members on non -functional requirements, limited understanding of the technical implications of RNFs</v>
      </c>
      <c r="U27" s="7" t="str">
        <f ca="1">IFERROR(__xludf.DUMMYFUNCTION("GoogleTranslate(Main!W27, ""pt"", ""en"")"),"We have not received dirt")</f>
        <v>We have not received dirt</v>
      </c>
    </row>
    <row r="28" spans="1:21" x14ac:dyDescent="0.25">
      <c r="A28" s="5" t="s">
        <v>29</v>
      </c>
      <c r="B28" s="6">
        <v>31</v>
      </c>
      <c r="C28" s="7" t="str">
        <f ca="1">IFERROR(__xludf.DUMMYFUNCTION("GoogleTranslate(Main!E28, ""pt"", ""en"")"),"Masculine")</f>
        <v>Masculine</v>
      </c>
      <c r="D28" s="7" t="str">
        <f ca="1">IFERROR(__xludf.DUMMYFUNCTION("GoogleTranslate(Main!F28, ""pt"", ""en"")"),"Doctorate degree")</f>
        <v>Doctorate degree</v>
      </c>
      <c r="E28" s="6">
        <v>12</v>
      </c>
      <c r="F28" s="6">
        <v>8</v>
      </c>
      <c r="G28" s="7" t="str">
        <f ca="1">IFERROR(__xludf.DUMMYFUNCTION("GoogleTranslate(Main!I28, ""pt"", ""en"")"),"High")</f>
        <v>High</v>
      </c>
      <c r="H28" s="7" t="str">
        <f ca="1">IFERROR(__xludf.DUMMYFUNCTION("GoogleTranslate(Main!J28, ""pt"", ""en"")"),"Data scientist")</f>
        <v>Data scientist</v>
      </c>
      <c r="I28" s="7" t="str">
        <f ca="1">IFERROR(__xludf.DUMMYFUNCTION("GoogleTranslate(Main!K28, ""pt"", ""en"")"),"Java, Python, C, C ++")</f>
        <v>Java, Python, C, C ++</v>
      </c>
      <c r="J28" s="7" t="str">
        <f ca="1">IFERROR(__xludf.DUMMYFUNCTION("GoogleTranslate(Main!L28, ""pt"", ""en"")"),"System efficiency delivered in production where they gathered several teammates;
Scalability in data intake for the data lake of our company;
Scalability of computational resources in an edge computing environment;
Interoperability among government public"&amp;" portals.")</f>
        <v>System efficiency delivered in production where they gathered several teammates;
Scalability in data intake for the data lake of our company;
Scalability of computational resources in an edge computing environment;
Interoperability among government public portals.</v>
      </c>
      <c r="K28" s="7" t="str">
        <f ca="1">IFERROR(__xludf.DUMMYFUNCTION("GoogleTranslate(Main!M28, ""pt"", ""en"")"),"Relevance to your expertise area, impact on the quality of the software you use, alignment with the project objectives")</f>
        <v>Relevance to your expertise area, impact on the quality of the software you use, alignment with the project objectives</v>
      </c>
      <c r="L28" s="7" t="str">
        <f ca="1">IFERROR(__xludf.DUMMYFUNCTION("GoogleTranslate(Main!N28, ""pt"", ""en"")"),"Performance: Speed, Software Response Capacity and Efficiency., Scalability: Ability to deal with increased workload or user traffic., Roil: Software capacity to recover under various conditions.")</f>
        <v>Performance: Speed, Software Response Capacity and Efficiency., Scalability: Ability to deal with increased workload or user traffic., Roil: Software capacity to recover under various conditions.</v>
      </c>
      <c r="M28" s="7" t="str">
        <f ca="1">IFERROR(__xludf.DUMMYFUNCTION("GoogleTranslate(Main!O28, ""pt"", ""en"")"),"Low")</f>
        <v>Low</v>
      </c>
      <c r="N28" s="7" t="str">
        <f ca="1">IFERROR(__xludf.DUMMYFUNCTION("GoogleTranslate(Main!P28, ""pt"", ""en"")"),"Requirements documentation, chat platforms with the team (eg Teams, Slack, Discord), Code Comments, Version Platform Discussions (eg, Issues and Pull Requests)")</f>
        <v>Requirements documentation, chat platforms with the team (eg Teams, Slack, Discord), Code Comments, Version Platform Discussions (eg, Issues and Pull Requests)</v>
      </c>
      <c r="O28" s="7" t="str">
        <f ca="1">IFERROR(__xludf.DUMMYFUNCTION("GoogleTranslate(Main!Q28, ""pt"", ""en"")"),"I agree strongly")</f>
        <v>I agree strongly</v>
      </c>
      <c r="P28" s="7" t="str">
        <f ca="1">IFERROR(__xludf.DUMMYFUNCTION("GoogleTranslate(Main!R28, ""pt"", ""en"")"),"Initial phase (for example, the design phase), development phase, testing phase, maintenance phase, iteratively during the entire software life cycle")</f>
        <v>Initial phase (for example, the design phase), development phase, testing phase, maintenance phase, iteratively during the entire software life cycle</v>
      </c>
      <c r="Q28" s="7" t="str">
        <f ca="1">IFERROR(__xludf.DUMMYFUNCTION("GoogleTranslate(Main!S28, ""pt"", ""en"")"),"No, at most in some projects where I participated, there was the requirements analyst, which it set up the functional (EF) and technical (ET) specification. Depending on customer needs, it attached shallow information about non -functional specifications "&amp;"within EFS and ETs.")</f>
        <v>No, at most in some projects where I participated, there was the requirements analyst, which it set up the functional (EF) and technical (ET) specification. Depending on customer needs, it attached shallow information about non -functional specifications within EFS and ETs.</v>
      </c>
      <c r="R28" s="7" t="str">
        <f ca="1">IFERROR(__xludf.DUMMYFUNCTION("GoogleTranslate(Main!T28, ""pt"", ""en"")"),"Review and refine RNFS definitions at the beginning of the development process, collaborate with other team members to collect insights")</f>
        <v>Review and refine RNFS definitions at the beginning of the development process, collaborate with other team members to collect insights</v>
      </c>
      <c r="S28" s="7" t="str">
        <f ca="1">IFERROR(__xludf.DUMMYFUNCTION("GoogleTranslate(Main!U28, ""pt"", ""en"")"),"In general, during the construction of the backlog, our team makes the analysis of non -functional requirements, based on what we already have of functional requirements.")</f>
        <v>In general, during the construction of the backlog, our team makes the analysis of non -functional requirements, based on what we already have of functional requirements.</v>
      </c>
      <c r="T28" s="7" t="str">
        <f ca="1">IFERROR(__xludf.DUMMYFUNCTION("GoogleTranslate(Main!V28, ""pt"", ""en"")"),"Lack of clear documentation for non-functional requirements in the open source system, inadequate communication among team members on non-functional requirements, dealing with trade-offs between different non-functional requirements, ambiguity to define a"&amp;"nd articulate RNFs clearly")</f>
        <v>Lack of clear documentation for non-functional requirements in the open source system, inadequate communication among team members on non-functional requirements, dealing with trade-offs between different non-functional requirements, ambiguity to define and articulate RNFs clearly</v>
      </c>
      <c r="U28" s="7" t="str">
        <f ca="1">IFERROR(__xludf.DUMMYFUNCTION("GoogleTranslate(Main!W28, ""pt"", ""en"")"),"Yes. In general, we use strategies or technologies already approved by the market, where their non -functional requirements meet the complexity of the project. A simple example: By dealing with systems that consume large data volumes, the ideal is that th"&amp;"ere is already a robust infrastructure that is able to make ETL or ELT efficiently so that the system is able to consume this given in a robust manner, minimizing the computational cost.")</f>
        <v>Yes. In general, we use strategies or technologies already approved by the market, where their non -functional requirements meet the complexity of the project. A simple example: By dealing with systems that consume large data volumes, the ideal is that there is already a robust infrastructure that is able to make ETL or ELT efficiently so that the system is able to consume this given in a robust manner, minimizing the computational cost.</v>
      </c>
    </row>
    <row r="29" spans="1:21" x14ac:dyDescent="0.25">
      <c r="A29" s="5" t="s">
        <v>30</v>
      </c>
      <c r="B29" s="6">
        <v>22</v>
      </c>
      <c r="C29" s="7" t="str">
        <f ca="1">IFERROR(__xludf.DUMMYFUNCTION("GoogleTranslate(Main!E29, ""pt"", ""en"")"),"Masculine")</f>
        <v>Masculine</v>
      </c>
      <c r="D29" s="7" t="str">
        <f ca="1">IFERROR(__xludf.DUMMYFUNCTION("GoogleTranslate(Main!F29, ""pt"", ""en"")"),"Graduating in Computer Science")</f>
        <v>Graduating in Computer Science</v>
      </c>
      <c r="E29" s="6">
        <v>0</v>
      </c>
      <c r="F29" s="6">
        <v>1</v>
      </c>
      <c r="G29" s="7" t="str">
        <f ca="1">IFERROR(__xludf.DUMMYFUNCTION("GoogleTranslate(Main!I29, ""pt"", ""en"")"),"Low")</f>
        <v>Low</v>
      </c>
      <c r="H29" s="7" t="str">
        <f ca="1">IFERROR(__xludf.DUMMYFUNCTION("GoogleTranslate(Main!J29, ""pt"", ""en"")"),"Software developer")</f>
        <v>Software developer</v>
      </c>
      <c r="I29" s="7" t="str">
        <f ca="1">IFERROR(__xludf.DUMMYFUNCTION("GoogleTranslate(Main!K29, ""pt"", ""en"")"),"Java, Python")</f>
        <v>Java, Python</v>
      </c>
      <c r="J29" s="7" t="str">
        <f ca="1">IFERROR(__xludf.DUMMYFUNCTION("GoogleTranslate(Main!L29, ""pt"", ""en"")"),"on forms of development of functions related to specific projects in the")</f>
        <v>on forms of development of functions related to specific projects in the</v>
      </c>
      <c r="K29" s="7" t="str">
        <f ca="1">IFERROR(__xludf.DUMMYFUNCTION("GoogleTranslate(Main!M29, ""pt"", ""en"")"),"Impact on the quality of the software you use")</f>
        <v>Impact on the quality of the software you use</v>
      </c>
      <c r="L29" s="7" t="str">
        <f ca="1">IFERROR(__xludf.DUMMYFUNCTION("GoogleTranslate(Main!N29, ""pt"", ""en"")"),"Performance: Speed, Software Response Capacity and Efficiency., Scalability: Ability to deal with increased workload or user traffic., Roil: Software capacity to recover under various conditions.")</f>
        <v>Performance: Speed, Software Response Capacity and Efficiency., Scalability: Ability to deal with increased workload or user traffic., Roil: Software capacity to recover under various conditions.</v>
      </c>
      <c r="M29" s="7" t="str">
        <f ca="1">IFERROR(__xludf.DUMMYFUNCTION("GoogleTranslate(Main!O29, ""pt"", ""en"")"),"Low")</f>
        <v>Low</v>
      </c>
      <c r="N29" s="7" t="str">
        <f ca="1">IFERROR(__xludf.DUMMYFUNCTION("GoogleTranslate(Main!P29, ""pt"", ""en"")"),"Meetings")</f>
        <v>Meetings</v>
      </c>
      <c r="O29" s="7" t="str">
        <f ca="1">IFERROR(__xludf.DUMMYFUNCTION("GoogleTranslate(Main!Q29, ""pt"", ""en"")"),"I agree strongly")</f>
        <v>I agree strongly</v>
      </c>
      <c r="P29" s="7" t="str">
        <f ca="1">IFERROR(__xludf.DUMMYFUNCTION("GoogleTranslate(Main!R29, ""pt"", ""en"")"),"Initial phase (for example, the design phase), development phase")</f>
        <v>Initial phase (for example, the design phase), development phase</v>
      </c>
      <c r="Q29" s="7" t="str">
        <f ca="1">IFERROR(__xludf.DUMMYFUNCTION("GoogleTranslate(Main!S29, ""pt"", ""en"")"),"There were no")</f>
        <v>There were no</v>
      </c>
      <c r="R29" s="7" t="str">
        <f ca="1">IFERROR(__xludf.DUMMYFUNCTION("GoogleTranslate(Main!T29, ""pt"", ""en"")"),"Collaborate with other team members to collect insights, conduct code revisions focused on RNFS")</f>
        <v>Collaborate with other team members to collect insights, conduct code revisions focused on RNFS</v>
      </c>
      <c r="S29" s="7" t="str">
        <f ca="1">IFERROR(__xludf.DUMMYFUNCTION("GoogleTranslate(Main!U29, ""pt"", ""en"")"),"This usually happens to development, where we come across problems with these requirements")</f>
        <v>This usually happens to development, where we come across problems with these requirements</v>
      </c>
      <c r="T29" s="7" t="str">
        <f ca="1">IFERROR(__xludf.DUMMYFUNCTION("GoogleTranslate(Main!V29, ""pt"", ""en"")"),"Lack of clear documentation for non -functional requirements in the open source system, ambiguity to define and articulate RNFS clearly")</f>
        <v>Lack of clear documentation for non -functional requirements in the open source system, ambiguity to define and articulate RNFS clearly</v>
      </c>
      <c r="U29" s="7" t="str">
        <f ca="1">IFERROR(__xludf.DUMMYFUNCTION("GoogleTranslate(Main!W29, ""pt"", ""en"")"),"The council was given in rigidity and the moment they should be listed")</f>
        <v>The council was given in rigidity and the moment they should be listed</v>
      </c>
    </row>
    <row r="30" spans="1:21" x14ac:dyDescent="0.25">
      <c r="A30" s="5" t="s">
        <v>31</v>
      </c>
      <c r="B30" s="6">
        <v>43</v>
      </c>
      <c r="C30" s="7" t="str">
        <f ca="1">IFERROR(__xludf.DUMMYFUNCTION("GoogleTranslate(Main!E30, ""pt"", ""en"")"),"Masculine")</f>
        <v>Masculine</v>
      </c>
      <c r="D30" s="7" t="str">
        <f ca="1">IFERROR(__xludf.DUMMYFUNCTION("GoogleTranslate(Main!F30, ""pt"", ""en"")"),"Master's degree")</f>
        <v>Master's degree</v>
      </c>
      <c r="E30" s="6">
        <v>20</v>
      </c>
      <c r="F30" s="6">
        <v>20</v>
      </c>
      <c r="G30" s="7" t="str">
        <f ca="1">IFERROR(__xludf.DUMMYFUNCTION("GoogleTranslate(Main!I30, ""pt"", ""en"")"),"High")</f>
        <v>High</v>
      </c>
      <c r="H30" s="7" t="str">
        <f ca="1">IFERROR(__xludf.DUMMYFUNCTION("GoogleTranslate(Main!J30, ""pt"", ""en"")"),"Data Support and Analysis")</f>
        <v>Data Support and Analysis</v>
      </c>
      <c r="I30" s="7" t="str">
        <f ca="1">IFERROR(__xludf.DUMMYFUNCTION("GoogleTranslate(Main!K30, ""pt"", ""en"")"),"Java")</f>
        <v>Java</v>
      </c>
      <c r="J30" s="7" t="str">
        <f ca="1">IFERROR(__xludf.DUMMYFUNCTION("GoogleTranslate(Main!L30, ""pt"", ""en"")"),"Of the cases I participated in, I remember having acted in the definition of user interface aspects (screens pattern) and also related to performance. Some projects require very high availability (24/7) and this needs to be discussed with infrastructure t"&amp;"eam.")</f>
        <v>Of the cases I participated in, I remember having acted in the definition of user interface aspects (screens pattern) and also related to performance. Some projects require very high availability (24/7) and this needs to be discussed with infrastructure team.</v>
      </c>
      <c r="K30" s="7" t="str">
        <f ca="1">IFERROR(__xludf.DUMMYFUNCTION("GoogleTranslate(Main!M30, ""pt"", ""en"")"),"Impact on the quality of the software you use, alignment with the project objectives, potential risks of NFRs are not addressed")</f>
        <v>Impact on the quality of the software you use, alignment with the project objectives, potential risks of NFRs are not addressed</v>
      </c>
      <c r="L30" s="7" t="str">
        <f ca="1">IFERROR(__xludf.DUMMYFUNCTION("GoogleTranslate(Main!N30, ""pt"", ""en"")"),"Performance: Speed, Software Response Capacity and Efficiency., Roil: Software capacity to recover under various conditions. Availability: System activity time and accessibility for users., Safety: Measures to protect data and prevent the Unauthorized acc"&amp;"ess., Usability: ease of use and ease of interaction.")</f>
        <v>Performance: Speed, Software Response Capacity and Efficiency., Roil: Software capacity to recover under various conditions. Availability: System activity time and accessibility for users., Safety: Measures to protect data and prevent the Unauthorized access., Usability: ease of use and ease of interaction.</v>
      </c>
      <c r="M30" s="7" t="str">
        <f ca="1">IFERROR(__xludf.DUMMYFUNCTION("GoogleTranslate(Main!O30, ""pt"", ""en"")"),"Low")</f>
        <v>Low</v>
      </c>
      <c r="N30" s="7" t="str">
        <f ca="1">IFERROR(__xludf.DUMMYFUNCTION("GoogleTranslate(Main!P30, ""pt"", ""en"")"),"Requirements documentation, meetings")</f>
        <v>Requirements documentation, meetings</v>
      </c>
      <c r="O30" s="7" t="str">
        <f ca="1">IFERROR(__xludf.DUMMYFUNCTION("GoogleTranslate(Main!Q30, ""pt"", ""en"")"),"I agree")</f>
        <v>I agree</v>
      </c>
      <c r="P30" s="7" t="str">
        <f ca="1">IFERROR(__xludf.DUMMYFUNCTION("GoogleTranslate(Main!R30, ""pt"", ""en"")"),"Initial phase (for example, the design phase), development phase")</f>
        <v>Initial phase (for example, the design phase), development phase</v>
      </c>
      <c r="Q30" s="7" t="str">
        <f ca="1">IFERROR(__xludf.DUMMYFUNCTION("GoogleTranslate(Main!S30, ""pt"", ""en"")"),"No, it was the responsibility of the system analyst (both non -functional and functional requirements lifting).")</f>
        <v>No, it was the responsibility of the system analyst (both non -functional and functional requirements lifting).</v>
      </c>
      <c r="R30" s="7" t="str">
        <f ca="1">IFERROR(__xludf.DUMMYFUNCTION("GoogleTranslate(Main!T30, ""pt"", ""en"")"),"Review and refine RNFS definitions at the beginning of the development process, collaborate with other team members to collect insights")</f>
        <v>Review and refine RNFS definitions at the beginning of the development process, collaborate with other team members to collect insights</v>
      </c>
      <c r="S30" s="7" t="str">
        <f ca="1">IFERROR(__xludf.DUMMYFUNCTION("GoogleTranslate(Main!U30, ""pt"", ""en"")"),"At initial scope definition meetings and project requirements.")</f>
        <v>At initial scope definition meetings and project requirements.</v>
      </c>
      <c r="T30" s="7" t="str">
        <f ca="1">IFERROR(__xludf.DUMMYFUNCTION("GoogleTranslate(Main!V30, ""pt"", ""en"")"),"Limited understanding of the technical implications of RNFS")</f>
        <v>Limited understanding of the technical implications of RNFS</v>
      </c>
      <c r="U30" s="7" t="str">
        <f ca="1">IFERROR(__xludf.DUMMYFUNCTION("GoogleTranslate(Main!W30, ""pt"", ""en"")"),"I don't remember a specific suggestion, but I've always tried to contribute to the functional requirements related to performance and usability.")</f>
        <v>I don't remember a specific suggestion, but I've always tried to contribute to the functional requirements related to performance and usability.</v>
      </c>
    </row>
    <row r="31" spans="1:21" x14ac:dyDescent="0.25">
      <c r="A31" s="5" t="s">
        <v>32</v>
      </c>
      <c r="B31" s="6">
        <v>25</v>
      </c>
      <c r="C31" s="7" t="str">
        <f ca="1">IFERROR(__xludf.DUMMYFUNCTION("GoogleTranslate(Main!E31, ""pt"", ""en"")"),"Feminine")</f>
        <v>Feminine</v>
      </c>
      <c r="D31" s="7" t="str">
        <f ca="1">IFERROR(__xludf.DUMMYFUNCTION("GoogleTranslate(Main!F31, ""pt"", ""en"")"),"Bachelor")</f>
        <v>Bachelor</v>
      </c>
      <c r="E31" s="6">
        <v>3</v>
      </c>
      <c r="F31" s="6">
        <v>2</v>
      </c>
      <c r="G31" s="7" t="str">
        <f ca="1">IFERROR(__xludf.DUMMYFUNCTION("GoogleTranslate(Main!I31, ""pt"", ""en"")"),"Low")</f>
        <v>Low</v>
      </c>
      <c r="H31" s="7" t="str">
        <f ca="1">IFERROR(__xludf.DUMMYFUNCTION("GoogleTranslate(Main!J31, ""pt"", ""en"")"),"Software developer")</f>
        <v>Software developer</v>
      </c>
      <c r="I31" s="7" t="str">
        <f ca="1">IFERROR(__xludf.DUMMYFUNCTION("GoogleTranslate(Main!K31, ""pt"", ""en"")"),"Python, JavaScript")</f>
        <v>Python, JavaScript</v>
      </c>
      <c r="J31" s="7" t="str">
        <f ca="1">IFERROR(__xludf.DUMMYFUNCTION("GoogleTranslate(Main!L31, ""pt"", ""en"")"),"I am usually more involved when the non -functional requirement is security, the main point and find out what is the minimum access level we should use in one so that the user can use the application without putting security at risk")</f>
        <v>I am usually more involved when the non -functional requirement is security, the main point and find out what is the minimum access level we should use in one so that the user can use the application without putting security at risk</v>
      </c>
      <c r="K31" s="7" t="str">
        <f ca="1">IFERROR(__xludf.DUMMYFUNCTION("GoogleTranslate(Main!M31, ""pt"", ""en"")"),"Impact on the quality of the software you use, alignment with the project objectives, potential risks of NFRs are not addressed, learning opportunity")</f>
        <v>Impact on the quality of the software you use, alignment with the project objectives, potential risks of NFRs are not addressed, learning opportunity</v>
      </c>
      <c r="L31" s="7" t="str">
        <f ca="1">IFERROR(__xludf.DUMMYFUNCTION("GoogleTranslate(Main!N31, ""pt"", ""en"")"),"Performance: Speed, Software Response Capacity and Efficiency., Safety: Measures to protect data and prevent unauthorized access.")</f>
        <v>Performance: Speed, Software Response Capacity and Efficiency., Safety: Measures to protect data and prevent unauthorized access.</v>
      </c>
      <c r="M31" s="7" t="str">
        <f ca="1">IFERROR(__xludf.DUMMYFUNCTION("GoogleTranslate(Main!O31, ""pt"", ""en"")"),"Low")</f>
        <v>Low</v>
      </c>
      <c r="N31" s="7" t="str">
        <f ca="1">IFERROR(__xludf.DUMMYFUNCTION("GoogleTranslate(Main!P31, ""pt"", ""en"")"),"We use the AWS services, so we use it to implement resources to help with maintenance, security and performance")</f>
        <v>We use the AWS services, so we use it to implement resources to help with maintenance, security and performance</v>
      </c>
      <c r="O31" s="7" t="str">
        <f ca="1">IFERROR(__xludf.DUMMYFUNCTION("GoogleTranslate(Main!Q31, ""pt"", ""en"")"),"I agree strongly")</f>
        <v>I agree strongly</v>
      </c>
      <c r="P31" s="7" t="str">
        <f ca="1">IFERROR(__xludf.DUMMYFUNCTION("GoogleTranslate(Main!R31, ""pt"", ""en"")"),"Iteratively during the entire software life cycle")</f>
        <v>Iteratively during the entire software life cycle</v>
      </c>
      <c r="Q31" s="7" t="str">
        <f ca="1">IFERROR(__xludf.DUMMYFUNCTION("GoogleTranslate(Main!S31, ""pt"", ""en"")"),"I did not have an expert, but before entering the company that I did this project, we are trained to maintain compliance, security, maintenance of all activities performed within it.")</f>
        <v>I did not have an expert, but before entering the company that I did this project, we are trained to maintain compliance, security, maintenance of all activities performed within it.</v>
      </c>
      <c r="R31" s="7" t="str">
        <f ca="1">IFERROR(__xludf.DUMMYFUNCTION("GoogleTranslate(Main!T31, ""pt"", ""en"")"),"Revise and refine RNFS definitions at the beginning of the development process")</f>
        <v>Revise and refine RNFS definitions at the beginning of the development process</v>
      </c>
      <c r="S31" s="7" t="str">
        <f ca="1">IFERROR(__xludf.DUMMYFUNCTION("GoogleTranslate(Main!U31, ""pt"", ""en"")"),"Usually when we started a new project we set the service we will use and how we would like the safety restrictions to work.")</f>
        <v>Usually when we started a new project we set the service we will use and how we would like the safety restrictions to work.</v>
      </c>
      <c r="T31" s="7" t="str">
        <f ca="1">IFERROR(__xludf.DUMMYFUNCTION("GoogleTranslate(Main!V31, ""pt"", ""en"")"),"None")</f>
        <v>None</v>
      </c>
      <c r="U31" s="7" t="str">
        <f ca="1">IFERROR(__xludf.DUMMYFUNCTION("GoogleTranslate(Main!W31, ""pt"", ""en"")"),"I already received it, I was creating applications to run in a service called AWS Lambda, my teammate suggested the creation of a Virtual Private Cloud) to run the application more security")</f>
        <v>I already received it, I was creating applications to run in a service called AWS Lambda, my teammate suggested the creation of a Virtual Private Cloud) to run the application more security</v>
      </c>
    </row>
    <row r="32" spans="1:21" x14ac:dyDescent="0.25">
      <c r="A32" s="5" t="s">
        <v>33</v>
      </c>
      <c r="B32" s="6">
        <v>34</v>
      </c>
      <c r="C32" s="7" t="str">
        <f ca="1">IFERROR(__xludf.DUMMYFUNCTION("GoogleTranslate(Main!E32, ""pt"", ""en"")"),"Masculine")</f>
        <v>Masculine</v>
      </c>
      <c r="D32" s="7" t="str">
        <f ca="1">IFERROR(__xludf.DUMMYFUNCTION("GoogleTranslate(Main!F32, ""pt"", ""en"")"),"Bachelor")</f>
        <v>Bachelor</v>
      </c>
      <c r="E32" s="6">
        <v>5</v>
      </c>
      <c r="F32" s="6">
        <v>7</v>
      </c>
      <c r="G32" s="7" t="str">
        <f ca="1">IFERROR(__xludf.DUMMYFUNCTION("GoogleTranslate(Main!I32, ""pt"", ""en"")"),"High")</f>
        <v>High</v>
      </c>
      <c r="H32" s="7" t="str">
        <f ca="1">IFERROR(__xludf.DUMMYFUNCTION("GoogleTranslate(Main!J32, ""pt"", ""en"")"),"Project Management")</f>
        <v>Project Management</v>
      </c>
      <c r="I32" s="7" t="str">
        <f ca="1">IFERROR(__xludf.DUMMYFUNCTION("GoogleTranslate(Main!K32, ""pt"", ""en"")"),"Python, JavaScript")</f>
        <v>Python, JavaScript</v>
      </c>
      <c r="J32" s="7" t="str">
        <f ca="1">IFERROR(__xludf.DUMMYFUNCTION("GoogleTranslate(Main!L32, ""pt"", ""en"")"),"Working in system with real -time information transmission and display requirements;
Working with systems where there was a need for compatibility with multi platforms and devices.")</f>
        <v>Working in system with real -time information transmission and display requirements;
Working with systems where there was a need for compatibility with multi platforms and devices.</v>
      </c>
      <c r="K32" s="7" t="str">
        <f ca="1">IFERROR(__xludf.DUMMYFUNCTION("GoogleTranslate(Main!M32, ""pt"", ""en"")"),"Impact on the quality of the software you use, alignment with the project objectives, potential risks of NFRs are not addressed, learning opportunity")</f>
        <v>Impact on the quality of the software you use, alignment with the project objectives, potential risks of NFRs are not addressed, learning opportunity</v>
      </c>
      <c r="L32" s="7" t="str">
        <f ca="1">IFERROR(__xludf.DUMMYFUNCTION("GoogleTranslate(Main!N32, ""pt"", ""en"")"),"Performance: Speed, Response Capacity and Efficiency of the Software., Scalability: Ability to deal with increased workload or users' traffic., Robustness: software capacity to recover under various conditions. System and accessibility to users., Security"&amp;": Measures to protect data and prevent unauthorized access., Usability: Ease of use and ease of interaction., Maintenance: Ease of making updates and changes in software.")</f>
        <v>Performance: Speed, Response Capacity and Efficiency of the Software., Scalability: Ability to deal with increased workload or users' traffic., Robustness: software capacity to recover under various conditions. System and accessibility to users., Security: Measures to protect data and prevent unauthorized access., Usability: Ease of use and ease of interaction., Maintenance: Ease of making updates and changes in software.</v>
      </c>
      <c r="M32" s="7" t="str">
        <f ca="1">IFERROR(__xludf.DUMMYFUNCTION("GoogleTranslate(Main!O32, ""pt"", ""en"")"),"High")</f>
        <v>High</v>
      </c>
      <c r="N32" s="7" t="str">
        <f ca="1">IFERROR(__xludf.DUMMYFUNCTION("GoogleTranslate(Main!P32, ""pt"", ""en"")"),"Chat platforms with the team (eg Teams, Slack, Discord), meetings, with other colleagues (more experienced)")</f>
        <v>Chat platforms with the team (eg Teams, Slack, Discord), meetings, with other colleagues (more experienced)</v>
      </c>
      <c r="O32" s="7" t="str">
        <f ca="1">IFERROR(__xludf.DUMMYFUNCTION("GoogleTranslate(Main!Q32, ""pt"", ""en"")"),"I agree strongly")</f>
        <v>I agree strongly</v>
      </c>
      <c r="P32" s="7" t="str">
        <f ca="1">IFERROR(__xludf.DUMMYFUNCTION("GoogleTranslate(Main!R32, ""pt"", ""en"")"),"Initial phase (for example, the design phase), development phase, testing phase, implementation phase, maintenance phase, iteratively during the entire software life cycle")</f>
        <v>Initial phase (for example, the design phase), development phase, testing phase, implementation phase, maintenance phase, iteratively during the entire software life cycle</v>
      </c>
      <c r="Q32" s="7" t="str">
        <f ca="1">IFERROR(__xludf.DUMMYFUNCTION("GoogleTranslate(Main!S32, ""pt"", ""en"")"),"There were no experts")</f>
        <v>There were no experts</v>
      </c>
      <c r="R32" s="7" t="str">
        <f ca="1">IFERROR(__xludf.DUMMYFUNCTION("GoogleTranslate(Main!T32, ""pt"", ""en"")"),"Review and refine RNFS definitions at the beginning of the development process, collaborate with other team members to collect insights, performing tests that aim to validate the defined RNF")</f>
        <v>Review and refine RNFS definitions at the beginning of the development process, collaborate with other team members to collect insights, performing tests that aim to validate the defined RNF</v>
      </c>
      <c r="S32" s="7" t="str">
        <f ca="1">IFERROR(__xludf.DUMMYFUNCTION("GoogleTranslate(Main!U32, ""pt"", ""en"")"),"Performing a solid diform of the requirements at the beginning of the project and monitoring close to the development of the requirements that can directly affect defined RNF.")</f>
        <v>Performing a solid diform of the requirements at the beginning of the project and monitoring close to the development of the requirements that can directly affect defined RNF.</v>
      </c>
      <c r="T32" s="7" t="str">
        <f ca="1">IFERROR(__xludf.DUMMYFUNCTION("GoogleTranslate(Main!V32, ""pt"", ""en"")"),"Inadequate communication among team members on non -functional requirements, insufficient tools or frameworks to test and verify non -functional aspects, ambiguity to define and articulate RNFS clearly, limited understanding of the technical implications "&amp;"of RNFs")</f>
        <v>Inadequate communication among team members on non -functional requirements, insufficient tools or frameworks to test and verify non -functional aspects, ambiguity to define and articulate RNFS clearly, limited understanding of the technical implications of RNFs</v>
      </c>
      <c r="U32" s="7" t="str">
        <f ca="1">IFERROR(__xludf.DUMMYFUNCTION("GoogleTranslate(Main!W32, ""pt"", ""en"")"),"Being aware of RNFs can mean the difference between the success or failure of a software project. So the most important approach is never to neglect RNFs and give them all the necessary attention, as well as any and all functional requirement implemented.")</f>
        <v>Being aware of RNFs can mean the difference between the success or failure of a software project. So the most important approach is never to neglect RNFs and give them all the necessary attention, as well as any and all functional requirement implemented.</v>
      </c>
    </row>
    <row r="33" spans="1:21" x14ac:dyDescent="0.25">
      <c r="A33" s="5" t="s">
        <v>34</v>
      </c>
      <c r="B33" s="9">
        <v>23</v>
      </c>
      <c r="C33" s="7" t="str">
        <f ca="1">IFERROR(__xludf.DUMMYFUNCTION("GoogleTranslate(Main!E33, ""pt"", ""en"")"),"Masculine")</f>
        <v>Masculine</v>
      </c>
      <c r="D33" s="7" t="str">
        <f ca="1">IFERROR(__xludf.DUMMYFUNCTION("GoogleTranslate(Main!F33, ""pt"", ""en"")"),"Bachelor")</f>
        <v>Bachelor</v>
      </c>
      <c r="E33" s="10">
        <v>45140</v>
      </c>
      <c r="F33" s="9">
        <v>3</v>
      </c>
      <c r="G33" s="7" t="str">
        <f ca="1">IFERROR(__xludf.DUMMYFUNCTION("GoogleTranslate(Main!I33, ""pt"", ""en"")"),"Low")</f>
        <v>Low</v>
      </c>
      <c r="H33" s="7" t="str">
        <f ca="1">IFERROR(__xludf.DUMMYFUNCTION("GoogleTranslate(Main!J33, ""pt"", ""en"")"),"Software developer")</f>
        <v>Software developer</v>
      </c>
      <c r="I33" s="7" t="str">
        <f ca="1">IFERROR(__xludf.DUMMYFUNCTION("GoogleTranslate(Main!K33, ""pt"", ""en"")"),"Python, JavaScript")</f>
        <v>Python, JavaScript</v>
      </c>
      <c r="J33" s="7" t="str">
        <f ca="1">IFERROR(__xludf.DUMMYFUNCTION("GoogleTranslate(Main!L33, ""pt"", ""en"")"),"In discussions related to usability, performance and safety for the delivery of a quality application.")</f>
        <v>In discussions related to usability, performance and safety for the delivery of a quality application.</v>
      </c>
      <c r="K33" s="7" t="str">
        <f ca="1">IFERROR(__xludf.DUMMYFUNCTION("GoogleTranslate(Main!M33, ""pt"", ""en"")"),"Impact on the quality of the software you use, learning opportunity")</f>
        <v>Impact on the quality of the software you use, learning opportunity</v>
      </c>
      <c r="L33" s="7" t="str">
        <f ca="1">IFERROR(__xludf.DUMMYFUNCTION("GoogleTranslate(Main!N33, ""pt"", ""en"")"),"Performance: Speed, Response Capacity and Software Efficiency., Scalability: Ability to deal with increased workload or user traffic., Safety: Measures to protect data and prevent unauthorized access. of use and ease of interaction., Maintenance: Ease of "&amp;"making updates and changes in the software.")</f>
        <v>Performance: Speed, Response Capacity and Software Efficiency., Scalability: Ability to deal with increased workload or user traffic., Safety: Measures to protect data and prevent unauthorized access. of use and ease of interaction., Maintenance: Ease of making updates and changes in the software.</v>
      </c>
      <c r="M33" s="7" t="str">
        <f ca="1">IFERROR(__xludf.DUMMYFUNCTION("GoogleTranslate(Main!O33, ""pt"", ""en"")"),"Very low")</f>
        <v>Very low</v>
      </c>
      <c r="N33" s="7" t="str">
        <f ca="1">IFERROR(__xludf.DUMMYFUNCTION("GoogleTranslate(Main!P33, ""pt"", ""en"")"),"Chat platforms with the team (eg Teams, Slack, Discord), meetings, with other colleagues (more experienced)")</f>
        <v>Chat platforms with the team (eg Teams, Slack, Discord), meetings, with other colleagues (more experienced)</v>
      </c>
      <c r="O33" s="7" t="str">
        <f ca="1">IFERROR(__xludf.DUMMYFUNCTION("GoogleTranslate(Main!Q33, ""pt"", ""en"")"),"I agree strongly")</f>
        <v>I agree strongly</v>
      </c>
      <c r="P33" s="7" t="str">
        <f ca="1">IFERROR(__xludf.DUMMYFUNCTION("GoogleTranslate(Main!R33, ""pt"", ""en"")"),"Development phase, testing phase, maintenance phase")</f>
        <v>Development phase, testing phase, maintenance phase</v>
      </c>
      <c r="Q33" s="7" t="str">
        <f ca="1">IFERROR(__xludf.DUMMYFUNCTION("GoogleTranslate(Main!S33, ""pt"", ""en"")"),"There were no.")</f>
        <v>There were no.</v>
      </c>
      <c r="R33" s="7" t="str">
        <f ca="1">IFERROR(__xludf.DUMMYFUNCTION("GoogleTranslate(Main!T33, ""pt"", ""en"")"),"Collaborate with other team members to collect insights, integrating RNFS testing into the continuous integration pipeline")</f>
        <v>Collaborate with other team members to collect insights, integrating RNFS testing into the continuous integration pipeline</v>
      </c>
      <c r="S33" s="7" t="str">
        <f ca="1">IFERROR(__xludf.DUMMYFUNCTION("GoogleTranslate(Main!U33, ""pt"", ""en"")"),"During software development the performance, usability and safety of the software is thought in teams. When deploying on a continuous integration pipeline, the security of the code is also validated.")</f>
        <v>During software development the performance, usability and safety of the software is thought in teams. When deploying on a continuous integration pipeline, the security of the code is also validated.</v>
      </c>
      <c r="T33" s="7" t="str">
        <f ca="1">IFERROR(__xludf.DUMMYFUNCTION("GoogleTranslate(Main!V33, ""pt"", ""en"")"),"Lack of clear documentation for non-functional requirements in the open source system, insufficient tools or frameworks to test and verify non-functional aspects, dealing with trade-offs between different non-functional requirements, limited understanding"&amp;" of the technical implications of RNFs")</f>
        <v>Lack of clear documentation for non-functional requirements in the open source system, insufficient tools or frameworks to test and verify non-functional aspects, dealing with trade-offs between different non-functional requirements, limited understanding of the technical implications of RNFs</v>
      </c>
      <c r="U33" s="7" t="str">
        <f ca="1">IFERROR(__xludf.DUMMYFUNCTION("GoogleTranslate(Main!W33, ""pt"", ""en"")"),"No.")</f>
        <v>No.</v>
      </c>
    </row>
    <row r="34" spans="1:21" x14ac:dyDescent="0.25">
      <c r="A34" s="5" t="s">
        <v>35</v>
      </c>
      <c r="B34" s="6">
        <v>33</v>
      </c>
      <c r="C34" s="7" t="str">
        <f ca="1">IFERROR(__xludf.DUMMYFUNCTION("GoogleTranslate(Main!E34, ""pt"", ""en"")"),"Masculine")</f>
        <v>Masculine</v>
      </c>
      <c r="D34" s="7" t="str">
        <f ca="1">IFERROR(__xludf.DUMMYFUNCTION("GoogleTranslate(Main!F34, ""pt"", ""en"")"),"Doctorate degree")</f>
        <v>Doctorate degree</v>
      </c>
      <c r="E34" s="6">
        <v>14</v>
      </c>
      <c r="F34" s="6">
        <v>10</v>
      </c>
      <c r="G34" s="7" t="str">
        <f ca="1">IFERROR(__xludf.DUMMYFUNCTION("GoogleTranslate(Main!I34, ""pt"", ""en"")"),"High")</f>
        <v>High</v>
      </c>
      <c r="H34" s="7" t="str">
        <f ca="1">IFERROR(__xludf.DUMMYFUNCTION("GoogleTranslate(Main!J34, ""pt"", ""en"")"),"Software engineer")</f>
        <v>Software engineer</v>
      </c>
      <c r="I34" s="7" t="str">
        <f ca="1">IFERROR(__xludf.DUMMYFUNCTION("GoogleTranslate(Main!K34, ""pt"", ""en"")"),"Java, Python, Dart")</f>
        <v>Java, Python, Dart</v>
      </c>
      <c r="J34" s="7" t="str">
        <f ca="1">IFERROR(__xludf.DUMMYFUNCTION("GoogleTranslate(Main!L34, ""pt"", ""en"")"),"In most projects in which I participated, the most discussed NFRs were in relation to performance and maintenance. In one of the first projects I worked we had performance problems that resulted in various discussions and tasks. The problem was related to"&amp;" inefficient database modeling.
In my current work we also have constant discussions about performance and scalability. With the increase of customers we are constantly performing design tasks and meetings to make one of our projects more scalable and to"&amp;" improve your performance.
In my current work we also have modeling sections for security threats. This has become mandatory due to the high risks of attacks that software projects can suffer.
Finally, I recently worked on the design of a new project. S"&amp;"top it made an initial proposal, then discussed and improved the design along with the team. The object was to have a flexible design for the addition of new features.")</f>
        <v>In most projects in which I participated, the most discussed NFRs were in relation to performance and maintenance. In one of the first projects I worked we had performance problems that resulted in various discussions and tasks. The problem was related to inefficient database modeling.
In my current work we also have constant discussions about performance and scalability. With the increase of customers we are constantly performing design tasks and meetings to make one of our projects more scalable and to improve your performance.
In my current work we also have modeling sections for security threats. This has become mandatory due to the high risks of attacks that software projects can suffer.
Finally, I recently worked on the design of a new project. Stop it made an initial proposal, then discussed and improved the design along with the team. The object was to have a flexible design for the addition of new features.</v>
      </c>
      <c r="K34" s="7" t="str">
        <f ca="1">IFERROR(__xludf.DUMMYFUNCTION("GoogleTranslate(Main!M34, ""pt"", ""en"")"),"Impact on the quality of the software you use, alignment with the project objectives, learning opportunity")</f>
        <v>Impact on the quality of the software you use, alignment with the project objectives, learning opportunity</v>
      </c>
      <c r="L34" s="7" t="str">
        <f ca="1">IFERROR(__xludf.DUMMYFUNCTION("GoogleTranslate(Main!N34, ""pt"", ""en"")"),"Performance: Speed, Response Capacity and Software Efficiency., Scalability: Ability to deal with increased workload or user traffic., Safety: Measures to protect data and prevent unauthorized access. to make updates and changes in the software.")</f>
        <v>Performance: Speed, Response Capacity and Software Efficiency., Scalability: Ability to deal with increased workload or user traffic., Safety: Measures to protect data and prevent unauthorized access. to make updates and changes in the software.</v>
      </c>
      <c r="M34" s="7" t="str">
        <f ca="1">IFERROR(__xludf.DUMMYFUNCTION("GoogleTranslate(Main!O34, ""pt"", ""en"")"),"High")</f>
        <v>High</v>
      </c>
      <c r="N34" s="7" t="str">
        <f ca="1">IFERROR(__xludf.DUMMYFUNCTION("GoogleTranslate(Main!P34, ""pt"", ""en"")"),"Requirements documentation, chat platforms with the team (eg Teams, Slack, Discord), Code Comments, Version Platform Discussions (eg, Issues and Pull Requests), meetings, with other colleagues (more experienced )")</f>
        <v>Requirements documentation, chat platforms with the team (eg Teams, Slack, Discord), Code Comments, Version Platform Discussions (eg, Issues and Pull Requests), meetings, with other colleagues (more experienced )</v>
      </c>
      <c r="O34" s="7" t="str">
        <f ca="1">IFERROR(__xludf.DUMMYFUNCTION("GoogleTranslate(Main!Q34, ""pt"", ""en"")"),"I agree strongly")</f>
        <v>I agree strongly</v>
      </c>
      <c r="P34" s="7" t="str">
        <f ca="1">IFERROR(__xludf.DUMMYFUNCTION("GoogleTranslate(Main!R34, ""pt"", ""en"")"),"Initial phase (for example, the design phase), iteratively during the entire software life cycle")</f>
        <v>Initial phase (for example, the design phase), iteratively during the entire software life cycle</v>
      </c>
      <c r="Q34" s="7" t="str">
        <f ca="1">IFERROR(__xludf.DUMMYFUNCTION("GoogleTranslate(Main!S34, ""pt"", ""en"")"),"Within the company we have experts in certain NFRs, such as those related to safety and infrastructure. However, they are not unique to our project. Instead, they work in all projects of the company.")</f>
        <v>Within the company we have experts in certain NFRs, such as those related to safety and infrastructure. However, they are not unique to our project. Instead, they work in all projects of the company.</v>
      </c>
      <c r="R34" s="7" t="str">
        <f ca="1">IFERROR(__xludf.DUMMYFUNCTION("GoogleTranslate(Main!T34, ""pt"", ""en"")"),"Review and refine RNFS definitions at the beginning of the development process, collaborate with other team members to collect insights, conduct code revisions focused on RNFs, employ specific RNFs tools or frameworks, integrating RNFS testing on the pipe"&amp;"line of pipeline continuous integration")</f>
        <v>Review and refine RNFS definitions at the beginning of the development process, collaborate with other team members to collect insights, conduct code revisions focused on RNFs, employ specific RNFs tools or frameworks, integrating RNFS testing on the pipeline of pipeline continuous integration</v>
      </c>
      <c r="S34" s="7" t="str">
        <f ca="1">IFERROR(__xludf.DUMMYFUNCTION("GoogleTranslate(Main!U34, ""pt"", ""en"")"),"We have quality -focused tools that evaluate project artifacts periodically. In addition, we use the Pull Request process, where all changes are reviewed. Finally, we often perform design sections related to NFRs")</f>
        <v>We have quality -focused tools that evaluate project artifacts periodically. In addition, we use the Pull Request process, where all changes are reviewed. Finally, we often perform design sections related to NFRs</v>
      </c>
      <c r="T34" s="7" t="str">
        <f ca="1">IFERROR(__xludf.DUMMYFUNCTION("GoogleTranslate(Main!V34, ""pt"", ""en"")"),"Inadequate communication among team members on non-functional requirements, dealing with trade-offs between different non-functional requirements")</f>
        <v>Inadequate communication among team members on non-functional requirements, dealing with trade-offs between different non-functional requirements</v>
      </c>
      <c r="U34" s="7" t="str">
        <f ca="1">IFERROR(__xludf.DUMMYFUNCTION("GoogleTranslate(Main!W34, ""pt"", ""en"")"),"For security we have a template for safety threat modeling. For maintenance we have documentation on good design practices.")</f>
        <v>For security we have a template for safety threat modeling. For maintenance we have documentation on good design practices.</v>
      </c>
    </row>
    <row r="35" spans="1:21" x14ac:dyDescent="0.25">
      <c r="A35" s="5" t="s">
        <v>36</v>
      </c>
      <c r="B35" s="6">
        <v>28</v>
      </c>
      <c r="C35" s="7" t="str">
        <f ca="1">IFERROR(__xludf.DUMMYFUNCTION("GoogleTranslate(Main!E35, ""pt"", ""en"")"),"Feminine")</f>
        <v>Feminine</v>
      </c>
      <c r="D35" s="7" t="str">
        <f ca="1">IFERROR(__xludf.DUMMYFUNCTION("GoogleTranslate(Main!F35, ""pt"", ""en"")"),"Doctorate degree")</f>
        <v>Doctorate degree</v>
      </c>
      <c r="E35" s="6">
        <v>8</v>
      </c>
      <c r="F35" s="6">
        <v>8</v>
      </c>
      <c r="G35" s="7" t="str">
        <f ca="1">IFERROR(__xludf.DUMMYFUNCTION("GoogleTranslate(Main!I35, ""pt"", ""en"")"),"High")</f>
        <v>High</v>
      </c>
      <c r="H35" s="7" t="str">
        <f ca="1">IFERROR(__xludf.DUMMYFUNCTION("GoogleTranslate(Main!J35, ""pt"", ""en"")"),"Software engineer")</f>
        <v>Software engineer</v>
      </c>
      <c r="I35" s="7" t="str">
        <f ca="1">IFERROR(__xludf.DUMMYFUNCTION("GoogleTranslate(Main!K35, ""pt"", ""en"")"),"Java")</f>
        <v>Java</v>
      </c>
      <c r="J35" s="7" t="str">
        <f ca="1">IFERROR(__xludf.DUMMYFUNCTION("GoogleTranslate(Main!L35, ""pt"", ""en"")"),"In my current work I had to discuss the non -functional when projecting the architecture before I started programming something.")</f>
        <v>In my current work I had to discuss the non -functional when projecting the architecture before I started programming something.</v>
      </c>
      <c r="K35" s="7" t="str">
        <f ca="1">IFERROR(__xludf.DUMMYFUNCTION("GoogleTranslate(Main!M35, ""pt"", ""en"")"),"Impact on the quality of the software you use, alignment with the project goals, potential NFRs risks are not addressed")</f>
        <v>Impact on the quality of the software you use, alignment with the project goals, potential NFRs risks are not addressed</v>
      </c>
      <c r="L35" s="7" t="str">
        <f ca="1">IFERROR(__xludf.DUMMYFUNCTION("GoogleTranslate(Main!N35, ""pt"", ""en"")"),"Performance: Speed, Response Capacity and Software Efficiency., Scalability: Ability to deal with increased workload or users' traffic., Robustness: software capacity to recover under various conditions. System and accessibility for users., Safety: Measur"&amp;"es to protect data and avoid unauthorized access., Usability: Ease of use and ease of interaction., Maintenance: Ease of making updates and changes in software.")</f>
        <v>Performance: Speed, Response Capacity and Software Efficiency., Scalability: Ability to deal with increased workload or users' traffic., Robustness: software capacity to recover under various conditions. System and accessibility for users., Safety: Measures to protect data and avoid unauthorized access., Usability: Ease of use and ease of interaction., Maintenance: Ease of making updates and changes in software.</v>
      </c>
      <c r="M35" s="7" t="str">
        <f ca="1">IFERROR(__xludf.DUMMYFUNCTION("GoogleTranslate(Main!O35, ""pt"", ""en"")"),"Low")</f>
        <v>Low</v>
      </c>
      <c r="N35" s="7" t="str">
        <f ca="1">IFERROR(__xludf.DUMMYFUNCTION("GoogleTranslate(Main!P35, ""pt"", ""en"")"),"Requirements documentation, code comments, discussions on version control platforms (eg problems and pull refills), meetings, with other colleagues (more experienced), email")</f>
        <v>Requirements documentation, code comments, discussions on version control platforms (eg problems and pull refills), meetings, with other colleagues (more experienced), email</v>
      </c>
      <c r="O35" s="7" t="str">
        <f ca="1">IFERROR(__xludf.DUMMYFUNCTION("GoogleTranslate(Main!Q35, ""pt"", ""en"")"),"I agree strongly")</f>
        <v>I agree strongly</v>
      </c>
      <c r="P35" s="7" t="str">
        <f ca="1">IFERROR(__xludf.DUMMYFUNCTION("GoogleTranslate(Main!R35, ""pt"", ""en"")"),"Initial phase (for example, design phase), development phase, test phase, implementation phase, maintenance phase, iteratively throughout the software's life cycle")</f>
        <v>Initial phase (for example, design phase), development phase, test phase, implementation phase, maintenance phase, iteratively throughout the software's life cycle</v>
      </c>
      <c r="Q35" s="7" t="str">
        <f ca="1">IFERROR(__xludf.DUMMYFUNCTION("GoogleTranslate(Main!S35, ""pt"", ""en"")"),"No")</f>
        <v>No</v>
      </c>
      <c r="R35" s="7" t="str">
        <f ca="1">IFERROR(__xludf.DUMMYFUNCTION("GoogleTranslate(Main!T35, ""pt"", ""en"")"),"Review and refine NFR definitions at the beginning of the development process, collaborate with other team members to collect insights, conduct NFRs focused code revisions, employ specific NFR tools, integrate NFR tests into the integration pipeline to be"&amp;" continued")</f>
        <v>Review and refine NFR definitions at the beginning of the development process, collaborate with other team members to collect insights, conduct NFRs focused code revisions, employ specific NFR tools, integrate NFR tests into the integration pipeline to be continued</v>
      </c>
      <c r="S35" s="7" t="str">
        <f ca="1">IFERROR(__xludf.DUMMYFUNCTION("GoogleTranslate(Main!U35, ""pt"", ""en"")"),"It happens when a customer requires something. The product owner collects the desired product of the customer and together with the team we draw the requirements and architecture and then the developers start the programming.")</f>
        <v>It happens when a customer requires something. The product owner collects the desired product of the customer and together with the team we draw the requirements and architecture and then the developers start the programming.</v>
      </c>
      <c r="T35" s="7" t="str">
        <f ca="1">IFERROR(__xludf.DUMMYFUNCTION("GoogleTranslate(Main!V35, ""pt"", ""en"")"),"Lack of clear documentation for non -functional requirements in the open source system, inadequate communication among team members on non -functional requirements, ambiguity in the definition and clear articulation of NFRs, limited understanding of the t"&amp;"echnical implications of NFRs")</f>
        <v>Lack of clear documentation for non -functional requirements in the open source system, inadequate communication among team members on non -functional requirements, ambiguity in the definition and clear articulation of NFRs, limited understanding of the technical implications of NFRs</v>
      </c>
      <c r="U35" s="7" t="str">
        <f ca="1">IFERROR(__xludf.DUMMYFUNCTION("GoogleTranslate(Main!W35, ""pt"", ""en"")"),"No, I'm new in the industry and previously at the gym I didn't have to do it formally with a team. Usually the projects I did at the gym were discussed between me and my advisor, and we decided together for NFR or alone. Currently, in my work I discuss th"&amp;"e NFRs with my team and we try to document them in some way. My colleagues are more experienced than me, so I just hear and learn from them, sometimes I give small suggestions, but most of the time they know how to take care of NFRs.")</f>
        <v>No, I'm new in the industry and previously at the gym I didn't have to do it formally with a team. Usually the projects I did at the gym were discussed between me and my advisor, and we decided together for NFR or alone. Currently, in my work I discuss the NFRs with my team and we try to document them in some way. My colleagues are more experienced than me, so I just hear and learn from them, sometimes I give small suggestions, but most of the time they know how to take care of NFRs.</v>
      </c>
    </row>
    <row r="36" spans="1:21" x14ac:dyDescent="0.25">
      <c r="A36" s="5" t="s">
        <v>37</v>
      </c>
      <c r="B36" s="6">
        <v>33</v>
      </c>
      <c r="C36" s="7" t="str">
        <f ca="1">IFERROR(__xludf.DUMMYFUNCTION("GoogleTranslate(Main!E36, ""pt"", ""en"")"),"Masculine")</f>
        <v>Masculine</v>
      </c>
      <c r="D36" s="7" t="str">
        <f ca="1">IFERROR(__xludf.DUMMYFUNCTION("GoogleTranslate(Main!F36, ""pt"", ""en"")"),"Master's degree")</f>
        <v>Master's degree</v>
      </c>
      <c r="E36" s="6">
        <v>13</v>
      </c>
      <c r="F36" s="6">
        <v>9</v>
      </c>
      <c r="G36" s="7" t="str">
        <f ca="1">IFERROR(__xludf.DUMMYFUNCTION("GoogleTranslate(Main!I36, ""pt"", ""en"")"),"Very high")</f>
        <v>Very high</v>
      </c>
      <c r="H36" s="7" t="str">
        <f ca="1">IFERROR(__xludf.DUMMYFUNCTION("GoogleTranslate(Main!J36, ""pt"", ""en"")"),"Software engineer")</f>
        <v>Software engineer</v>
      </c>
      <c r="I36" s="7" t="str">
        <f ca="1">IFERROR(__xludf.DUMMYFUNCTION("GoogleTranslate(Main!K36, ""pt"", ""en"")"),"Java, JavaScript, Ruby, PHP")</f>
        <v>Java, JavaScript, Ruby, PHP</v>
      </c>
      <c r="J36" s="7" t="str">
        <f ca="1">IFERROR(__xludf.DUMMYFUNCTION("GoogleTranslate(Main!L36, ""pt"", ""en"")"),"When projecting the user interface to a payment page, designers and developers discussed NFRs related to usability and accessibility. We consider factors that improve user experience such as response capacity and ease of navigation.")</f>
        <v>When projecting the user interface to a payment page, designers and developers discussed NFRs related to usability and accessibility. We consider factors that improve user experience such as response capacity and ease of navigation.</v>
      </c>
      <c r="K36" s="7" t="str">
        <f ca="1">IFERROR(__xludf.DUMMYFUNCTION("GoogleTranslate(Main!M36, ""pt"", ""en"")"),"Impact on Software Quality That You Use, Alignment with Project Goals")</f>
        <v>Impact on Software Quality That You Use, Alignment with Project Goals</v>
      </c>
      <c r="L36" s="7" t="str">
        <f ca="1">IFERROR(__xludf.DUMMYFUNCTION("GoogleTranslate(Main!N36, ""pt"", ""en"")"),"Performance: Speed, Response Capacity and Software Efficiency., Scalability: Ability to deal with increased workload or users' traffic., Availability: System activity time and accessibility for users. data and avoid unauthorized access., Usability: User -"&amp;"Sympathy and ease of interaction., Maintenance: Ease of making updates and changes in the software.")</f>
        <v>Performance: Speed, Response Capacity and Software Efficiency., Scalability: Ability to deal with increased workload or users' traffic., Availability: System activity time and accessibility for users. data and avoid unauthorized access., Usability: User -Sympathy and ease of interaction., Maintenance: Ease of making updates and changes in the software.</v>
      </c>
      <c r="M36" s="7" t="str">
        <f ca="1">IFERROR(__xludf.DUMMYFUNCTION("GoogleTranslate(Main!O36, ""pt"", ""en"")"),"High")</f>
        <v>High</v>
      </c>
      <c r="N36" s="7" t="str">
        <f ca="1">IFERROR(__xludf.DUMMYFUNCTION("GoogleTranslate(Main!P36, ""pt"", ""en"")"),"Requirements documentation, chat platforms with the team (eg Teams, Slack, Discord), meetings, with other colleagues (more experienced)")</f>
        <v>Requirements documentation, chat platforms with the team (eg Teams, Slack, Discord), meetings, with other colleagues (more experienced)</v>
      </c>
      <c r="O36" s="7" t="str">
        <f ca="1">IFERROR(__xludf.DUMMYFUNCTION("GoogleTranslate(Main!Q36, ""pt"", ""en"")"),"I agree strongly")</f>
        <v>I agree strongly</v>
      </c>
      <c r="P36" s="7" t="str">
        <f ca="1">IFERROR(__xludf.DUMMYFUNCTION("GoogleTranslate(Main!R36, ""pt"", ""en"")"),"Iteratively throughout the software life cycle")</f>
        <v>Iteratively throughout the software life cycle</v>
      </c>
      <c r="Q36" s="7" t="str">
        <f ca="1">IFERROR(__xludf.DUMMYFUNCTION("GoogleTranslate(Main!S36, ""pt"", ""en"")"),"No")</f>
        <v>No</v>
      </c>
      <c r="R36" s="7" t="str">
        <f ca="1">IFERROR(__xludf.DUMMYFUNCTION("GoogleTranslate(Main!T36, ""pt"", ""en"")"),"Review and refine NFR definitions at the beginning of the development process, collaborate with other team members to collect insights, conduct NFRs focused code reviews")</f>
        <v>Review and refine NFR definitions at the beginning of the development process, collaborate with other team members to collect insights, conduct NFRs focused code reviews</v>
      </c>
      <c r="S36" s="7" t="str">
        <f ca="1">IFERROR(__xludf.DUMMYFUNCTION("GoogleTranslate(Main!U36, ""pt"", ""en"")"),"Usually we would discuss everything in the requirement collection phase, but some things can be lost and we can identify them also during the revision or testing phase.")</f>
        <v>Usually we would discuss everything in the requirement collection phase, but some things can be lost and we can identify them also during the revision or testing phase.</v>
      </c>
      <c r="T36" s="7" t="str">
        <f ca="1">IFERROR(__xludf.DUMMYFUNCTION("GoogleTranslate(Main!V36, ""pt"", ""en"")"),"Lack of clear documentation for non -functional requirements in the open source system; Insufficient tools or structures to test and verify non -functional aspects")</f>
        <v>Lack of clear documentation for non -functional requirements in the open source system; Insufficient tools or structures to test and verify non -functional aspects</v>
      </c>
      <c r="U36" s="7" t="str">
        <f ca="1">IFERROR(__xludf.DUMMYFUNCTION("GoogleTranslate(Main!W36, ""pt"", ""en"")"),"Yes, regarding performance. For example, the way I was extracting some database records.")</f>
        <v>Yes, regarding performance. For example, the way I was extracting some database records.</v>
      </c>
    </row>
    <row r="37" spans="1:21" x14ac:dyDescent="0.25">
      <c r="A37" s="5" t="s">
        <v>38</v>
      </c>
      <c r="B37" s="6">
        <v>31</v>
      </c>
      <c r="C37" s="7" t="str">
        <f ca="1">IFERROR(__xludf.DUMMYFUNCTION("GoogleTranslate(Main!E37, ""pt"", ""en"")"),"Masculine")</f>
        <v>Masculine</v>
      </c>
      <c r="D37" s="7" t="str">
        <f ca="1">IFERROR(__xludf.DUMMYFUNCTION("GoogleTranslate(Main!F37, ""pt"", ""en"")"),"Master's degree")</f>
        <v>Master's degree</v>
      </c>
      <c r="E37" s="6">
        <v>13</v>
      </c>
      <c r="F37" s="6">
        <v>9</v>
      </c>
      <c r="G37" s="7" t="str">
        <f ca="1">IFERROR(__xludf.DUMMYFUNCTION("GoogleTranslate(Main!I37, ""pt"", ""en"")"),"Very high")</f>
        <v>Very high</v>
      </c>
      <c r="H37" s="7" t="str">
        <f ca="1">IFERROR(__xludf.DUMMYFUNCTION("GoogleTranslate(Main!J37, ""pt"", ""en"")"),"Software architect")</f>
        <v>Software architect</v>
      </c>
      <c r="I37" s="7" t="str">
        <f ca="1">IFERROR(__xludf.DUMMYFUNCTION("GoogleTranslate(Main!K37, ""pt"", ""en"")"),"Java")</f>
        <v>Java</v>
      </c>
      <c r="J37" s="7" t="str">
        <f ca="1">IFERROR(__xludf.DUMMYFUNCTION("GoogleTranslate(Main!L37, ""pt"", ""en"")"),"During the development of web -based software, I was involved in discussions related to authentication, authorization, safety and implantability.
Now, working with highly scalable APIs, I am deeper into SLDC, performance, scalability, data security, LGPD"&amp;" and other NF requirements.
I am also responsible for a platform team, focused on architecture and our main KPIs are the level of DevOps maturity, 4 Key Metrics, etc.")</f>
        <v>During the development of web -based software, I was involved in discussions related to authentication, authorization, safety and implantability.
Now, working with highly scalable APIs, I am deeper into SLDC, performance, scalability, data security, LGPD and other NF requirements.
I am also responsible for a platform team, focused on architecture and our main KPIs are the level of DevOps maturity, 4 Key Metrics, etc.</v>
      </c>
      <c r="K37" s="7" t="str">
        <f ca="1">IFERROR(__xludf.DUMMYFUNCTION("GoogleTranslate(Main!M37, ""pt"", ""en"")"),"Relevance to your specialization area, impact on the quality of the software you use, alignment with project objectives, potential NFRs risks are not addressed, learning opportunity")</f>
        <v>Relevance to your specialization area, impact on the quality of the software you use, alignment with project objectives, potential NFRs risks are not addressed, learning opportunity</v>
      </c>
      <c r="L37" s="7" t="str">
        <f ca="1">IFERROR(__xludf.DUMMYFUNCTION("GoogleTranslate(Main!N37, ""pt"", ""en"")"),"Performance: Speed, Response Capacity and Software Efficiency., Scalability: Ability to deal with increased workload or users' traffic., Robustness: software capacity to recover under various conditions. System and Accessibility for Users., Safety: Measur"&amp;"es to protect data and prevent unauthorized access., Usability: Ease of use and ease of interaction., Maintenance: Ease of making updates and changes in software. Personal (LGPD, GDPR)")</f>
        <v>Performance: Speed, Response Capacity and Software Efficiency., Scalability: Ability to deal with increased workload or users' traffic., Robustness: software capacity to recover under various conditions. System and Accessibility for Users., Safety: Measures to protect data and prevent unauthorized access., Usability: Ease of use and ease of interaction., Maintenance: Ease of making updates and changes in software. Personal (LGPD, GDPR)</v>
      </c>
      <c r="M37" s="7" t="str">
        <f ca="1">IFERROR(__xludf.DUMMYFUNCTION("GoogleTranslate(Main!O37, ""pt"", ""en"")"),"Very high")</f>
        <v>Very high</v>
      </c>
      <c r="N37" s="7" t="str">
        <f ca="1">IFERROR(__xludf.DUMMYFUNCTION("GoogleTranslate(Main!P37, ""pt"", ""en"")"),"Requirements documentation, chat platforms with the team (eg Teams, Slack, Discord), discussions on version control platforms (eg problems and pull refills), meetings, with other (more experienced) colleagues, E-mail, NFR specification documents and sprea"&amp;"dsheets")</f>
        <v>Requirements documentation, chat platforms with the team (eg Teams, Slack, Discord), discussions on version control platforms (eg problems and pull refills), meetings, with other (more experienced) colleagues, E-mail, NFR specification documents and spreadsheets</v>
      </c>
      <c r="O37" s="7" t="str">
        <f ca="1">IFERROR(__xludf.DUMMYFUNCTION("GoogleTranslate(Main!Q37, ""pt"", ""en"")"),"I agree strongly")</f>
        <v>I agree strongly</v>
      </c>
      <c r="P37" s="7" t="str">
        <f ca="1">IFERROR(__xludf.DUMMYFUNCTION("GoogleTranslate(Main!R37, ""pt"", ""en"")"),"Initial phase (for example, design phase), development phase, test phase, implementation phase, maintenance phase, iteratively throughout the software's life cycle")</f>
        <v>Initial phase (for example, design phase), development phase, test phase, implementation phase, maintenance phase, iteratively throughout the software's life cycle</v>
      </c>
      <c r="Q37" s="7" t="str">
        <f ca="1">IFERROR(__xludf.DUMMYFUNCTION("GoogleTranslate(Main!S37, ""pt"", ""en"")"),"Usually architecture managers deal with the heat map and the overall view of NFR maturity in large projects. Software architects deal with NFR spreadsheets for project specific resources. And we also have data, security, protection and regulation experts "&amp;"from the user data, Devops, all performing advisory functions for software architects.")</f>
        <v>Usually architecture managers deal with the heat map and the overall view of NFR maturity in large projects. Software architects deal with NFR spreadsheets for project specific resources. And we also have data, security, protection and regulation experts from the user data, Devops, all performing advisory functions for software architects.</v>
      </c>
      <c r="R37" s="7" t="str">
        <f ca="1">IFERROR(__xludf.DUMMYFUNCTION("GoogleTranslate(Main!T37, ""pt"", ""en"")"),"Review and refine NFR definitions at the beginning of the development process, collaborate with other team members to collect insights, conduct NFRs focused code revisions, employ specific NFR tools, integrate NFR tests into the integration pipeline to be"&amp;" continued")</f>
        <v>Review and refine NFR definitions at the beginning of the development process, collaborate with other team members to collect insights, conduct NFRs focused code revisions, employ specific NFR tools, integrate NFR tests into the integration pipeline to be continued</v>
      </c>
      <c r="S37" s="7" t="str">
        <f ca="1">IFERROR(__xludf.DUMMYFUNCTION("GoogleTranslate(Main!U37, ""pt"", ""en"")"),"Each project has an NFR spreadsheet that is filled by an architect and the solution revised by the team.
Incidents may have their post mortem mapped to NFR -related actions.
We have periodically based maturity level analysis with all architects and PDCA"&amp;" where we discussed and evaluate NFRs.
In addition to code revisions and tests performed for almost all commits, deliveries (safety (Pentest), CI (SAST/DOS), performance (load/stress), observability, layout, etc.).")</f>
        <v>Each project has an NFR spreadsheet that is filled by an architect and the solution revised by the team.
Incidents may have their post mortem mapped to NFR -related actions.
We have periodically based maturity level analysis with all architects and PDCA where we discussed and evaluate NFRs.
In addition to code revisions and tests performed for almost all commits, deliveries (safety (Pentest), CI (SAST/DOS), performance (load/stress), observability, layout, etc.).</v>
      </c>
      <c r="T37" s="7" t="str">
        <f ca="1">IFERROR(__xludf.DUMMYFUNCTION("GoogleTranslate(Main!V37, ""pt"", ""en"")"),"Lack of clear documentation for non -functional requirements in the open source system")</f>
        <v>Lack of clear documentation for non -functional requirements in the open source system</v>
      </c>
      <c r="U37" s="7" t="str">
        <f ca="1">IFERROR(__xludf.DUMMYFUNCTION("GoogleTranslate(Main!W37, ""pt"", ""en"")"),"As I work as an architect, I periodically serve NFRS PDCA as well as in Solution Reviews and daily solve doubts of developers related to this theme.")</f>
        <v>As I work as an architect, I periodically serve NFRS PDCA as well as in Solution Reviews and daily solve doubts of developers related to this theme.</v>
      </c>
    </row>
    <row r="38" spans="1:21" x14ac:dyDescent="0.25">
      <c r="A38" s="5" t="s">
        <v>39</v>
      </c>
      <c r="B38" s="6">
        <v>47</v>
      </c>
      <c r="C38" s="7" t="str">
        <f ca="1">IFERROR(__xludf.DUMMYFUNCTION("GoogleTranslate(Main!E38, ""pt"", ""en"")"),"Masculine")</f>
        <v>Masculine</v>
      </c>
      <c r="D38" s="7" t="str">
        <f ca="1">IFERROR(__xludf.DUMMYFUNCTION("GoogleTranslate(Main!F38, ""pt"", ""en"")"),"Doctorate degree")</f>
        <v>Doctorate degree</v>
      </c>
      <c r="E38" s="6">
        <v>30</v>
      </c>
      <c r="F38" s="6">
        <v>50</v>
      </c>
      <c r="G38" s="7" t="str">
        <f ca="1">IFERROR(__xludf.DUMMYFUNCTION("GoogleTranslate(Main!I38, ""pt"", ""en"")"),"Very high")</f>
        <v>Very high</v>
      </c>
      <c r="H38" s="7" t="str">
        <f ca="1">IFERROR(__xludf.DUMMYFUNCTION("GoogleTranslate(Main!J38, ""pt"", ""en"")"),"Software developer")</f>
        <v>Software developer</v>
      </c>
      <c r="I38" s="7" t="str">
        <f ca="1">IFERROR(__xludf.DUMMYFUNCTION("GoogleTranslate(Main!K38, ""pt"", ""en"")"),"Java, Python, JavaScript, Golang")</f>
        <v>Java, Python, JavaScript, Golang</v>
      </c>
      <c r="J38" s="7" t="str">
        <f ca="1">IFERROR(__xludf.DUMMYFUNCTION("GoogleTranslate(Main!L38, ""pt"", ""en"")"),"Often choosing technologies, reviewing code and solving performance problems.")</f>
        <v>Often choosing technologies, reviewing code and solving performance problems.</v>
      </c>
      <c r="K38" s="7" t="str">
        <f ca="1">IFERROR(__xludf.DUMMYFUNCTION("GoogleTranslate(Main!M38, ""pt"", ""en"")"),"Relevance to your specialization area, impact on the quality of the software you use, alignment with the project objectives")</f>
        <v>Relevance to your specialization area, impact on the quality of the software you use, alignment with the project objectives</v>
      </c>
      <c r="L38" s="7" t="str">
        <f ca="1">IFERROR(__xludf.DUMMYFUNCTION("GoogleTranslate(Main!N38, ""pt"", ""en"")"),"Performance: Speed, Response Capacity and Software Efficiency., Scalability: Ability to deal with increased workload or users' traffic. Safety: Measures to protect data and prevent unauthorized access. Usability: Ease of use and ease of interaction., Main"&amp;"tenance capacity: ease of making updates and changes in the software.")</f>
        <v>Performance: Speed, Response Capacity and Software Efficiency., Scalability: Ability to deal with increased workload or users' traffic. Safety: Measures to protect data and prevent unauthorized access. Usability: Ease of use and ease of interaction., Maintenance capacity: ease of making updates and changes in the software.</v>
      </c>
      <c r="M38" s="7" t="str">
        <f ca="1">IFERROR(__xludf.DUMMYFUNCTION("GoogleTranslate(Main!O38, ""pt"", ""en"")"),"High")</f>
        <v>High</v>
      </c>
      <c r="N38" s="7" t="str">
        <f ca="1">IFERROR(__xludf.DUMMYFUNCTION("GoogleTranslate(Main!P38, ""pt"", ""en"")"),"Chat platforms with the team (for example, teams, slack, disorder), meetings")</f>
        <v>Chat platforms with the team (for example, teams, slack, disorder), meetings</v>
      </c>
      <c r="O38" s="7" t="str">
        <f ca="1">IFERROR(__xludf.DUMMYFUNCTION("GoogleTranslate(Main!Q38, ""pt"", ""en"")"),"I agree strongly")</f>
        <v>I agree strongly</v>
      </c>
      <c r="P38" s="7" t="str">
        <f ca="1">IFERROR(__xludf.DUMMYFUNCTION("GoogleTranslate(Main!R38, ""pt"", ""en"")"),"Development phase, test phase, implementation phase, maintenance phase")</f>
        <v>Development phase, test phase, implementation phase, maintenance phase</v>
      </c>
      <c r="Q38" s="7" t="str">
        <f ca="1">IFERROR(__xludf.DUMMYFUNCTION("GoogleTranslate(Main!S38, ""pt"", ""en"")"),"No")</f>
        <v>No</v>
      </c>
      <c r="R38" s="7" t="str">
        <f ca="1">IFERROR(__xludf.DUMMYFUNCTION("GoogleTranslate(Main!T38, ""pt"", ""en"")"),"Conducting code revisions focused on NFRs, employing specific tools or structures for NFRS evaluation")</f>
        <v>Conducting code revisions focused on NFRs, employing specific tools or structures for NFRS evaluation</v>
      </c>
      <c r="S38" s="7" t="str">
        <f ca="1">IFERROR(__xludf.DUMMYFUNCTION("GoogleTranslate(Main!U38, ""pt"", ""en"")"),"It happens looking for code errors that may cause NFR problems and using tools such as penetration tests to verify code safety or performance test tools that test scalability in terms of number of users.")</f>
        <v>It happens looking for code errors that may cause NFR problems and using tools such as penetration tests to verify code safety or performance test tools that test scalability in terms of number of users.</v>
      </c>
      <c r="T38" s="7" t="str">
        <f ca="1">IFERROR(__xludf.DUMMYFUNCTION("GoogleTranslate(Main!V38, ""pt"", ""en"")"),"Insufficient tools or structures to test and verify non-functional aspects, deal with trade-offs between different non-functional requirements, ambiguity in the definition and clear articulation of NFRs, limited understanding of the technical implications"&amp;" of NFRs")</f>
        <v>Insufficient tools or structures to test and verify non-functional aspects, deal with trade-offs between different non-functional requirements, ambiguity in the definition and clear articulation of NFRs, limited understanding of the technical implications of NFRs</v>
      </c>
      <c r="U38" s="7" t="str">
        <f ca="1">IFERROR(__xludf.DUMMYFUNCTION("GoogleTranslate(Main!W38, ""pt"", ""en"")"),"I received and gave suggestions of pairs related to the time complexity, software architecture (multithreaded, load balancing and others)")</f>
        <v>I received and gave suggestions of pairs related to the time complexity, software architecture (multithreaded, load balancing and others)</v>
      </c>
    </row>
    <row r="39" spans="1:21" x14ac:dyDescent="0.25">
      <c r="A39" s="5" t="s">
        <v>40</v>
      </c>
      <c r="B39" s="6">
        <v>35</v>
      </c>
      <c r="C39" s="7" t="str">
        <f ca="1">IFERROR(__xludf.DUMMYFUNCTION("GoogleTranslate(Main!E39, ""pt"", ""en"")"),"Masculine")</f>
        <v>Masculine</v>
      </c>
      <c r="D39" s="7" t="str">
        <f ca="1">IFERROR(__xludf.DUMMYFUNCTION("GoogleTranslate(Main!F39, ""pt"", ""en"")"),"Master's degree")</f>
        <v>Master's degree</v>
      </c>
      <c r="E39" s="6">
        <v>10</v>
      </c>
      <c r="F39" s="6">
        <v>8</v>
      </c>
      <c r="G39" s="7" t="str">
        <f ca="1">IFERROR(__xludf.DUMMYFUNCTION("GoogleTranslate(Main!I39, ""pt"", ""en"")"),"High")</f>
        <v>High</v>
      </c>
      <c r="H39" s="7" t="str">
        <f ca="1">IFERROR(__xludf.DUMMYFUNCTION("GoogleTranslate(Main!J39, ""pt"", ""en"")"),"Software engineer")</f>
        <v>Software engineer</v>
      </c>
      <c r="I39" s="7" t="str">
        <f ca="1">IFERROR(__xludf.DUMMYFUNCTION("GoogleTranslate(Main!K39, ""pt"", ""en"")"),"Java, Python")</f>
        <v>Java, Python</v>
      </c>
      <c r="J39" s="7" t="str">
        <f ca="1">IFERROR(__xludf.DUMMYFUNCTION("GoogleTranslate(Main!L39, ""pt"", ""en"")"),"I have discussions about NFRS more related to data area. We have some restrictions related to time and costs to process Big Data in the cloud. Therefore, we need to provide horizontally scalable solutions to reach NFRs.
Recently, we also discuss the safe"&amp;"ty in cloud implementation. We are migrating a system to a cloud and protecting the endpoints with authorization and author.")</f>
        <v>I have discussions about NFRS more related to data area. We have some restrictions related to time and costs to process Big Data in the cloud. Therefore, we need to provide horizontally scalable solutions to reach NFRs.
Recently, we also discuss the safety in cloud implementation. We are migrating a system to a cloud and protecting the endpoints with authorization and author.</v>
      </c>
      <c r="K39" s="7" t="str">
        <f ca="1">IFERROR(__xludf.DUMMYFUNCTION("GoogleTranslate(Main!M39, ""pt"", ""en"")"),"Impact on the quality of the software you use, alignment with the project objectives")</f>
        <v>Impact on the quality of the software you use, alignment with the project objectives</v>
      </c>
      <c r="L39" s="7" t="str">
        <f ca="1">IFERROR(__xludf.DUMMYFUNCTION("GoogleTranslate(Main!N39, ""pt"", ""en"")"),"Performance: Speed, response capacity and software efficiency. Scalability: Ability to deal with increased workload or users' traffic.")</f>
        <v>Performance: Speed, response capacity and software efficiency. Scalability: Ability to deal with increased workload or users' traffic.</v>
      </c>
      <c r="M39" s="7" t="str">
        <f ca="1">IFERROR(__xludf.DUMMYFUNCTION("GoogleTranslate(Main!O39, ""pt"", ""en"")"),"Very low")</f>
        <v>Very low</v>
      </c>
      <c r="N39" s="7" t="str">
        <f ca="1">IFERROR(__xludf.DUMMYFUNCTION("GoogleTranslate(Main!P39, ""pt"", ""en"")"),"Chat platforms with the team (eg Teams, Slack, Discord), meetings, with other colleagues (more experienced), email")</f>
        <v>Chat platforms with the team (eg Teams, Slack, Discord), meetings, with other colleagues (more experienced), email</v>
      </c>
      <c r="O39" s="7" t="str">
        <f ca="1">IFERROR(__xludf.DUMMYFUNCTION("GoogleTranslate(Main!Q39, ""pt"", ""en"")"),"I agree strongly")</f>
        <v>I agree strongly</v>
      </c>
      <c r="P39" s="7" t="str">
        <f ca="1">IFERROR(__xludf.DUMMYFUNCTION("GoogleTranslate(Main!R39, ""pt"", ""en"")"),"Iteratively throughout the software life cycle")</f>
        <v>Iteratively throughout the software life cycle</v>
      </c>
      <c r="Q39" s="7" t="str">
        <f ca="1">IFERROR(__xludf.DUMMYFUNCTION("GoogleTranslate(Main!S39, ""pt"", ""en"")"),"In my current project, we have an intensive data system, NFRs are more related to data delivery performance faster to users. Therefore, we have data engineers dedicated to performing it.")</f>
        <v>In my current project, we have an intensive data system, NFRs are more related to data delivery performance faster to users. Therefore, we have data engineers dedicated to performing it.</v>
      </c>
      <c r="R39" s="7" t="str">
        <f ca="1">IFERROR(__xludf.DUMMYFUNCTION("GoogleTranslate(Main!T39, ""pt"", ""en"")"),"Collaborate with other team members to collect insights, employ tools or specific structures for NFR evaluation")</f>
        <v>Collaborate with other team members to collect insights, employ tools or specific structures for NFR evaluation</v>
      </c>
      <c r="S39" s="7" t="str">
        <f ca="1">IFERROR(__xludf.DUMMYFUNCTION("GoogleTranslate(Main!U39, ""pt"", ""en"")"),"There is no defined NFR process or well -defined requirements; These discussions and strategies appear as NFR problems occur in projects.")</f>
        <v>There is no defined NFR process or well -defined requirements; These discussions and strategies appear as NFR problems occur in projects.</v>
      </c>
      <c r="T39" s="7" t="str">
        <f ca="1">IFERROR(__xludf.DUMMYFUNCTION("GoogleTranslate(Main!V39, ""pt"", ""en"")"),"Lack of clear documentation for non-functional requirements in the open source system, inadequate communication among team members on non-functional requirements, dealing with trade-offs between different non-functional requirements, ambiguity in the defi"&amp;"nition and clear articulation of NFRS")</f>
        <v>Lack of clear documentation for non-functional requirements in the open source system, inadequate communication among team members on non-functional requirements, dealing with trade-offs between different non-functional requirements, ambiguity in the definition and clear articulation of NFRS</v>
      </c>
      <c r="U39" s="7" t="str">
        <f ca="1">IFERROR(__xludf.DUMMYFUNCTION("GoogleTranslate(Main!W39, ""pt"", ""en"")"),"No I did not.")</f>
        <v>No I did not.</v>
      </c>
    </row>
    <row r="40" spans="1:21" x14ac:dyDescent="0.25">
      <c r="A40" s="5" t="s">
        <v>41</v>
      </c>
      <c r="B40" s="6">
        <v>38</v>
      </c>
      <c r="C40" s="7" t="str">
        <f ca="1">IFERROR(__xludf.DUMMYFUNCTION("GoogleTranslate(Main!E40, ""pt"", ""en"")"),"Masculine")</f>
        <v>Masculine</v>
      </c>
      <c r="D40" s="7" t="str">
        <f ca="1">IFERROR(__xludf.DUMMYFUNCTION("GoogleTranslate(Main!F40, ""pt"", ""en"")"),"Doctorate degree")</f>
        <v>Doctorate degree</v>
      </c>
      <c r="E40" s="6">
        <v>11</v>
      </c>
      <c r="F40" s="6">
        <v>30</v>
      </c>
      <c r="G40" s="7" t="str">
        <f ca="1">IFERROR(__xludf.DUMMYFUNCTION("GoogleTranslate(Main!I40, ""pt"", ""en"")"),"Very high")</f>
        <v>Very high</v>
      </c>
      <c r="H40" s="7" t="str">
        <f ca="1">IFERROR(__xludf.DUMMYFUNCTION("GoogleTranslate(Main!J40, ""pt"", ""en"")"),"Software engineer")</f>
        <v>Software engineer</v>
      </c>
      <c r="I40" s="7" t="str">
        <f ca="1">IFERROR(__xludf.DUMMYFUNCTION("GoogleTranslate(Main!K40, ""pt"", ""en"")"),"Java, Python, C ++, JavaScript")</f>
        <v>Java, Python, C ++, JavaScript</v>
      </c>
      <c r="J40" s="7" t="str">
        <f ca="1">IFERROR(__xludf.DUMMYFUNCTION("GoogleTranslate(Main!L40, ""pt"", ""en"")"),"I usually discuss NFR during the design phase")</f>
        <v>I usually discuss NFR during the design phase</v>
      </c>
      <c r="K40" s="7" t="str">
        <f ca="1">IFERROR(__xludf.DUMMYFUNCTION("GoogleTranslate(Main!M40, ""pt"", ""en"")"),"Relevance to your specialization area, impact on the quality of the software you use, alignment with the project goals, potential NFRs risks are not addressed")</f>
        <v>Relevance to your specialization area, impact on the quality of the software you use, alignment with the project goals, potential NFRs risks are not addressed</v>
      </c>
      <c r="L40" s="7" t="str">
        <f ca="1">IFERROR(__xludf.DUMMYFUNCTION("GoogleTranslate(Main!N40, ""pt"", ""en"")"),"Performance: Speed, Response Capacity and Software Efficiency., Scalability: Ability to deal with increased workload or users' traffic., Robustness: software capacity to recover under various conditions. System and accessibility for users., Security: Meas"&amp;"ures to protect data and avoid unauthorized access. Maintenance: Ease of making updates and changes in the software.")</f>
        <v>Performance: Speed, Response Capacity and Software Efficiency., Scalability: Ability to deal with increased workload or users' traffic., Robustness: software capacity to recover under various conditions. System and accessibility for users., Security: Measures to protect data and avoid unauthorized access. Maintenance: Ease of making updates and changes in the software.</v>
      </c>
      <c r="M40" s="7" t="str">
        <f ca="1">IFERROR(__xludf.DUMMYFUNCTION("GoogleTranslate(Main!O40, ""pt"", ""en"")"),"Very high")</f>
        <v>Very high</v>
      </c>
      <c r="N40" s="7" t="str">
        <f ca="1">IFERROR(__xludf.DUMMYFUNCTION("GoogleTranslate(Main!P40, ""pt"", ""en"")"),"Requirements documentation")</f>
        <v>Requirements documentation</v>
      </c>
      <c r="O40" s="7" t="str">
        <f ca="1">IFERROR(__xludf.DUMMYFUNCTION("GoogleTranslate(Main!Q40, ""pt"", ""en"")"),"I agree strongly")</f>
        <v>I agree strongly</v>
      </c>
      <c r="P40" s="7" t="str">
        <f ca="1">IFERROR(__xludf.DUMMYFUNCTION("GoogleTranslate(Main!R40, ""pt"", ""en"")"),"Initial phase (for example, design phase), test phase, maintenance phase")</f>
        <v>Initial phase (for example, design phase), test phase, maintenance phase</v>
      </c>
      <c r="Q40" s="7" t="str">
        <f ca="1">IFERROR(__xludf.DUMMYFUNCTION("GoogleTranslate(Main!S40, ""pt"", ""en"")"),"It is not an expert. Normally, the engineer responsible for the design task is responsible for elicitating and specifying the NFR. These requirements are discussed later during the project review, before any implementation is made")</f>
        <v>It is not an expert. Normally, the engineer responsible for the design task is responsible for elicitating and specifying the NFR. These requirements are discussed later during the project review, before any implementation is made</v>
      </c>
      <c r="R40" s="7" t="str">
        <f ca="1">IFERROR(__xludf.DUMMYFUNCTION("GoogleTranslate(Main!T40, ""pt"", ""en"")"),"Review and refine NFR definitions at the beginning of the development process, collaborate with other team members to collect insights, employ specific NFR tools or structures, integrate NFR tests into the continuous integration pipeline")</f>
        <v>Review and refine NFR definitions at the beginning of the development process, collaborate with other team members to collect insights, employ specific NFR tools or structures, integrate NFR tests into the continuous integration pipeline</v>
      </c>
      <c r="S40" s="7" t="str">
        <f ca="1">IFERROR(__xludf.DUMMYFUNCTION("GoogleTranslate(Main!U40, ""pt"", ""en"")"),"We list and discussed NFR during design sessions")</f>
        <v>We list and discussed NFR during design sessions</v>
      </c>
      <c r="T40" s="7" t="str">
        <f ca="1">IFERROR(__xludf.DUMMYFUNCTION("GoogleTranslate(Main!V40, ""pt"", ""en"")"),"None, I do not work close with open source code, so these issues may not be applicable to me")</f>
        <v>None, I do not work close with open source code, so these issues may not be applicable to me</v>
      </c>
      <c r="U40" s="7" t="str">
        <f ca="1">IFERROR(__xludf.DUMMYFUNCTION("GoogleTranslate(Main!W40, ""pt"", ""en"")"),"Yes, during the design sessions we discussed in group what are NFR and how to serve them. We discuss mechanisms that can be used to monitor and act quickly if we do not meet NFR")</f>
        <v>Yes, during the design sessions we discussed in group what are NFR and how to serve them. We discuss mechanisms that can be used to monitor and act quickly if we do not meet NFR</v>
      </c>
    </row>
    <row r="41" spans="1:21" x14ac:dyDescent="0.25">
      <c r="A41" s="5" t="s">
        <v>42</v>
      </c>
      <c r="B41" s="6">
        <v>28</v>
      </c>
      <c r="C41" s="7" t="str">
        <f ca="1">IFERROR(__xludf.DUMMYFUNCTION("GoogleTranslate(Main!E41, ""pt"", ""en"")"),"Masculine")</f>
        <v>Masculine</v>
      </c>
      <c r="D41" s="7" t="str">
        <f ca="1">IFERROR(__xludf.DUMMYFUNCTION("GoogleTranslate(Main!F41, ""pt"", ""en"")"),"Doctorate degree")</f>
        <v>Doctorate degree</v>
      </c>
      <c r="E41" s="6">
        <v>5</v>
      </c>
      <c r="F41" s="6">
        <v>3</v>
      </c>
      <c r="G41" s="7" t="str">
        <f ca="1">IFERROR(__xludf.DUMMYFUNCTION("GoogleTranslate(Main!I41, ""pt"", ""en"")"),"High")</f>
        <v>High</v>
      </c>
      <c r="H41" s="7" t="str">
        <f ca="1">IFERROR(__xludf.DUMMYFUNCTION("GoogleTranslate(Main!J41, ""pt"", ""en"")"),"Software engineer")</f>
        <v>Software engineer</v>
      </c>
      <c r="I41" s="7" t="str">
        <f ca="1">IFERROR(__xludf.DUMMYFUNCTION("GoogleTranslate(Main!K41, ""pt"", ""en"")"),"Java, JavaScript")</f>
        <v>Java, JavaScript</v>
      </c>
      <c r="J41" s="7" t="str">
        <f ca="1">IFERROR(__xludf.DUMMYFUNCTION("GoogleTranslate(Main!L41, ""pt"", ""en"")"),"Team meetings, requirements lifting meetings")</f>
        <v>Team meetings, requirements lifting meetings</v>
      </c>
      <c r="K41" s="7" t="str">
        <f ca="1">IFERROR(__xludf.DUMMYFUNCTION("GoogleTranslate(Main!M41, ""pt"", ""en"")"),"Impact on the quality of the software you use, alignment with the project goals, potential NFRs risks are not addressed")</f>
        <v>Impact on the quality of the software you use, alignment with the project goals, potential NFRs risks are not addressed</v>
      </c>
      <c r="L41" s="7" t="str">
        <f ca="1">IFERROR(__xludf.DUMMYFUNCTION("GoogleTranslate(Main!N41, ""pt"", ""en"")"),"Performance: Speed, Response Capacity and Software Efficiency., Scalability: Ability to deal with increased workload or users' traffic., Availability: System activity time and accessibility for users. data and avoid unauthorized access., Usability: User -"&amp;"Sympathy and ease of interaction., Maintenance: Ease of making updates and changes in the software.")</f>
        <v>Performance: Speed, Response Capacity and Software Efficiency., Scalability: Ability to deal with increased workload or users' traffic., Availability: System activity time and accessibility for users. data and avoid unauthorized access., Usability: User -Sympathy and ease of interaction., Maintenance: Ease of making updates and changes in the software.</v>
      </c>
      <c r="M41" s="7" t="str">
        <f ca="1">IFERROR(__xludf.DUMMYFUNCTION("GoogleTranslate(Main!O41, ""pt"", ""en"")"),"High")</f>
        <v>High</v>
      </c>
      <c r="N41" s="7" t="str">
        <f ca="1">IFERROR(__xludf.DUMMYFUNCTION("GoogleTranslate(Main!P41, ""pt"", ""en"")"),"Requirements documentation, chat platforms with the team (eg Teams, Slack, Discord), code comments, discussions on version control platforms (for example, problems and pull Requests), meetings")</f>
        <v>Requirements documentation, chat platforms with the team (eg Teams, Slack, Discord), code comments, discussions on version control platforms (for example, problems and pull Requests), meetings</v>
      </c>
      <c r="O41" s="7" t="str">
        <f ca="1">IFERROR(__xludf.DUMMYFUNCTION("GoogleTranslate(Main!Q41, ""pt"", ""en"")"),"I agree")</f>
        <v>I agree</v>
      </c>
      <c r="P41" s="7" t="str">
        <f ca="1">IFERROR(__xludf.DUMMYFUNCTION("GoogleTranslate(Main!R41, ""pt"", ""en"")"),"Development phase, test phase, implementation phase, maintenance phase, iteratively throughout the software's life cycle")</f>
        <v>Development phase, test phase, implementation phase, maintenance phase, iteratively throughout the software's life cycle</v>
      </c>
      <c r="Q41" s="7" t="str">
        <f ca="1">IFERROR(__xludf.DUMMYFUNCTION("GoogleTranslate(Main!S41, ""pt"", ""en"")"),"No")</f>
        <v>No</v>
      </c>
      <c r="R41" s="7" t="str">
        <f ca="1">IFERROR(__xludf.DUMMYFUNCTION("GoogleTranslate(Main!T41, ""pt"", ""en"")"),"Collaborate with other team members to collect insights, employ specific NFR tools or structures, integrate NFR tests into the continuous integration pipeline")</f>
        <v>Collaborate with other team members to collect insights, employ specific NFR tools or structures, integrate NFR tests into the continuous integration pipeline</v>
      </c>
      <c r="S41" s="7" t="str">
        <f ca="1">IFERROR(__xludf.DUMMYFUNCTION("GoogleTranslate(Main!U41, ""pt"", ""en"")"),"It usually happens as described above, especially during collaboration with team members. As for when, usually when NFR has a negative impact on the system. This feedback is usually obtained talking to our customers.")</f>
        <v>It usually happens as described above, especially during collaboration with team members. As for when, usually when NFR has a negative impact on the system. This feedback is usually obtained talking to our customers.</v>
      </c>
      <c r="T41" s="7" t="str">
        <f ca="1">IFERROR(__xludf.DUMMYFUNCTION("GoogleTranslate(Main!V41, ""pt"", ""en"")"),"Lack of clear documentation for non -functional requirements in the open source system, deal with compensations between different non -functional requirements, ambiguity in the definition and clear articulation of NFRs")</f>
        <v>Lack of clear documentation for non -functional requirements in the open source system, deal with compensations between different non -functional requirements, ambiguity in the definition and clear articulation of NFRs</v>
      </c>
      <c r="U41" s="7" t="str">
        <f ca="1">IFERROR(__xludf.DUMMYFUNCTION("GoogleTranslate(Main!W41, ""pt"", ""en"")"),"Nothing formal, usually meetings with colleagues who suggest some good practices or strategies.")</f>
        <v>Nothing formal, usually meetings with colleagues who suggest some good practices or strategies.</v>
      </c>
    </row>
    <row r="42" spans="1:21" x14ac:dyDescent="0.25">
      <c r="A42" s="5" t="s">
        <v>43</v>
      </c>
      <c r="B42" s="11">
        <v>39</v>
      </c>
      <c r="C42" s="7" t="str">
        <f ca="1">IFERROR(__xludf.DUMMYFUNCTION("GoogleTranslate(Main!E42, ""pt"", ""en"")"),"Masculine")</f>
        <v>Masculine</v>
      </c>
      <c r="D42" s="7" t="str">
        <f ca="1">IFERROR(__xludf.DUMMYFUNCTION("GoogleTranslate(Main!F42, ""pt"", ""en"")"),"Bachelor")</f>
        <v>Bachelor</v>
      </c>
      <c r="E42" s="11">
        <v>23</v>
      </c>
      <c r="F42" s="9">
        <v>10</v>
      </c>
      <c r="G42" s="7" t="str">
        <f ca="1">IFERROR(__xludf.DUMMYFUNCTION("GoogleTranslate(Main!I42, ""pt"", ""en"")"),"Very high")</f>
        <v>Very high</v>
      </c>
      <c r="H42" s="7" t="str">
        <f ca="1">IFERROR(__xludf.DUMMYFUNCTION("GoogleTranslate(Main!J42, ""pt"", ""en"")"),"Software architect")</f>
        <v>Software architect</v>
      </c>
      <c r="I42" s="7" t="str">
        <f ca="1">IFERROR(__xludf.DUMMYFUNCTION("GoogleTranslate(Main!K42, ""pt"", ""en"")"),"Java, Groovy")</f>
        <v>Java, Groovy</v>
      </c>
      <c r="J42" s="7" t="str">
        <f ca="1">IFERROR(__xludf.DUMMYFUNCTION("GoogleTranslate(Main!L42, ""pt"", ""en"")"),"Very broad question")</f>
        <v>Very broad question</v>
      </c>
      <c r="K42" s="7" t="str">
        <f ca="1">IFERROR(__xludf.DUMMYFUNCTION("GoogleTranslate(Main!M42, ""pt"", ""en"")"),"Relevance to your specialization area, impact on the quality of the software you use, alignment with the project goals, potential NFRs risks are not addressed")</f>
        <v>Relevance to your specialization area, impact on the quality of the software you use, alignment with the project goals, potential NFRs risks are not addressed</v>
      </c>
      <c r="L42" s="7" t="str">
        <f ca="1">IFERROR(__xludf.DUMMYFUNCTION("GoogleTranslate(Main!N42, ""pt"", ""en"")"),"Performance: Speed, Response Capacity and Software Efficiency., Scalability: Ability to deal with increased workload or users' traffic., Robustness: software capacity to recover under various conditions. System and accessibility for users., Safety: Measur"&amp;"es to protect data and avoid unauthorized access., Usability: Ease of use and ease of interaction., Maintenance: Ease of making updates and changes in software.")</f>
        <v>Performance: Speed, Response Capacity and Software Efficiency., Scalability: Ability to deal with increased workload or users' traffic., Robustness: software capacity to recover under various conditions. System and accessibility for users., Safety: Measures to protect data and avoid unauthorized access., Usability: Ease of use and ease of interaction., Maintenance: Ease of making updates and changes in software.</v>
      </c>
      <c r="M42" s="7" t="str">
        <f ca="1">IFERROR(__xludf.DUMMYFUNCTION("GoogleTranslate(Main!O42, ""pt"", ""en"")"),"High")</f>
        <v>High</v>
      </c>
      <c r="N42" s="7" t="str">
        <f ca="1">IFERROR(__xludf.DUMMYFUNCTION("GoogleTranslate(Main!P42, ""pt"", ""en"")"),"Chat platforms with the team (eg Teams, Slack, Discord), code comments, discussions on version control platforms (for example, problems and pull Requests), meetings")</f>
        <v>Chat platforms with the team (eg Teams, Slack, Discord), code comments, discussions on version control platforms (for example, problems and pull Requests), meetings</v>
      </c>
      <c r="O42" s="7" t="str">
        <f ca="1">IFERROR(__xludf.DUMMYFUNCTION("GoogleTranslate(Main!Q42, ""pt"", ""en"")"),"I agree strongly")</f>
        <v>I agree strongly</v>
      </c>
      <c r="P42" s="7" t="str">
        <f ca="1">IFERROR(__xludf.DUMMYFUNCTION("GoogleTranslate(Main!R42, ""pt"", ""en"")"),"Early Phase (e.g., design Phase), Development Phase, Testing Phase, Deployment Phase, Maintenance Phase, Iterativel During the Software Whole Life Cycle")</f>
        <v>Early Phase (e.g., design Phase), Development Phase, Testing Phase, Deployment Phase, Maintenance Phase, Iterativel During the Software Whole Life Cycle</v>
      </c>
      <c r="Q42" s="7" t="str">
        <f ca="1">IFERROR(__xludf.DUMMYFUNCTION("GoogleTranslate(Main!S42, ""pt"", ""en"")"),"Normally not, except for security auditors")</f>
        <v>Normally not, except for security auditors</v>
      </c>
      <c r="R42" s="7" t="str">
        <f ca="1">IFERROR(__xludf.DUMMYFUNCTION("GoogleTranslate(Main!T42, ""pt"", ""en"")"),"Review and refine NFR definitions at the beginning of the development process, conduct code revisions focused on NFRs")</f>
        <v>Review and refine NFR definitions at the beginning of the development process, conduct code revisions focused on NFRs</v>
      </c>
      <c r="S42" s="7" t="str">
        <f ca="1">IFERROR(__xludf.DUMMYFUNCTION("GoogleTranslate(Main!U42, ""pt"", ""en"")"),"at")</f>
        <v>at</v>
      </c>
      <c r="T42" s="7" t="str">
        <f ca="1">IFERROR(__xludf.DUMMYFUNCTION("GoogleTranslate(Main!V42, ""pt"", ""en"")"),"Deal with trade-offs between different non-functional requirements, ambiguity in the definition and clear articulation of the NFRs")</f>
        <v>Deal with trade-offs between different non-functional requirements, ambiguity in the definition and clear articulation of the NFRs</v>
      </c>
      <c r="U42" s="7" t="str">
        <f ca="1">IFERROR(__xludf.DUMMYFUNCTION("GoogleTranslate(Main!W42, ""pt"", ""en"")"),"Very wide")</f>
        <v>Very wide</v>
      </c>
    </row>
    <row r="43" spans="1:21" x14ac:dyDescent="0.25">
      <c r="A43" s="5" t="s">
        <v>44</v>
      </c>
      <c r="B43" s="6">
        <v>35</v>
      </c>
      <c r="C43" s="7" t="str">
        <f ca="1">IFERROR(__xludf.DUMMYFUNCTION("GoogleTranslate(Main!E43, ""pt"", ""en"")"),"Masculine")</f>
        <v>Masculine</v>
      </c>
      <c r="D43" s="7" t="str">
        <f ca="1">IFERROR(__xludf.DUMMYFUNCTION("GoogleTranslate(Main!F43, ""pt"", ""en"")"),"Bachelor")</f>
        <v>Bachelor</v>
      </c>
      <c r="E43" s="6">
        <v>9</v>
      </c>
      <c r="F43" s="6">
        <v>12</v>
      </c>
      <c r="G43" s="7" t="str">
        <f ca="1">IFERROR(__xludf.DUMMYFUNCTION("GoogleTranslate(Main!I43, ""pt"", ""en"")"),"High")</f>
        <v>High</v>
      </c>
      <c r="H43" s="7" t="str">
        <f ca="1">IFERROR(__xludf.DUMMYFUNCTION("GoogleTranslate(Main!J43, ""pt"", ""en"")"),"Software engineer")</f>
        <v>Software engineer</v>
      </c>
      <c r="I43" s="7" t="str">
        <f ca="1">IFERROR(__xludf.DUMMYFUNCTION("GoogleTranslate(Main!K43, ""pt"", ""en"")"),"Java, C#")</f>
        <v>Java, C#</v>
      </c>
      <c r="J43" s="7" t="str">
        <f ca="1">IFERROR(__xludf.DUMMYFUNCTION("GoogleTranslate(Main!L43, ""pt"", ""en"")"),"I was involved in NFRS discussions in all projects I worked on. Currently as a senior software engineer, this is something I do daily.")</f>
        <v>I was involved in NFRS discussions in all projects I worked on. Currently as a senior software engineer, this is something I do daily.</v>
      </c>
      <c r="K43" s="7" t="str">
        <f ca="1">IFERROR(__xludf.DUMMYFUNCTION("GoogleTranslate(Main!M43, ""pt"", ""en"")"),"Impact on the quality of the software you use. The potential risks of NFRs are not addressed")</f>
        <v>Impact on the quality of the software you use. The potential risks of NFRs are not addressed</v>
      </c>
      <c r="L43" s="7" t="str">
        <f ca="1">IFERROR(__xludf.DUMMYFUNCTION("GoogleTranslate(Main!N43, ""pt"", ""en"")"),"Performance: Speed, Software Response Capacity and Efficiency., Usability: Ease of use and ease of interaction., Maintenance capacity: Ease of making updates and changes in the software.")</f>
        <v>Performance: Speed, Software Response Capacity and Efficiency., Usability: Ease of use and ease of interaction., Maintenance capacity: Ease of making updates and changes in the software.</v>
      </c>
      <c r="M43" s="7" t="str">
        <f ca="1">IFERROR(__xludf.DUMMYFUNCTION("GoogleTranslate(Main!O43, ""pt"", ""en"")"),"High")</f>
        <v>High</v>
      </c>
      <c r="N43" s="7" t="str">
        <f ca="1">IFERROR(__xludf.DUMMYFUNCTION("GoogleTranslate(Main!P43, ""pt"", ""en"")"),"Chat platforms with the team (eg Teams, Slack, Discord), code comments, meetings")</f>
        <v>Chat platforms with the team (eg Teams, Slack, Discord), code comments, meetings</v>
      </c>
      <c r="O43" s="7" t="str">
        <f ca="1">IFERROR(__xludf.DUMMYFUNCTION("GoogleTranslate(Main!Q43, ""pt"", ""en"")"),"I agree")</f>
        <v>I agree</v>
      </c>
      <c r="P43" s="7" t="str">
        <f ca="1">IFERROR(__xludf.DUMMYFUNCTION("GoogleTranslate(Main!R43, ""pt"", ""en"")"),"Iteratively throughout the software life cycle")</f>
        <v>Iteratively throughout the software life cycle</v>
      </c>
      <c r="Q43" s="7" t="str">
        <f ca="1">IFERROR(__xludf.DUMMYFUNCTION("GoogleTranslate(Main!S43, ""pt"", ""en"")"),"No. They were ordinary engineers.")</f>
        <v>No. They were ordinary engineers.</v>
      </c>
      <c r="R43" s="7" t="str">
        <f ca="1">IFERROR(__xludf.DUMMYFUNCTION("GoogleTranslate(Main!T43, ""pt"", ""en"")"),"Collaborate with other team members to collect insights")</f>
        <v>Collaborate with other team members to collect insights</v>
      </c>
      <c r="S43" s="7" t="str">
        <f ca="1">IFERROR(__xludf.DUMMYFUNCTION("GoogleTranslate(Main!U43, ""pt"", ""en"")"),"It usually happens during the development phase and during the test phase. In a small team, the developer, the quality control and the manager will usually discuss the NFRs and, if there is time available, will try to solve them.")</f>
        <v>It usually happens during the development phase and during the test phase. In a small team, the developer, the quality control and the manager will usually discuss the NFRs and, if there is time available, will try to solve them.</v>
      </c>
      <c r="T43" s="7" t="str">
        <f ca="1">IFERROR(__xludf.DUMMYFUNCTION("GoogleTranslate(Main!V43, ""pt"", ""en"")"),"Inadequate communication among team members on non-functional requirements, insufficient tools or structures to test and verify non-functional aspects, deal with trade-offs between different non-functional requirements, ambiguity in the definition and cle"&amp;"ar articulation of NFRs")</f>
        <v>Inadequate communication among team members on non-functional requirements, insufficient tools or structures to test and verify non-functional aspects, deal with trade-offs between different non-functional requirements, ambiguity in the definition and clear articulation of NFRs</v>
      </c>
      <c r="U43" s="7" t="str">
        <f ca="1">IFERROR(__xludf.DUMMYFUNCTION("GoogleTranslate(Main!W43, ""pt"", ""en"")"),"Yes, I received/I gave useful suggestions. My approach to dealing with NFRs is just thinking about the risks that current software implementation presents and trying to improve it. For example, continually refacting the code in the first chance I have. I "&amp;"try to teach others to do the same.")</f>
        <v>Yes, I received/I gave useful suggestions. My approach to dealing with NFRs is just thinking about the risks that current software implementation presents and trying to improve it. For example, continually refacting the code in the first chance I have. I try to teach others to do the same.</v>
      </c>
    </row>
    <row r="44" spans="1:21" x14ac:dyDescent="0.25">
      <c r="A44" s="5" t="s">
        <v>45</v>
      </c>
      <c r="B44" s="6">
        <v>31</v>
      </c>
      <c r="C44" s="7" t="str">
        <f ca="1">IFERROR(__xludf.DUMMYFUNCTION("GoogleTranslate(Main!E44, ""pt"", ""en"")"),"Masculine")</f>
        <v>Masculine</v>
      </c>
      <c r="D44" s="7" t="str">
        <f ca="1">IFERROR(__xludf.DUMMYFUNCTION("GoogleTranslate(Main!F44, ""pt"", ""en"")"),"Bachelor")</f>
        <v>Bachelor</v>
      </c>
      <c r="E44" s="6">
        <v>5</v>
      </c>
      <c r="F44" s="6">
        <v>6</v>
      </c>
      <c r="G44" s="7" t="str">
        <f ca="1">IFERROR(__xludf.DUMMYFUNCTION("GoogleTranslate(Main!I44, ""pt"", ""en"")"),"High")</f>
        <v>High</v>
      </c>
      <c r="H44" s="7" t="str">
        <f ca="1">IFERROR(__xludf.DUMMYFUNCTION("GoogleTranslate(Main!J44, ""pt"", ""en"")"),"Software engineer")</f>
        <v>Software engineer</v>
      </c>
      <c r="I44" s="7" t="str">
        <f ca="1">IFERROR(__xludf.DUMMYFUNCTION("GoogleTranslate(Main!K44, ""pt"", ""en"")"),"Java, JavaScript")</f>
        <v>Java, JavaScript</v>
      </c>
      <c r="J44" s="7" t="str">
        <f ca="1">IFERROR(__xludf.DUMMYFUNCTION("GoogleTranslate(Main!L44, ""pt"", ""en"")"),"Involved in safety, backup, scalability etc. discussions.")</f>
        <v>Involved in safety, backup, scalability etc. discussions.</v>
      </c>
      <c r="K44" s="7" t="str">
        <f ca="1">IFERROR(__xludf.DUMMYFUNCTION("GoogleTranslate(Main!M44, ""pt"", ""en"")"),"Relevance to your specialization area, impact on the quality of the software you use, alignment with the project objectives, learning opportunity")</f>
        <v>Relevance to your specialization area, impact on the quality of the software you use, alignment with the project objectives, learning opportunity</v>
      </c>
      <c r="L44" s="7" t="str">
        <f ca="1">IFERROR(__xludf.DUMMYFUNCTION("GoogleTranslate(Main!N44, ""pt"", ""en"")"),"Performance: Speed, Response Capacity and Software Efficiency., Scalability: Ability to deal with increased workload or users' traffic., Robustness: software capacity to recover under various conditions. System and accessibility for users., Safety: Measur"&amp;"es to protect data and avoid unauthorized access., Usability: Ease of use and ease of interaction., Maintenance: Ease of making updates and changes in software.")</f>
        <v>Performance: Speed, Response Capacity and Software Efficiency., Scalability: Ability to deal with increased workload or users' traffic., Robustness: software capacity to recover under various conditions. System and accessibility for users., Safety: Measures to protect data and avoid unauthorized access., Usability: Ease of use and ease of interaction., Maintenance: Ease of making updates and changes in software.</v>
      </c>
      <c r="M44" s="7" t="str">
        <f ca="1">IFERROR(__xludf.DUMMYFUNCTION("GoogleTranslate(Main!O44, ""pt"", ""en"")"),"High")</f>
        <v>High</v>
      </c>
      <c r="N44" s="7" t="str">
        <f ca="1">IFERROR(__xludf.DUMMYFUNCTION("GoogleTranslate(Main!P44, ""pt"", ""en"")"),"Discussions on version control platforms (for example, problems and pull refills), meetings, with other colleagues (more experienced)")</f>
        <v>Discussions on version control platforms (for example, problems and pull refills), meetings, with other colleagues (more experienced)</v>
      </c>
      <c r="O44" s="7" t="str">
        <f ca="1">IFERROR(__xludf.DUMMYFUNCTION("GoogleTranslate(Main!Q44, ""pt"", ""en"")"),"I agree strongly")</f>
        <v>I agree strongly</v>
      </c>
      <c r="P44" s="7" t="str">
        <f ca="1">IFERROR(__xludf.DUMMYFUNCTION("GoogleTranslate(Main!R44, ""pt"", ""en"")"),"Iteratively throughout the software life cycle")</f>
        <v>Iteratively throughout the software life cycle</v>
      </c>
      <c r="Q44" s="7" t="str">
        <f ca="1">IFERROR(__xludf.DUMMYFUNCTION("GoogleTranslate(Main!S44, ""pt"", ""en"")"),"No. All team members were responsible")</f>
        <v>No. All team members were responsible</v>
      </c>
      <c r="R44" s="7" t="str">
        <f ca="1">IFERROR(__xludf.DUMMYFUNCTION("GoogleTranslate(Main!T44, ""pt"", ""en"")"),"Collaborate with other team members to collect insights, conduct code revisions focused on NFRs")</f>
        <v>Collaborate with other team members to collect insights, conduct code revisions focused on NFRs</v>
      </c>
      <c r="S44" s="7" t="str">
        <f ca="1">IFERROR(__xludf.DUMMYFUNCTION("GoogleTranslate(Main!U44, ""pt"", ""en"")"),"Possible questions are discussed and implementations are proposed to mitigate the issues.")</f>
        <v>Possible questions are discussed and implementations are proposed to mitigate the issues.</v>
      </c>
      <c r="T44" s="7" t="str">
        <f ca="1">IFERROR(__xludf.DUMMYFUNCTION("GoogleTranslate(Main!V44, ""pt"", ""en"")"),"Lack of clear documentation for non -functional requirements in the open source system, limited understanding of the technical implications of NFRs")</f>
        <v>Lack of clear documentation for non -functional requirements in the open source system, limited understanding of the technical implications of NFRs</v>
      </c>
      <c r="U44" s="7" t="str">
        <f ca="1">IFERROR(__xludf.DUMMYFUNCTION("GoogleTranslate(Main!W44, ""pt"", ""en"")"),"Yes. Performance problems were evident in one of my resources. I was suggested to make use of cache and this considerably improved the performance.")</f>
        <v>Yes. Performance problems were evident in one of my resources. I was suggested to make use of cache and this considerably improved the performance.</v>
      </c>
    </row>
    <row r="45" spans="1:21" x14ac:dyDescent="0.25">
      <c r="A45" s="5" t="s">
        <v>46</v>
      </c>
      <c r="B45" s="6">
        <v>56</v>
      </c>
      <c r="C45" s="7" t="str">
        <f ca="1">IFERROR(__xludf.DUMMYFUNCTION("GoogleTranslate(Main!E45, ""pt"", ""en"")"),"Masculine")</f>
        <v>Masculine</v>
      </c>
      <c r="D45" s="7" t="str">
        <f ca="1">IFERROR(__xludf.DUMMYFUNCTION("GoogleTranslate(Main!F45, ""pt"", ""en"")"),"Bachelor")</f>
        <v>Bachelor</v>
      </c>
      <c r="E45" s="6">
        <v>35</v>
      </c>
      <c r="F45" s="6">
        <v>100</v>
      </c>
      <c r="G45" s="7" t="str">
        <f ca="1">IFERROR(__xludf.DUMMYFUNCTION("GoogleTranslate(Main!I45, ""pt"", ""en"")"),"Very high")</f>
        <v>Very high</v>
      </c>
      <c r="H45" s="7" t="str">
        <f ca="1">IFERROR(__xludf.DUMMYFUNCTION("GoogleTranslate(Main!J45, ""pt"", ""en"")"),"All of them...")</f>
        <v>All of them...</v>
      </c>
      <c r="I45" s="7" t="str">
        <f ca="1">IFERROR(__xludf.DUMMYFUNCTION("GoogleTranslate(Main!K45, ""pt"", ""en"")"),"Java, Python, C, C ++, JavaScript")</f>
        <v>Java, Python, C, C ++, JavaScript</v>
      </c>
      <c r="J45" s="7" t="str">
        <f ca="1">IFERROR(__xludf.DUMMYFUNCTION("GoogleTranslate(Main!L45, ""pt"", ""en"")"),"Product development; Development/Reengineering of Operations")</f>
        <v>Product development; Development/Reengineering of Operations</v>
      </c>
      <c r="K45" s="7" t="str">
        <f ca="1">IFERROR(__xludf.DUMMYFUNCTION("GoogleTranslate(Main!M45, ""pt"", ""en"")"),"Impact on the quality of the software you use. The potential risks of NFRs are not addressed")</f>
        <v>Impact on the quality of the software you use. The potential risks of NFRs are not addressed</v>
      </c>
      <c r="L45" s="7" t="str">
        <f ca="1">IFERROR(__xludf.DUMMYFUNCTION("GoogleTranslate(Main!N45, ""pt"", ""en"")"),"Performance: Speed, Response Capacity and Software Efficiency., Scalability: Ability to deal with increased workload or users' traffic., Robustness: software capacity to recover under various conditions. System and accessibility for users., Safety: Measur"&amp;"es to protect data and prevent unauthorized access., Usability: Ease of use and ease of interaction., Maintenance capacity: ease of making updates and changes in software. Delivery: On time, on the budget")</f>
        <v>Performance: Speed, Response Capacity and Software Efficiency., Scalability: Ability to deal with increased workload or users' traffic., Robustness: software capacity to recover under various conditions. System and accessibility for users., Safety: Measures to protect data and prevent unauthorized access., Usability: Ease of use and ease of interaction., Maintenance capacity: ease of making updates and changes in software. Delivery: On time, on the budget</v>
      </c>
      <c r="M45" s="7" t="str">
        <f ca="1">IFERROR(__xludf.DUMMYFUNCTION("GoogleTranslate(Main!O45, ""pt"", ""en"")"),"Very high")</f>
        <v>Very high</v>
      </c>
      <c r="N45" s="7" t="str">
        <f ca="1">IFERROR(__xludf.DUMMYFUNCTION("GoogleTranslate(Main!P45, ""pt"", ""en"")"),"Requirements documentation, chat platforms with the team (eg Teams, Slack, Discord), discussions on version control platforms (for example, problems and pull Requests), meetings, email")</f>
        <v>Requirements documentation, chat platforms with the team (eg Teams, Slack, Discord), discussions on version control platforms (for example, problems and pull Requests), meetings, email</v>
      </c>
      <c r="O45" s="7" t="str">
        <f ca="1">IFERROR(__xludf.DUMMYFUNCTION("GoogleTranslate(Main!Q45, ""pt"", ""en"")"),"I agree strongly")</f>
        <v>I agree strongly</v>
      </c>
      <c r="P45" s="7" t="str">
        <f ca="1">IFERROR(__xludf.DUMMYFUNCTION("GoogleTranslate(Main!R45, ""pt"", ""en"")"),"Initial phase (eg design phase), development phase, test phase, implementation phase, maintenance phase, iteratively throughout the software life cycle, conceptualization, ie pre-project")</f>
        <v>Initial phase (eg design phase), development phase, test phase, implementation phase, maintenance phase, iteratively throughout the software life cycle, conceptualization, ie pre-project</v>
      </c>
      <c r="Q45" s="7" t="str">
        <f ca="1">IFERROR(__xludf.DUMMYFUNCTION("GoogleTranslate(Main!S45, ""pt"", ""en"")"),"No; No ""expert"" in NFR")</f>
        <v>No; No "expert" in NFR</v>
      </c>
      <c r="R45" s="7" t="str">
        <f ca="1">IFERROR(__xludf.DUMMYFUNCTION("GoogleTranslate(Main!T45, ""pt"", ""en"")"),"Review and refine NFR definitions at the beginning of the development process, collaborate with other team members to collect insights, conduct NFRs focused code revisions, employ specific NFR tools, integrate NFR tests into the integration pipeline to be"&amp;" continued")</f>
        <v>Review and refine NFR definitions at the beginning of the development process, collaborate with other team members to collect insights, conduct NFRs focused code revisions, employ specific NFR tools, integrate NFR tests into the integration pipeline to be continued</v>
      </c>
      <c r="S45" s="7" t="str">
        <f ca="1">IFERROR(__xludf.DUMMYFUNCTION("GoogleTranslate(Main!U45, ""pt"", ""en"")"),"NFRs are continuously evaluated and approached through SDLC")</f>
        <v>NFRs are continuously evaluated and approached through SDLC</v>
      </c>
      <c r="T45" s="7" t="str">
        <f ca="1">IFERROR(__xludf.DUMMYFUNCTION("GoogleTranslate(Main!V45, ""pt"", ""en"")"),"Lack of clear documentation for non-functional requirements in the open source system, inadequate communication among team members on non-functional requirements, dealing with trade-offs between different non-functional requirements, ambiguity in the defi"&amp;"nition and clear articulation of NFRS")</f>
        <v>Lack of clear documentation for non-functional requirements in the open source system, inadequate communication among team members on non-functional requirements, dealing with trade-offs between different non-functional requirements, ambiguity in the definition and clear articulation of NFRS</v>
      </c>
      <c r="U45" s="7" t="str">
        <f ca="1">IFERROR(__xludf.DUMMYFUNCTION("GoogleTranslate(Main!W45, ""pt"", ""en"")"),"Issues of you, discussions, emails-virtually all communication modalities. Each is usually captured as a problem and managed similar to resources and bugs.")</f>
        <v>Issues of you, discussions, emails-virtually all communication modalities. Each is usually captured as a problem and managed similar to resources and bugs.</v>
      </c>
    </row>
    <row r="46" spans="1:21" x14ac:dyDescent="0.25">
      <c r="A46" s="12"/>
      <c r="B46" s="1"/>
    </row>
    <row r="47" spans="1:21" x14ac:dyDescent="0.25">
      <c r="A47" s="12"/>
      <c r="B47" s="1"/>
      <c r="E47" s="1"/>
      <c r="F47" s="1"/>
    </row>
    <row r="48" spans="1:21" x14ac:dyDescent="0.25">
      <c r="A48" s="12"/>
      <c r="B48" s="1"/>
      <c r="E48" s="1"/>
      <c r="F48" s="1"/>
    </row>
    <row r="49" spans="1:6" x14ac:dyDescent="0.25">
      <c r="A49" s="12"/>
      <c r="B49" s="1"/>
      <c r="E49" s="1"/>
      <c r="F49" s="1"/>
    </row>
    <row r="50" spans="1:6" x14ac:dyDescent="0.25">
      <c r="A50" s="12"/>
      <c r="B50" s="1"/>
      <c r="E50" s="1"/>
      <c r="F50" s="1"/>
    </row>
    <row r="51" spans="1:6" x14ac:dyDescent="0.25">
      <c r="A51" s="12"/>
      <c r="B51" s="1"/>
      <c r="E51" s="1"/>
      <c r="F51" s="1"/>
    </row>
    <row r="52" spans="1:6" x14ac:dyDescent="0.25">
      <c r="A52" s="12"/>
      <c r="B52" s="1"/>
      <c r="E52" s="1"/>
      <c r="F52" s="1"/>
    </row>
    <row r="53" spans="1:6" x14ac:dyDescent="0.25">
      <c r="A53" s="12"/>
      <c r="B53" s="1"/>
      <c r="E53" s="1"/>
      <c r="F53" s="1"/>
    </row>
    <row r="54" spans="1:6" x14ac:dyDescent="0.25">
      <c r="A54" s="12"/>
      <c r="B54" s="1"/>
      <c r="E54" s="1"/>
      <c r="F54" s="1"/>
    </row>
    <row r="55" spans="1:6" x14ac:dyDescent="0.25">
      <c r="A55" s="12"/>
      <c r="B55" s="1"/>
      <c r="E55" s="1"/>
      <c r="F55" s="1"/>
    </row>
    <row r="56" spans="1:6" x14ac:dyDescent="0.25">
      <c r="A56" s="12"/>
      <c r="B56" s="1"/>
      <c r="E56" s="1"/>
      <c r="F56" s="1"/>
    </row>
    <row r="57" spans="1:6" x14ac:dyDescent="0.25">
      <c r="A57" s="12"/>
      <c r="B57" s="1"/>
      <c r="E57" s="1"/>
      <c r="F57" s="1"/>
    </row>
    <row r="58" spans="1:6" x14ac:dyDescent="0.25">
      <c r="A58" s="12"/>
      <c r="B58" s="1"/>
      <c r="E58" s="1"/>
      <c r="F58" s="1"/>
    </row>
    <row r="59" spans="1:6" x14ac:dyDescent="0.25">
      <c r="A59" s="12"/>
      <c r="B59" s="1"/>
      <c r="E59" s="1"/>
      <c r="F59" s="1"/>
    </row>
    <row r="60" spans="1:6" x14ac:dyDescent="0.25">
      <c r="A60" s="12"/>
      <c r="B60" s="1"/>
      <c r="E60" s="1"/>
      <c r="F60" s="1"/>
    </row>
    <row r="61" spans="1:6" x14ac:dyDescent="0.25">
      <c r="A61" s="12"/>
      <c r="B61" s="1"/>
      <c r="E61" s="1"/>
      <c r="F61" s="1"/>
    </row>
    <row r="62" spans="1:6" x14ac:dyDescent="0.25">
      <c r="A62" s="12"/>
      <c r="B62" s="1"/>
      <c r="E62" s="1"/>
      <c r="F62" s="1"/>
    </row>
    <row r="63" spans="1:6" x14ac:dyDescent="0.25">
      <c r="A63" s="12"/>
      <c r="B63" s="1"/>
      <c r="E63" s="1"/>
      <c r="F63" s="1"/>
    </row>
    <row r="64" spans="1:6" x14ac:dyDescent="0.25">
      <c r="A64" s="12"/>
      <c r="B64" s="1"/>
      <c r="E64" s="1"/>
      <c r="F64" s="1"/>
    </row>
    <row r="65" spans="1:6" x14ac:dyDescent="0.25">
      <c r="A65" s="12"/>
      <c r="B65" s="1"/>
      <c r="E65" s="1"/>
      <c r="F65" s="1"/>
    </row>
    <row r="66" spans="1:6" x14ac:dyDescent="0.25">
      <c r="A66" s="12"/>
      <c r="B66" s="1"/>
      <c r="E66" s="1"/>
      <c r="F66" s="1"/>
    </row>
    <row r="67" spans="1:6" x14ac:dyDescent="0.25">
      <c r="A67" s="12"/>
      <c r="B67" s="1"/>
      <c r="E67" s="1"/>
      <c r="F67" s="1"/>
    </row>
    <row r="68" spans="1:6" x14ac:dyDescent="0.25">
      <c r="A68" s="12"/>
      <c r="B68" s="1"/>
      <c r="E68" s="1"/>
      <c r="F68" s="1"/>
    </row>
    <row r="69" spans="1:6" x14ac:dyDescent="0.25">
      <c r="A69" s="12"/>
      <c r="B69" s="1"/>
      <c r="E69" s="1"/>
      <c r="F69" s="1"/>
    </row>
    <row r="70" spans="1:6" x14ac:dyDescent="0.25">
      <c r="A70" s="12"/>
      <c r="B70" s="1"/>
      <c r="E70" s="1"/>
      <c r="F70" s="1"/>
    </row>
    <row r="71" spans="1:6" x14ac:dyDescent="0.25">
      <c r="A71" s="12"/>
      <c r="B71" s="1"/>
      <c r="E71" s="1"/>
      <c r="F71" s="1"/>
    </row>
    <row r="72" spans="1:6" x14ac:dyDescent="0.25">
      <c r="A72" s="12"/>
      <c r="B72" s="1"/>
      <c r="E72" s="1"/>
      <c r="F72" s="1"/>
    </row>
    <row r="73" spans="1:6" x14ac:dyDescent="0.25">
      <c r="A73" s="12"/>
      <c r="B73" s="1"/>
      <c r="E73" s="1"/>
      <c r="F73" s="1"/>
    </row>
    <row r="74" spans="1:6" x14ac:dyDescent="0.25">
      <c r="A74" s="12"/>
      <c r="B74" s="1"/>
      <c r="E74" s="1"/>
      <c r="F74" s="1"/>
    </row>
    <row r="75" spans="1:6" x14ac:dyDescent="0.25">
      <c r="A75" s="12"/>
      <c r="B75" s="1"/>
      <c r="E75" s="1"/>
      <c r="F75" s="1"/>
    </row>
    <row r="76" spans="1:6" x14ac:dyDescent="0.25">
      <c r="A76" s="12"/>
      <c r="B76" s="1"/>
      <c r="E76" s="1"/>
      <c r="F76" s="1"/>
    </row>
    <row r="77" spans="1:6" x14ac:dyDescent="0.25">
      <c r="A77" s="12"/>
      <c r="B77" s="1"/>
      <c r="E77" s="1"/>
      <c r="F77" s="1"/>
    </row>
    <row r="78" spans="1:6" x14ac:dyDescent="0.25">
      <c r="A78" s="12"/>
      <c r="B78" s="1"/>
      <c r="E78" s="1"/>
      <c r="F78" s="1"/>
    </row>
    <row r="79" spans="1:6" x14ac:dyDescent="0.25">
      <c r="A79" s="12"/>
      <c r="B79" s="1"/>
      <c r="E79" s="1"/>
      <c r="F79" s="1"/>
    </row>
    <row r="80" spans="1:6" x14ac:dyDescent="0.25">
      <c r="A80" s="12"/>
      <c r="B80" s="1"/>
      <c r="E80" s="1"/>
      <c r="F80" s="1"/>
    </row>
    <row r="81" spans="1:6" x14ac:dyDescent="0.25">
      <c r="A81" s="12"/>
      <c r="B81" s="1"/>
      <c r="E81" s="1"/>
      <c r="F81" s="1"/>
    </row>
    <row r="82" spans="1:6" x14ac:dyDescent="0.25">
      <c r="A82" s="12"/>
      <c r="B82" s="1"/>
      <c r="E82" s="1"/>
      <c r="F82" s="1"/>
    </row>
    <row r="83" spans="1:6" x14ac:dyDescent="0.25">
      <c r="A83" s="12"/>
      <c r="B83" s="1"/>
      <c r="E83" s="1"/>
      <c r="F83" s="1"/>
    </row>
    <row r="84" spans="1:6" x14ac:dyDescent="0.25">
      <c r="A84" s="12"/>
      <c r="B84" s="1"/>
      <c r="E84" s="1"/>
      <c r="F84" s="1"/>
    </row>
    <row r="85" spans="1:6" x14ac:dyDescent="0.25">
      <c r="A85" s="12"/>
      <c r="B85" s="1"/>
      <c r="E85" s="1"/>
      <c r="F85" s="1"/>
    </row>
    <row r="86" spans="1:6" x14ac:dyDescent="0.25">
      <c r="A86" s="12"/>
      <c r="B86" s="1"/>
      <c r="E86" s="1"/>
      <c r="F86" s="1"/>
    </row>
    <row r="87" spans="1:6" x14ac:dyDescent="0.25">
      <c r="A87" s="12"/>
      <c r="B87" s="1"/>
      <c r="E87" s="1"/>
      <c r="F87" s="1"/>
    </row>
    <row r="88" spans="1:6" x14ac:dyDescent="0.25">
      <c r="A88" s="12"/>
      <c r="B88" s="1"/>
      <c r="E88" s="1"/>
      <c r="F88" s="1"/>
    </row>
    <row r="89" spans="1:6" x14ac:dyDescent="0.25">
      <c r="A89" s="12"/>
      <c r="B89" s="1"/>
      <c r="E89" s="1"/>
      <c r="F89" s="1"/>
    </row>
    <row r="90" spans="1:6" x14ac:dyDescent="0.25">
      <c r="A90" s="12"/>
      <c r="B90" s="1"/>
      <c r="E90" s="1"/>
      <c r="F90" s="1"/>
    </row>
    <row r="91" spans="1:6" x14ac:dyDescent="0.25">
      <c r="A91" s="12"/>
      <c r="B91" s="1"/>
      <c r="E91" s="1"/>
      <c r="F91" s="1"/>
    </row>
    <row r="92" spans="1:6" x14ac:dyDescent="0.25">
      <c r="A92" s="12"/>
      <c r="B92" s="1"/>
      <c r="E92" s="1"/>
      <c r="F92" s="1"/>
    </row>
    <row r="93" spans="1:6" x14ac:dyDescent="0.25">
      <c r="A93" s="12"/>
      <c r="B93" s="1"/>
      <c r="E93" s="1"/>
      <c r="F93" s="1"/>
    </row>
    <row r="94" spans="1:6" x14ac:dyDescent="0.25">
      <c r="A94" s="12"/>
      <c r="B94" s="1"/>
      <c r="E94" s="1"/>
      <c r="F94" s="1"/>
    </row>
    <row r="95" spans="1:6" x14ac:dyDescent="0.25">
      <c r="A95" s="12"/>
      <c r="B95" s="1"/>
      <c r="E95" s="1"/>
      <c r="F95" s="1"/>
    </row>
    <row r="96" spans="1:6" x14ac:dyDescent="0.25">
      <c r="A96" s="12"/>
      <c r="B96" s="1"/>
      <c r="E96" s="1"/>
      <c r="F96" s="1"/>
    </row>
    <row r="97" spans="1:6" x14ac:dyDescent="0.25">
      <c r="A97" s="12"/>
      <c r="B97" s="1"/>
      <c r="E97" s="1"/>
      <c r="F97" s="1"/>
    </row>
    <row r="98" spans="1:6" x14ac:dyDescent="0.25">
      <c r="A98" s="12"/>
      <c r="B98" s="1"/>
      <c r="E98" s="1"/>
      <c r="F98" s="1"/>
    </row>
    <row r="99" spans="1:6" x14ac:dyDescent="0.25">
      <c r="A99" s="12"/>
      <c r="B99" s="1"/>
      <c r="E99" s="1"/>
      <c r="F99" s="1"/>
    </row>
    <row r="100" spans="1:6" x14ac:dyDescent="0.25">
      <c r="A100" s="12"/>
      <c r="B100" s="1"/>
      <c r="E100" s="1"/>
      <c r="F100" s="1"/>
    </row>
    <row r="101" spans="1:6" x14ac:dyDescent="0.25">
      <c r="A101" s="12"/>
      <c r="B101" s="1"/>
      <c r="E101" s="1"/>
      <c r="F101" s="1"/>
    </row>
    <row r="102" spans="1:6" x14ac:dyDescent="0.25">
      <c r="A102" s="12"/>
      <c r="B102" s="1"/>
      <c r="E102" s="1"/>
      <c r="F102" s="1"/>
    </row>
    <row r="103" spans="1:6" x14ac:dyDescent="0.25">
      <c r="A103" s="12"/>
      <c r="B103" s="1"/>
      <c r="E103" s="1"/>
      <c r="F103" s="1"/>
    </row>
    <row r="104" spans="1:6" x14ac:dyDescent="0.25">
      <c r="A104" s="12"/>
      <c r="B104" s="1"/>
      <c r="E104" s="1"/>
      <c r="F104" s="1"/>
    </row>
    <row r="105" spans="1:6" x14ac:dyDescent="0.25">
      <c r="A105" s="12"/>
      <c r="B105" s="1"/>
      <c r="E105" s="1"/>
      <c r="F105" s="1"/>
    </row>
    <row r="106" spans="1:6" x14ac:dyDescent="0.25">
      <c r="A106" s="12"/>
      <c r="B106" s="1"/>
      <c r="E106" s="1"/>
      <c r="F106" s="1"/>
    </row>
    <row r="107" spans="1:6" x14ac:dyDescent="0.25">
      <c r="A107" s="12"/>
      <c r="B107" s="1"/>
      <c r="E107" s="1"/>
      <c r="F107" s="1"/>
    </row>
    <row r="108" spans="1:6" x14ac:dyDescent="0.25">
      <c r="A108" s="12"/>
      <c r="B108" s="1"/>
      <c r="E108" s="1"/>
      <c r="F108" s="1"/>
    </row>
    <row r="109" spans="1:6" x14ac:dyDescent="0.25">
      <c r="A109" s="12"/>
      <c r="B109" s="1"/>
      <c r="E109" s="1"/>
      <c r="F109" s="1"/>
    </row>
    <row r="110" spans="1:6" x14ac:dyDescent="0.25">
      <c r="A110" s="12"/>
      <c r="B110" s="1"/>
      <c r="E110" s="1"/>
      <c r="F110" s="1"/>
    </row>
    <row r="111" spans="1:6" x14ac:dyDescent="0.25">
      <c r="A111" s="12"/>
      <c r="B111" s="1"/>
      <c r="E111" s="1"/>
      <c r="F111" s="1"/>
    </row>
    <row r="112" spans="1:6" x14ac:dyDescent="0.25">
      <c r="A112" s="12"/>
      <c r="B112" s="1"/>
      <c r="E112" s="1"/>
      <c r="F112" s="1"/>
    </row>
    <row r="113" spans="1:6" x14ac:dyDescent="0.25">
      <c r="A113" s="12"/>
      <c r="B113" s="1"/>
      <c r="E113" s="1"/>
      <c r="F113" s="1"/>
    </row>
    <row r="114" spans="1:6" x14ac:dyDescent="0.25">
      <c r="A114" s="12"/>
      <c r="B114" s="1"/>
      <c r="E114" s="1"/>
      <c r="F114" s="1"/>
    </row>
    <row r="115" spans="1:6" x14ac:dyDescent="0.25">
      <c r="A115" s="12"/>
      <c r="B115" s="1"/>
      <c r="E115" s="1"/>
      <c r="F115" s="1"/>
    </row>
    <row r="116" spans="1:6" x14ac:dyDescent="0.25">
      <c r="A116" s="12"/>
      <c r="B116" s="1"/>
      <c r="E116" s="1"/>
      <c r="F116" s="1"/>
    </row>
    <row r="117" spans="1:6" x14ac:dyDescent="0.25">
      <c r="A117" s="12"/>
      <c r="B117" s="1"/>
      <c r="E117" s="1"/>
      <c r="F117" s="1"/>
    </row>
    <row r="118" spans="1:6" x14ac:dyDescent="0.25">
      <c r="A118" s="12"/>
      <c r="B118" s="1"/>
      <c r="E118" s="1"/>
      <c r="F118" s="1"/>
    </row>
    <row r="119" spans="1:6" x14ac:dyDescent="0.25">
      <c r="A119" s="12"/>
      <c r="B119" s="1"/>
      <c r="E119" s="1"/>
      <c r="F119" s="1"/>
    </row>
    <row r="120" spans="1:6" x14ac:dyDescent="0.25">
      <c r="A120" s="12"/>
      <c r="B120" s="1"/>
      <c r="E120" s="1"/>
      <c r="F120" s="1"/>
    </row>
    <row r="121" spans="1:6" x14ac:dyDescent="0.25">
      <c r="A121" s="12"/>
      <c r="B121" s="1"/>
      <c r="E121" s="1"/>
      <c r="F121" s="1"/>
    </row>
    <row r="122" spans="1:6" x14ac:dyDescent="0.25">
      <c r="A122" s="12"/>
      <c r="B122" s="1"/>
      <c r="E122" s="1"/>
      <c r="F122" s="1"/>
    </row>
    <row r="123" spans="1:6" x14ac:dyDescent="0.25">
      <c r="A123" s="12"/>
      <c r="B123" s="1"/>
      <c r="E123" s="1"/>
      <c r="F123" s="1"/>
    </row>
    <row r="124" spans="1:6" x14ac:dyDescent="0.25">
      <c r="A124" s="12"/>
      <c r="B124" s="1"/>
      <c r="E124" s="1"/>
      <c r="F124" s="1"/>
    </row>
    <row r="125" spans="1:6" x14ac:dyDescent="0.25">
      <c r="A125" s="12"/>
      <c r="B125" s="1"/>
      <c r="E125" s="1"/>
      <c r="F125" s="1"/>
    </row>
    <row r="126" spans="1:6" x14ac:dyDescent="0.25">
      <c r="A126" s="12"/>
      <c r="B126" s="1"/>
      <c r="E126" s="1"/>
      <c r="F126" s="1"/>
    </row>
    <row r="127" spans="1:6" x14ac:dyDescent="0.25">
      <c r="A127" s="12"/>
      <c r="B127" s="1"/>
      <c r="E127" s="1"/>
      <c r="F127" s="1"/>
    </row>
    <row r="128" spans="1:6" x14ac:dyDescent="0.25">
      <c r="A128" s="12"/>
      <c r="B128" s="1"/>
      <c r="E128" s="1"/>
      <c r="F128" s="1"/>
    </row>
    <row r="129" spans="1:6" x14ac:dyDescent="0.25">
      <c r="A129" s="12"/>
      <c r="B129" s="1"/>
      <c r="E129" s="1"/>
      <c r="F129" s="1"/>
    </row>
    <row r="130" spans="1:6" x14ac:dyDescent="0.25">
      <c r="A130" s="12"/>
      <c r="B130" s="1"/>
      <c r="E130" s="1"/>
      <c r="F130" s="1"/>
    </row>
    <row r="131" spans="1:6" x14ac:dyDescent="0.25">
      <c r="A131" s="12"/>
      <c r="B131" s="1"/>
      <c r="E131" s="1"/>
      <c r="F131" s="1"/>
    </row>
    <row r="132" spans="1:6" x14ac:dyDescent="0.25">
      <c r="A132" s="12"/>
      <c r="B132" s="1"/>
      <c r="E132" s="1"/>
      <c r="F132" s="1"/>
    </row>
    <row r="133" spans="1:6" x14ac:dyDescent="0.25">
      <c r="A133" s="12"/>
      <c r="B133" s="1"/>
      <c r="E133" s="1"/>
      <c r="F133" s="1"/>
    </row>
    <row r="134" spans="1:6" x14ac:dyDescent="0.25">
      <c r="A134" s="12"/>
      <c r="B134" s="1"/>
      <c r="E134" s="1"/>
      <c r="F134" s="1"/>
    </row>
    <row r="135" spans="1:6" x14ac:dyDescent="0.25">
      <c r="A135" s="12"/>
      <c r="B135" s="1"/>
      <c r="E135" s="1"/>
      <c r="F135" s="1"/>
    </row>
    <row r="136" spans="1:6" x14ac:dyDescent="0.25">
      <c r="A136" s="12"/>
      <c r="B136" s="1"/>
      <c r="E136" s="1"/>
      <c r="F136" s="1"/>
    </row>
    <row r="137" spans="1:6" x14ac:dyDescent="0.25">
      <c r="A137" s="12"/>
      <c r="B137" s="1"/>
      <c r="E137" s="1"/>
      <c r="F137" s="1"/>
    </row>
    <row r="138" spans="1:6" x14ac:dyDescent="0.25">
      <c r="A138" s="12"/>
      <c r="B138" s="1"/>
      <c r="E138" s="1"/>
      <c r="F138" s="1"/>
    </row>
    <row r="139" spans="1:6" x14ac:dyDescent="0.25">
      <c r="A139" s="12"/>
      <c r="B139" s="1"/>
      <c r="E139" s="1"/>
      <c r="F139" s="1"/>
    </row>
    <row r="140" spans="1:6" x14ac:dyDescent="0.25">
      <c r="A140" s="12"/>
      <c r="B140" s="1"/>
      <c r="E140" s="1"/>
      <c r="F140" s="1"/>
    </row>
    <row r="141" spans="1:6" x14ac:dyDescent="0.25">
      <c r="A141" s="12"/>
      <c r="B141" s="1"/>
      <c r="E141" s="1"/>
      <c r="F141" s="1"/>
    </row>
    <row r="142" spans="1:6" x14ac:dyDescent="0.25">
      <c r="A142" s="12"/>
      <c r="B142" s="1"/>
      <c r="E142" s="1"/>
      <c r="F142" s="1"/>
    </row>
    <row r="143" spans="1:6" x14ac:dyDescent="0.25">
      <c r="A143" s="12"/>
      <c r="B143" s="1"/>
      <c r="E143" s="1"/>
      <c r="F143" s="1"/>
    </row>
    <row r="144" spans="1:6" x14ac:dyDescent="0.25">
      <c r="A144" s="12"/>
      <c r="B144" s="1"/>
      <c r="E144" s="1"/>
      <c r="F144" s="1"/>
    </row>
    <row r="145" spans="1:6" x14ac:dyDescent="0.25">
      <c r="A145" s="12"/>
      <c r="B145" s="1"/>
      <c r="E145" s="1"/>
      <c r="F145" s="1"/>
    </row>
    <row r="146" spans="1:6" x14ac:dyDescent="0.25">
      <c r="A146" s="12"/>
      <c r="B146" s="1"/>
      <c r="E146" s="1"/>
      <c r="F146" s="1"/>
    </row>
    <row r="147" spans="1:6" x14ac:dyDescent="0.25">
      <c r="A147" s="12"/>
      <c r="B147" s="1"/>
      <c r="E147" s="1"/>
      <c r="F147" s="1"/>
    </row>
    <row r="148" spans="1:6" x14ac:dyDescent="0.25">
      <c r="A148" s="12"/>
      <c r="B148" s="1"/>
      <c r="E148" s="1"/>
      <c r="F148" s="1"/>
    </row>
    <row r="149" spans="1:6" x14ac:dyDescent="0.25">
      <c r="A149" s="12"/>
      <c r="B149" s="1"/>
      <c r="E149" s="1"/>
      <c r="F149" s="1"/>
    </row>
    <row r="150" spans="1:6" x14ac:dyDescent="0.25">
      <c r="A150" s="12"/>
      <c r="B150" s="1"/>
      <c r="E150" s="1"/>
      <c r="F150" s="1"/>
    </row>
    <row r="151" spans="1:6" x14ac:dyDescent="0.25">
      <c r="A151" s="12"/>
      <c r="B151" s="1"/>
      <c r="E151" s="1"/>
      <c r="F151" s="1"/>
    </row>
    <row r="152" spans="1:6" x14ac:dyDescent="0.25">
      <c r="A152" s="12"/>
      <c r="B152" s="1"/>
      <c r="E152" s="1"/>
      <c r="F152" s="1"/>
    </row>
    <row r="153" spans="1:6" x14ac:dyDescent="0.25">
      <c r="A153" s="12"/>
      <c r="B153" s="1"/>
      <c r="E153" s="1"/>
      <c r="F153" s="1"/>
    </row>
    <row r="154" spans="1:6" x14ac:dyDescent="0.25">
      <c r="A154" s="12"/>
      <c r="B154" s="1"/>
      <c r="E154" s="1"/>
      <c r="F154" s="1"/>
    </row>
    <row r="155" spans="1:6" x14ac:dyDescent="0.25">
      <c r="A155" s="12"/>
      <c r="B155" s="1"/>
      <c r="E155" s="1"/>
      <c r="F155" s="1"/>
    </row>
    <row r="156" spans="1:6" x14ac:dyDescent="0.25">
      <c r="A156" s="12"/>
      <c r="B156" s="1"/>
      <c r="E156" s="1"/>
      <c r="F156" s="1"/>
    </row>
    <row r="157" spans="1:6" x14ac:dyDescent="0.25">
      <c r="A157" s="12"/>
      <c r="B157" s="1"/>
      <c r="E157" s="1"/>
      <c r="F157" s="1"/>
    </row>
    <row r="158" spans="1:6" x14ac:dyDescent="0.25">
      <c r="A158" s="12"/>
      <c r="B158" s="1"/>
      <c r="E158" s="1"/>
      <c r="F158" s="1"/>
    </row>
    <row r="159" spans="1:6" x14ac:dyDescent="0.25">
      <c r="A159" s="12"/>
      <c r="B159" s="1"/>
      <c r="E159" s="1"/>
      <c r="F159" s="1"/>
    </row>
    <row r="160" spans="1:6" x14ac:dyDescent="0.25">
      <c r="A160" s="12"/>
      <c r="B160" s="1"/>
      <c r="E160" s="1"/>
      <c r="F160" s="1"/>
    </row>
    <row r="161" spans="1:6" x14ac:dyDescent="0.25">
      <c r="A161" s="12"/>
      <c r="B161" s="1"/>
      <c r="E161" s="1"/>
      <c r="F161" s="1"/>
    </row>
    <row r="162" spans="1:6" x14ac:dyDescent="0.25">
      <c r="A162" s="12"/>
      <c r="B162" s="1"/>
      <c r="E162" s="1"/>
      <c r="F162" s="1"/>
    </row>
    <row r="163" spans="1:6" x14ac:dyDescent="0.25">
      <c r="A163" s="12"/>
      <c r="B163" s="1"/>
      <c r="E163" s="1"/>
      <c r="F163" s="1"/>
    </row>
    <row r="164" spans="1:6" x14ac:dyDescent="0.25">
      <c r="A164" s="12"/>
      <c r="B164" s="1"/>
      <c r="E164" s="1"/>
      <c r="F164" s="1"/>
    </row>
    <row r="165" spans="1:6" x14ac:dyDescent="0.25">
      <c r="A165" s="12"/>
      <c r="B165" s="1"/>
      <c r="E165" s="1"/>
      <c r="F165" s="1"/>
    </row>
    <row r="166" spans="1:6" x14ac:dyDescent="0.25">
      <c r="A166" s="12"/>
      <c r="B166" s="1"/>
      <c r="E166" s="1"/>
      <c r="F166" s="1"/>
    </row>
    <row r="167" spans="1:6" x14ac:dyDescent="0.25">
      <c r="A167" s="12"/>
      <c r="B167" s="1"/>
      <c r="E167" s="1"/>
      <c r="F167" s="1"/>
    </row>
    <row r="168" spans="1:6" x14ac:dyDescent="0.25">
      <c r="A168" s="12"/>
      <c r="B168" s="1"/>
      <c r="E168" s="1"/>
      <c r="F168" s="1"/>
    </row>
    <row r="169" spans="1:6" x14ac:dyDescent="0.25">
      <c r="A169" s="12"/>
      <c r="B169" s="1"/>
      <c r="E169" s="1"/>
      <c r="F169" s="1"/>
    </row>
    <row r="170" spans="1:6" x14ac:dyDescent="0.25">
      <c r="A170" s="12"/>
      <c r="B170" s="1"/>
      <c r="E170" s="1"/>
      <c r="F170" s="1"/>
    </row>
    <row r="171" spans="1:6" x14ac:dyDescent="0.25">
      <c r="A171" s="12"/>
      <c r="B171" s="1"/>
      <c r="E171" s="1"/>
      <c r="F171" s="1"/>
    </row>
    <row r="172" spans="1:6" x14ac:dyDescent="0.25">
      <c r="A172" s="12"/>
      <c r="B172" s="1"/>
      <c r="E172" s="1"/>
      <c r="F172" s="1"/>
    </row>
    <row r="173" spans="1:6" x14ac:dyDescent="0.25">
      <c r="A173" s="12"/>
      <c r="B173" s="1"/>
      <c r="E173" s="1"/>
      <c r="F173" s="1"/>
    </row>
    <row r="174" spans="1:6" x14ac:dyDescent="0.25">
      <c r="A174" s="12"/>
      <c r="B174" s="1"/>
      <c r="E174" s="1"/>
      <c r="F174" s="1"/>
    </row>
    <row r="175" spans="1:6" x14ac:dyDescent="0.25">
      <c r="A175" s="12"/>
      <c r="B175" s="1"/>
      <c r="E175" s="1"/>
      <c r="F175" s="1"/>
    </row>
    <row r="176" spans="1:6" x14ac:dyDescent="0.25">
      <c r="A176" s="12"/>
      <c r="B176" s="1"/>
      <c r="E176" s="1"/>
      <c r="F176" s="1"/>
    </row>
    <row r="177" spans="1:6" x14ac:dyDescent="0.25">
      <c r="A177" s="12"/>
      <c r="B177" s="1"/>
      <c r="E177" s="1"/>
      <c r="F177" s="1"/>
    </row>
    <row r="178" spans="1:6" x14ac:dyDescent="0.25">
      <c r="A178" s="12"/>
      <c r="B178" s="1"/>
      <c r="E178" s="1"/>
      <c r="F178" s="1"/>
    </row>
    <row r="179" spans="1:6" x14ac:dyDescent="0.25">
      <c r="A179" s="12"/>
      <c r="B179" s="1"/>
      <c r="E179" s="1"/>
      <c r="F179" s="1"/>
    </row>
    <row r="180" spans="1:6" x14ac:dyDescent="0.25">
      <c r="A180" s="12"/>
      <c r="B180" s="1"/>
      <c r="E180" s="1"/>
      <c r="F180" s="1"/>
    </row>
    <row r="181" spans="1:6" x14ac:dyDescent="0.25">
      <c r="A181" s="12"/>
      <c r="B181" s="1"/>
      <c r="E181" s="1"/>
      <c r="F181" s="1"/>
    </row>
    <row r="182" spans="1:6" x14ac:dyDescent="0.25">
      <c r="A182" s="12"/>
      <c r="B182" s="1"/>
      <c r="E182" s="1"/>
      <c r="F182" s="1"/>
    </row>
    <row r="183" spans="1:6" x14ac:dyDescent="0.25">
      <c r="A183" s="12"/>
      <c r="B183" s="1"/>
      <c r="E183" s="1"/>
      <c r="F183" s="1"/>
    </row>
    <row r="184" spans="1:6" x14ac:dyDescent="0.25">
      <c r="A184" s="12"/>
      <c r="B184" s="1"/>
      <c r="E184" s="1"/>
      <c r="F184" s="1"/>
    </row>
    <row r="185" spans="1:6" x14ac:dyDescent="0.25">
      <c r="A185" s="12"/>
      <c r="B185" s="1"/>
      <c r="E185" s="1"/>
      <c r="F185" s="1"/>
    </row>
    <row r="186" spans="1:6" x14ac:dyDescent="0.25">
      <c r="A186" s="12"/>
      <c r="B186" s="1"/>
      <c r="E186" s="1"/>
      <c r="F186" s="1"/>
    </row>
    <row r="187" spans="1:6" x14ac:dyDescent="0.25">
      <c r="A187" s="12"/>
      <c r="B187" s="1"/>
      <c r="E187" s="1"/>
      <c r="F187" s="1"/>
    </row>
    <row r="188" spans="1:6" x14ac:dyDescent="0.25">
      <c r="A188" s="12"/>
      <c r="B188" s="1"/>
      <c r="E188" s="1"/>
      <c r="F188" s="1"/>
    </row>
    <row r="189" spans="1:6" x14ac:dyDescent="0.25">
      <c r="A189" s="12"/>
      <c r="B189" s="1"/>
      <c r="E189" s="1"/>
      <c r="F189" s="1"/>
    </row>
    <row r="190" spans="1:6" x14ac:dyDescent="0.25">
      <c r="A190" s="12"/>
      <c r="B190" s="1"/>
      <c r="E190" s="1"/>
      <c r="F190" s="1"/>
    </row>
    <row r="191" spans="1:6" x14ac:dyDescent="0.25">
      <c r="A191" s="12"/>
      <c r="B191" s="1"/>
      <c r="E191" s="1"/>
      <c r="F191" s="1"/>
    </row>
    <row r="192" spans="1:6" x14ac:dyDescent="0.25">
      <c r="A192" s="12"/>
      <c r="B192" s="1"/>
      <c r="E192" s="1"/>
      <c r="F192" s="1"/>
    </row>
    <row r="193" spans="1:6" x14ac:dyDescent="0.25">
      <c r="A193" s="12"/>
      <c r="B193" s="1"/>
      <c r="E193" s="1"/>
      <c r="F193" s="1"/>
    </row>
    <row r="194" spans="1:6" x14ac:dyDescent="0.25">
      <c r="A194" s="12"/>
      <c r="B194" s="1"/>
      <c r="E194" s="1"/>
      <c r="F194" s="1"/>
    </row>
    <row r="195" spans="1:6" x14ac:dyDescent="0.25">
      <c r="A195" s="12"/>
      <c r="B195" s="1"/>
      <c r="E195" s="1"/>
      <c r="F195" s="1"/>
    </row>
    <row r="196" spans="1:6" x14ac:dyDescent="0.25">
      <c r="A196" s="12"/>
      <c r="B196" s="1"/>
      <c r="E196" s="1"/>
      <c r="F196" s="1"/>
    </row>
    <row r="197" spans="1:6" x14ac:dyDescent="0.25">
      <c r="A197" s="12"/>
      <c r="B197" s="1"/>
      <c r="E197" s="1"/>
      <c r="F197" s="1"/>
    </row>
    <row r="198" spans="1:6" x14ac:dyDescent="0.25">
      <c r="A198" s="12"/>
      <c r="B198" s="1"/>
      <c r="E198" s="1"/>
      <c r="F198" s="1"/>
    </row>
    <row r="199" spans="1:6" x14ac:dyDescent="0.25">
      <c r="A199" s="12"/>
      <c r="B199" s="1"/>
      <c r="E199" s="1"/>
      <c r="F199" s="1"/>
    </row>
    <row r="200" spans="1:6" x14ac:dyDescent="0.25">
      <c r="A200" s="12"/>
      <c r="B200" s="1"/>
      <c r="E200" s="1"/>
      <c r="F200" s="1"/>
    </row>
    <row r="201" spans="1:6" x14ac:dyDescent="0.25">
      <c r="A201" s="12"/>
      <c r="B201" s="1"/>
      <c r="E201" s="1"/>
      <c r="F201" s="1"/>
    </row>
    <row r="202" spans="1:6" x14ac:dyDescent="0.25">
      <c r="A202" s="12"/>
      <c r="B202" s="1"/>
      <c r="E202" s="1"/>
      <c r="F202" s="1"/>
    </row>
    <row r="203" spans="1:6" x14ac:dyDescent="0.25">
      <c r="A203" s="12"/>
      <c r="B203" s="1"/>
      <c r="E203" s="1"/>
      <c r="F203" s="1"/>
    </row>
    <row r="204" spans="1:6" x14ac:dyDescent="0.25">
      <c r="A204" s="12"/>
      <c r="B204" s="1"/>
      <c r="E204" s="1"/>
      <c r="F204" s="1"/>
    </row>
    <row r="205" spans="1:6" x14ac:dyDescent="0.25">
      <c r="A205" s="12"/>
      <c r="B205" s="1"/>
      <c r="E205" s="1"/>
      <c r="F205" s="1"/>
    </row>
    <row r="206" spans="1:6" x14ac:dyDescent="0.25">
      <c r="A206" s="12"/>
      <c r="B206" s="1"/>
      <c r="E206" s="1"/>
      <c r="F206" s="1"/>
    </row>
    <row r="207" spans="1:6" x14ac:dyDescent="0.25">
      <c r="A207" s="12"/>
      <c r="B207" s="1"/>
      <c r="E207" s="1"/>
      <c r="F207" s="1"/>
    </row>
    <row r="208" spans="1:6" x14ac:dyDescent="0.25">
      <c r="A208" s="12"/>
      <c r="B208" s="1"/>
      <c r="E208" s="1"/>
      <c r="F208" s="1"/>
    </row>
    <row r="209" spans="1:6" x14ac:dyDescent="0.25">
      <c r="A209" s="12"/>
      <c r="B209" s="1"/>
      <c r="E209" s="1"/>
      <c r="F209" s="1"/>
    </row>
    <row r="210" spans="1:6" x14ac:dyDescent="0.25">
      <c r="A210" s="12"/>
      <c r="B210" s="1"/>
      <c r="E210" s="1"/>
      <c r="F210" s="1"/>
    </row>
    <row r="211" spans="1:6" x14ac:dyDescent="0.25">
      <c r="A211" s="12"/>
      <c r="B211" s="1"/>
      <c r="E211" s="1"/>
      <c r="F211" s="1"/>
    </row>
    <row r="212" spans="1:6" x14ac:dyDescent="0.25">
      <c r="A212" s="12"/>
      <c r="B212" s="1"/>
      <c r="E212" s="1"/>
      <c r="F212" s="1"/>
    </row>
    <row r="213" spans="1:6" x14ac:dyDescent="0.25">
      <c r="A213" s="12"/>
      <c r="B213" s="1"/>
      <c r="E213" s="1"/>
      <c r="F213" s="1"/>
    </row>
    <row r="214" spans="1:6" x14ac:dyDescent="0.25">
      <c r="A214" s="12"/>
      <c r="B214" s="1"/>
      <c r="E214" s="1"/>
      <c r="F214" s="1"/>
    </row>
    <row r="215" spans="1:6" x14ac:dyDescent="0.25">
      <c r="A215" s="12"/>
      <c r="B215" s="1"/>
      <c r="E215" s="1"/>
      <c r="F215" s="1"/>
    </row>
    <row r="216" spans="1:6" x14ac:dyDescent="0.25">
      <c r="A216" s="12"/>
      <c r="B216" s="1"/>
      <c r="E216" s="1"/>
      <c r="F216" s="1"/>
    </row>
    <row r="217" spans="1:6" x14ac:dyDescent="0.25">
      <c r="A217" s="12"/>
      <c r="B217" s="1"/>
      <c r="E217" s="1"/>
      <c r="F217" s="1"/>
    </row>
    <row r="218" spans="1:6" x14ac:dyDescent="0.25">
      <c r="A218" s="12"/>
      <c r="B218" s="1"/>
      <c r="E218" s="1"/>
      <c r="F218" s="1"/>
    </row>
    <row r="219" spans="1:6" x14ac:dyDescent="0.25">
      <c r="A219" s="12"/>
      <c r="B219" s="1"/>
      <c r="E219" s="1"/>
      <c r="F219" s="1"/>
    </row>
    <row r="220" spans="1:6" x14ac:dyDescent="0.25">
      <c r="A220" s="12"/>
      <c r="B220" s="1"/>
      <c r="E220" s="1"/>
      <c r="F220" s="1"/>
    </row>
    <row r="221" spans="1:6" x14ac:dyDescent="0.25">
      <c r="A221" s="12"/>
      <c r="B221" s="1"/>
      <c r="E221" s="1"/>
      <c r="F221" s="1"/>
    </row>
    <row r="222" spans="1:6" x14ac:dyDescent="0.25">
      <c r="A222" s="12"/>
      <c r="B222" s="1"/>
      <c r="E222" s="1"/>
      <c r="F222" s="1"/>
    </row>
    <row r="223" spans="1:6" x14ac:dyDescent="0.25">
      <c r="A223" s="12"/>
      <c r="B223" s="1"/>
      <c r="E223" s="1"/>
      <c r="F223" s="1"/>
    </row>
    <row r="224" spans="1:6" x14ac:dyDescent="0.25">
      <c r="A224" s="12"/>
      <c r="B224" s="1"/>
      <c r="E224" s="1"/>
      <c r="F224" s="1"/>
    </row>
    <row r="225" spans="1:6" x14ac:dyDescent="0.25">
      <c r="A225" s="12"/>
      <c r="B225" s="1"/>
      <c r="E225" s="1"/>
      <c r="F225" s="1"/>
    </row>
    <row r="226" spans="1:6" x14ac:dyDescent="0.25">
      <c r="A226" s="12"/>
      <c r="B226" s="1"/>
      <c r="E226" s="1"/>
      <c r="F226" s="1"/>
    </row>
    <row r="227" spans="1:6" x14ac:dyDescent="0.25">
      <c r="A227" s="12"/>
      <c r="B227" s="1"/>
      <c r="E227" s="1"/>
      <c r="F227" s="1"/>
    </row>
    <row r="228" spans="1:6" x14ac:dyDescent="0.25">
      <c r="A228" s="12"/>
      <c r="B228" s="1"/>
      <c r="E228" s="1"/>
      <c r="F228" s="1"/>
    </row>
    <row r="229" spans="1:6" x14ac:dyDescent="0.25">
      <c r="A229" s="12"/>
      <c r="B229" s="1"/>
      <c r="E229" s="1"/>
      <c r="F229" s="1"/>
    </row>
    <row r="230" spans="1:6" x14ac:dyDescent="0.25">
      <c r="A230" s="12"/>
      <c r="B230" s="1"/>
      <c r="E230" s="1"/>
      <c r="F230" s="1"/>
    </row>
    <row r="231" spans="1:6" x14ac:dyDescent="0.25">
      <c r="A231" s="12"/>
      <c r="B231" s="1"/>
      <c r="E231" s="1"/>
      <c r="F231" s="1"/>
    </row>
    <row r="232" spans="1:6" x14ac:dyDescent="0.25">
      <c r="A232" s="12"/>
      <c r="B232" s="1"/>
      <c r="E232" s="1"/>
      <c r="F232" s="1"/>
    </row>
    <row r="233" spans="1:6" x14ac:dyDescent="0.25">
      <c r="A233" s="12"/>
      <c r="B233" s="1"/>
      <c r="E233" s="1"/>
      <c r="F233" s="1"/>
    </row>
    <row r="234" spans="1:6" x14ac:dyDescent="0.25">
      <c r="A234" s="12"/>
      <c r="B234" s="1"/>
      <c r="E234" s="1"/>
      <c r="F234" s="1"/>
    </row>
    <row r="235" spans="1:6" x14ac:dyDescent="0.25">
      <c r="A235" s="12"/>
      <c r="B235" s="1"/>
      <c r="E235" s="1"/>
      <c r="F235" s="1"/>
    </row>
    <row r="236" spans="1:6" x14ac:dyDescent="0.25">
      <c r="A236" s="12"/>
      <c r="B236" s="1"/>
      <c r="E236" s="1"/>
      <c r="F236" s="1"/>
    </row>
    <row r="237" spans="1:6" x14ac:dyDescent="0.25">
      <c r="A237" s="12"/>
      <c r="B237" s="1"/>
      <c r="E237" s="1"/>
      <c r="F237" s="1"/>
    </row>
    <row r="238" spans="1:6" x14ac:dyDescent="0.25">
      <c r="A238" s="12"/>
      <c r="B238" s="1"/>
      <c r="E238" s="1"/>
      <c r="F238" s="1"/>
    </row>
    <row r="239" spans="1:6" x14ac:dyDescent="0.25">
      <c r="A239" s="12"/>
      <c r="B239" s="1"/>
      <c r="E239" s="1"/>
      <c r="F239" s="1"/>
    </row>
    <row r="240" spans="1:6" x14ac:dyDescent="0.25">
      <c r="A240" s="12"/>
      <c r="B240" s="1"/>
      <c r="E240" s="1"/>
      <c r="F240" s="1"/>
    </row>
    <row r="241" spans="1:6" x14ac:dyDescent="0.25">
      <c r="A241" s="12"/>
      <c r="B241" s="1"/>
      <c r="E241" s="1"/>
      <c r="F241" s="1"/>
    </row>
    <row r="242" spans="1:6" x14ac:dyDescent="0.25">
      <c r="A242" s="12"/>
      <c r="B242" s="1"/>
      <c r="E242" s="1"/>
      <c r="F242" s="1"/>
    </row>
    <row r="243" spans="1:6" x14ac:dyDescent="0.25">
      <c r="A243" s="12"/>
      <c r="B243" s="1"/>
      <c r="E243" s="1"/>
      <c r="F243" s="1"/>
    </row>
    <row r="244" spans="1:6" x14ac:dyDescent="0.25">
      <c r="A244" s="12"/>
      <c r="B244" s="1"/>
      <c r="E244" s="1"/>
      <c r="F244" s="1"/>
    </row>
    <row r="245" spans="1:6" x14ac:dyDescent="0.25">
      <c r="A245" s="12"/>
      <c r="B245" s="1"/>
      <c r="E245" s="1"/>
      <c r="F245" s="1"/>
    </row>
    <row r="246" spans="1:6" x14ac:dyDescent="0.25">
      <c r="A246" s="12"/>
      <c r="B246" s="1"/>
      <c r="E246" s="1"/>
      <c r="F246" s="1"/>
    </row>
    <row r="247" spans="1:6" x14ac:dyDescent="0.25">
      <c r="A247" s="12"/>
      <c r="B247" s="1"/>
      <c r="E247" s="1"/>
      <c r="F247" s="1"/>
    </row>
    <row r="248" spans="1:6" x14ac:dyDescent="0.25">
      <c r="A248" s="12"/>
      <c r="B248" s="1"/>
      <c r="E248" s="1"/>
      <c r="F248" s="1"/>
    </row>
    <row r="249" spans="1:6" x14ac:dyDescent="0.25">
      <c r="A249" s="12"/>
      <c r="B249" s="1"/>
      <c r="E249" s="1"/>
      <c r="F249" s="1"/>
    </row>
    <row r="250" spans="1:6" x14ac:dyDescent="0.25">
      <c r="A250" s="12"/>
      <c r="B250" s="1"/>
      <c r="E250" s="1"/>
      <c r="F250" s="1"/>
    </row>
    <row r="251" spans="1:6" x14ac:dyDescent="0.25">
      <c r="A251" s="12"/>
      <c r="B251" s="1"/>
      <c r="E251" s="1"/>
      <c r="F251" s="1"/>
    </row>
    <row r="252" spans="1:6" x14ac:dyDescent="0.25">
      <c r="A252" s="12"/>
      <c r="B252" s="1"/>
      <c r="E252" s="1"/>
      <c r="F252" s="1"/>
    </row>
    <row r="253" spans="1:6" x14ac:dyDescent="0.25">
      <c r="A253" s="12"/>
      <c r="B253" s="1"/>
      <c r="E253" s="1"/>
      <c r="F253" s="1"/>
    </row>
    <row r="254" spans="1:6" x14ac:dyDescent="0.25">
      <c r="A254" s="12"/>
      <c r="B254" s="1"/>
      <c r="E254" s="1"/>
      <c r="F254" s="1"/>
    </row>
    <row r="255" spans="1:6" x14ac:dyDescent="0.25">
      <c r="A255" s="12"/>
      <c r="B255" s="1"/>
      <c r="E255" s="1"/>
      <c r="F255" s="1"/>
    </row>
    <row r="256" spans="1:6" x14ac:dyDescent="0.25">
      <c r="A256" s="12"/>
      <c r="B256" s="1"/>
      <c r="E256" s="1"/>
      <c r="F256" s="1"/>
    </row>
    <row r="257" spans="1:6" x14ac:dyDescent="0.25">
      <c r="A257" s="12"/>
      <c r="B257" s="1"/>
      <c r="E257" s="1"/>
      <c r="F257" s="1"/>
    </row>
    <row r="258" spans="1:6" x14ac:dyDescent="0.25">
      <c r="A258" s="12"/>
      <c r="B258" s="1"/>
      <c r="E258" s="1"/>
      <c r="F258" s="1"/>
    </row>
    <row r="259" spans="1:6" x14ac:dyDescent="0.25">
      <c r="A259" s="12"/>
      <c r="B259" s="1"/>
      <c r="E259" s="1"/>
      <c r="F259" s="1"/>
    </row>
    <row r="260" spans="1:6" x14ac:dyDescent="0.25">
      <c r="A260" s="12"/>
      <c r="B260" s="1"/>
      <c r="E260" s="1"/>
      <c r="F260" s="1"/>
    </row>
    <row r="261" spans="1:6" x14ac:dyDescent="0.25">
      <c r="A261" s="12"/>
      <c r="B261" s="1"/>
      <c r="E261" s="1"/>
      <c r="F261" s="1"/>
    </row>
    <row r="262" spans="1:6" x14ac:dyDescent="0.25">
      <c r="A262" s="12"/>
      <c r="B262" s="1"/>
      <c r="E262" s="1"/>
      <c r="F262" s="1"/>
    </row>
    <row r="263" spans="1:6" x14ac:dyDescent="0.25">
      <c r="A263" s="12"/>
      <c r="B263" s="1"/>
      <c r="E263" s="1"/>
      <c r="F263" s="1"/>
    </row>
    <row r="264" spans="1:6" x14ac:dyDescent="0.25">
      <c r="A264" s="12"/>
      <c r="B264" s="1"/>
      <c r="E264" s="1"/>
      <c r="F264" s="1"/>
    </row>
    <row r="265" spans="1:6" x14ac:dyDescent="0.25">
      <c r="A265" s="12"/>
      <c r="B265" s="1"/>
      <c r="E265" s="1"/>
      <c r="F265" s="1"/>
    </row>
    <row r="266" spans="1:6" x14ac:dyDescent="0.25">
      <c r="A266" s="12"/>
      <c r="B266" s="1"/>
      <c r="E266" s="1"/>
      <c r="F266" s="1"/>
    </row>
    <row r="267" spans="1:6" x14ac:dyDescent="0.25">
      <c r="A267" s="12"/>
      <c r="B267" s="1"/>
      <c r="E267" s="1"/>
      <c r="F267" s="1"/>
    </row>
    <row r="268" spans="1:6" x14ac:dyDescent="0.25">
      <c r="A268" s="12"/>
      <c r="B268" s="1"/>
      <c r="E268" s="1"/>
      <c r="F268" s="1"/>
    </row>
    <row r="269" spans="1:6" x14ac:dyDescent="0.25">
      <c r="A269" s="12"/>
      <c r="B269" s="1"/>
      <c r="E269" s="1"/>
      <c r="F269" s="1"/>
    </row>
    <row r="270" spans="1:6" x14ac:dyDescent="0.25">
      <c r="A270" s="12"/>
      <c r="B270" s="1"/>
      <c r="E270" s="1"/>
      <c r="F270" s="1"/>
    </row>
    <row r="271" spans="1:6" x14ac:dyDescent="0.25">
      <c r="A271" s="12"/>
      <c r="B271" s="1"/>
      <c r="E271" s="1"/>
      <c r="F271" s="1"/>
    </row>
    <row r="272" spans="1:6" x14ac:dyDescent="0.25">
      <c r="A272" s="12"/>
      <c r="B272" s="1"/>
      <c r="E272" s="1"/>
      <c r="F272" s="1"/>
    </row>
    <row r="273" spans="1:6" x14ac:dyDescent="0.25">
      <c r="A273" s="12"/>
      <c r="B273" s="1"/>
      <c r="E273" s="1"/>
      <c r="F273" s="1"/>
    </row>
    <row r="274" spans="1:6" x14ac:dyDescent="0.25">
      <c r="A274" s="12"/>
      <c r="B274" s="1"/>
      <c r="E274" s="1"/>
      <c r="F274" s="1"/>
    </row>
    <row r="275" spans="1:6" x14ac:dyDescent="0.25">
      <c r="A275" s="12"/>
      <c r="B275" s="1"/>
      <c r="E275" s="1"/>
      <c r="F275" s="1"/>
    </row>
    <row r="276" spans="1:6" x14ac:dyDescent="0.25">
      <c r="A276" s="12"/>
      <c r="B276" s="1"/>
      <c r="E276" s="1"/>
      <c r="F276" s="1"/>
    </row>
    <row r="277" spans="1:6" x14ac:dyDescent="0.25">
      <c r="A277" s="12"/>
      <c r="B277" s="1"/>
      <c r="E277" s="1"/>
      <c r="F277" s="1"/>
    </row>
    <row r="278" spans="1:6" x14ac:dyDescent="0.25">
      <c r="A278" s="12"/>
      <c r="B278" s="1"/>
      <c r="E278" s="1"/>
      <c r="F278" s="1"/>
    </row>
    <row r="279" spans="1:6" x14ac:dyDescent="0.25">
      <c r="A279" s="12"/>
      <c r="B279" s="1"/>
      <c r="E279" s="1"/>
      <c r="F279" s="1"/>
    </row>
    <row r="280" spans="1:6" x14ac:dyDescent="0.25">
      <c r="A280" s="12"/>
      <c r="B280" s="1"/>
      <c r="E280" s="1"/>
      <c r="F280" s="1"/>
    </row>
    <row r="281" spans="1:6" x14ac:dyDescent="0.25">
      <c r="A281" s="12"/>
      <c r="B281" s="1"/>
      <c r="E281" s="1"/>
      <c r="F281" s="1"/>
    </row>
    <row r="282" spans="1:6" x14ac:dyDescent="0.25">
      <c r="A282" s="12"/>
      <c r="B282" s="1"/>
      <c r="E282" s="1"/>
      <c r="F282" s="1"/>
    </row>
    <row r="283" spans="1:6" x14ac:dyDescent="0.25">
      <c r="A283" s="12"/>
      <c r="B283" s="1"/>
      <c r="E283" s="1"/>
      <c r="F283" s="1"/>
    </row>
    <row r="284" spans="1:6" x14ac:dyDescent="0.25">
      <c r="A284" s="12"/>
      <c r="B284" s="1"/>
      <c r="E284" s="1"/>
      <c r="F284" s="1"/>
    </row>
    <row r="285" spans="1:6" x14ac:dyDescent="0.25">
      <c r="A285" s="12"/>
      <c r="B285" s="1"/>
      <c r="E285" s="1"/>
      <c r="F285" s="1"/>
    </row>
    <row r="286" spans="1:6" x14ac:dyDescent="0.25">
      <c r="A286" s="12"/>
      <c r="B286" s="1"/>
      <c r="E286" s="1"/>
      <c r="F286" s="1"/>
    </row>
    <row r="287" spans="1:6" x14ac:dyDescent="0.25">
      <c r="A287" s="12"/>
      <c r="B287" s="1"/>
      <c r="E287" s="1"/>
      <c r="F287" s="1"/>
    </row>
    <row r="288" spans="1:6" x14ac:dyDescent="0.25">
      <c r="A288" s="12"/>
      <c r="B288" s="1"/>
      <c r="E288" s="1"/>
      <c r="F288" s="1"/>
    </row>
    <row r="289" spans="1:6" x14ac:dyDescent="0.25">
      <c r="A289" s="12"/>
      <c r="B289" s="1"/>
      <c r="E289" s="1"/>
      <c r="F289" s="1"/>
    </row>
    <row r="290" spans="1:6" x14ac:dyDescent="0.25">
      <c r="A290" s="12"/>
      <c r="B290" s="1"/>
      <c r="E290" s="1"/>
      <c r="F290" s="1"/>
    </row>
    <row r="291" spans="1:6" x14ac:dyDescent="0.25">
      <c r="A291" s="12"/>
      <c r="B291" s="1"/>
      <c r="E291" s="1"/>
      <c r="F291" s="1"/>
    </row>
    <row r="292" spans="1:6" x14ac:dyDescent="0.25">
      <c r="A292" s="12"/>
      <c r="B292" s="1"/>
      <c r="E292" s="1"/>
      <c r="F292" s="1"/>
    </row>
    <row r="293" spans="1:6" x14ac:dyDescent="0.25">
      <c r="A293" s="12"/>
      <c r="B293" s="1"/>
      <c r="E293" s="1"/>
      <c r="F293" s="1"/>
    </row>
    <row r="294" spans="1:6" x14ac:dyDescent="0.25">
      <c r="A294" s="12"/>
      <c r="B294" s="1"/>
      <c r="E294" s="1"/>
      <c r="F294" s="1"/>
    </row>
    <row r="295" spans="1:6" x14ac:dyDescent="0.25">
      <c r="A295" s="12"/>
      <c r="B295" s="1"/>
      <c r="E295" s="1"/>
      <c r="F295" s="1"/>
    </row>
    <row r="296" spans="1:6" x14ac:dyDescent="0.25">
      <c r="A296" s="12"/>
      <c r="B296" s="1"/>
      <c r="E296" s="1"/>
      <c r="F296" s="1"/>
    </row>
    <row r="297" spans="1:6" x14ac:dyDescent="0.25">
      <c r="A297" s="12"/>
      <c r="B297" s="1"/>
      <c r="E297" s="1"/>
      <c r="F297" s="1"/>
    </row>
    <row r="298" spans="1:6" x14ac:dyDescent="0.25">
      <c r="A298" s="12"/>
      <c r="B298" s="1"/>
      <c r="E298" s="1"/>
      <c r="F298" s="1"/>
    </row>
    <row r="299" spans="1:6" x14ac:dyDescent="0.25">
      <c r="A299" s="12"/>
      <c r="B299" s="1"/>
      <c r="E299" s="1"/>
      <c r="F299" s="1"/>
    </row>
    <row r="300" spans="1:6" x14ac:dyDescent="0.25">
      <c r="A300" s="12"/>
      <c r="B300" s="1"/>
      <c r="E300" s="1"/>
      <c r="F300" s="1"/>
    </row>
    <row r="301" spans="1:6" x14ac:dyDescent="0.25">
      <c r="A301" s="12"/>
      <c r="B301" s="1"/>
      <c r="E301" s="1"/>
      <c r="F301" s="1"/>
    </row>
    <row r="302" spans="1:6" x14ac:dyDescent="0.25">
      <c r="A302" s="12"/>
      <c r="B302" s="1"/>
      <c r="E302" s="1"/>
      <c r="F302" s="1"/>
    </row>
    <row r="303" spans="1:6" x14ac:dyDescent="0.25">
      <c r="A303" s="12"/>
      <c r="B303" s="1"/>
      <c r="E303" s="1"/>
      <c r="F303" s="1"/>
    </row>
    <row r="304" spans="1:6" x14ac:dyDescent="0.25">
      <c r="A304" s="12"/>
      <c r="B304" s="1"/>
      <c r="E304" s="1"/>
      <c r="F304" s="1"/>
    </row>
    <row r="305" spans="1:6" x14ac:dyDescent="0.25">
      <c r="A305" s="12"/>
      <c r="B305" s="1"/>
      <c r="E305" s="1"/>
      <c r="F305" s="1"/>
    </row>
    <row r="306" spans="1:6" x14ac:dyDescent="0.25">
      <c r="A306" s="12"/>
      <c r="B306" s="1"/>
      <c r="E306" s="1"/>
      <c r="F306" s="1"/>
    </row>
    <row r="307" spans="1:6" x14ac:dyDescent="0.25">
      <c r="A307" s="12"/>
      <c r="B307" s="1"/>
      <c r="E307" s="1"/>
      <c r="F307" s="1"/>
    </row>
    <row r="308" spans="1:6" x14ac:dyDescent="0.25">
      <c r="A308" s="12"/>
      <c r="B308" s="1"/>
      <c r="E308" s="1"/>
      <c r="F308" s="1"/>
    </row>
    <row r="309" spans="1:6" x14ac:dyDescent="0.25">
      <c r="A309" s="12"/>
      <c r="B309" s="1"/>
      <c r="E309" s="1"/>
      <c r="F309" s="1"/>
    </row>
    <row r="310" spans="1:6" x14ac:dyDescent="0.25">
      <c r="A310" s="12"/>
      <c r="B310" s="1"/>
      <c r="E310" s="1"/>
      <c r="F310" s="1"/>
    </row>
    <row r="311" spans="1:6" x14ac:dyDescent="0.25">
      <c r="A311" s="12"/>
      <c r="B311" s="1"/>
      <c r="E311" s="1"/>
      <c r="F311" s="1"/>
    </row>
    <row r="312" spans="1:6" x14ac:dyDescent="0.25">
      <c r="A312" s="12"/>
      <c r="B312" s="1"/>
      <c r="E312" s="1"/>
      <c r="F312" s="1"/>
    </row>
    <row r="313" spans="1:6" x14ac:dyDescent="0.25">
      <c r="A313" s="12"/>
      <c r="B313" s="1"/>
      <c r="E313" s="1"/>
      <c r="F313" s="1"/>
    </row>
    <row r="314" spans="1:6" x14ac:dyDescent="0.25">
      <c r="A314" s="12"/>
      <c r="B314" s="1"/>
      <c r="E314" s="1"/>
      <c r="F314" s="1"/>
    </row>
    <row r="315" spans="1:6" x14ac:dyDescent="0.25">
      <c r="A315" s="12"/>
      <c r="B315" s="1"/>
      <c r="E315" s="1"/>
      <c r="F315" s="1"/>
    </row>
    <row r="316" spans="1:6" x14ac:dyDescent="0.25">
      <c r="A316" s="12"/>
      <c r="B316" s="1"/>
      <c r="E316" s="1"/>
      <c r="F316" s="1"/>
    </row>
    <row r="317" spans="1:6" x14ac:dyDescent="0.25">
      <c r="A317" s="12"/>
      <c r="B317" s="1"/>
      <c r="E317" s="1"/>
      <c r="F317" s="1"/>
    </row>
    <row r="318" spans="1:6" x14ac:dyDescent="0.25">
      <c r="A318" s="12"/>
      <c r="B318" s="1"/>
      <c r="E318" s="1"/>
      <c r="F318" s="1"/>
    </row>
    <row r="319" spans="1:6" x14ac:dyDescent="0.25">
      <c r="A319" s="12"/>
      <c r="B319" s="1"/>
      <c r="E319" s="1"/>
      <c r="F319" s="1"/>
    </row>
    <row r="320" spans="1:6" x14ac:dyDescent="0.25">
      <c r="A320" s="12"/>
      <c r="B320" s="1"/>
      <c r="E320" s="1"/>
      <c r="F320" s="1"/>
    </row>
    <row r="321" spans="1:6" x14ac:dyDescent="0.25">
      <c r="A321" s="12"/>
      <c r="B321" s="1"/>
      <c r="E321" s="1"/>
      <c r="F321" s="1"/>
    </row>
    <row r="322" spans="1:6" x14ac:dyDescent="0.25">
      <c r="A322" s="12"/>
      <c r="B322" s="1"/>
      <c r="E322" s="1"/>
      <c r="F322" s="1"/>
    </row>
    <row r="323" spans="1:6" x14ac:dyDescent="0.25">
      <c r="A323" s="12"/>
      <c r="B323" s="1"/>
      <c r="E323" s="1"/>
      <c r="F323" s="1"/>
    </row>
    <row r="324" spans="1:6" x14ac:dyDescent="0.25">
      <c r="A324" s="12"/>
      <c r="B324" s="1"/>
      <c r="E324" s="1"/>
      <c r="F324" s="1"/>
    </row>
    <row r="325" spans="1:6" x14ac:dyDescent="0.25">
      <c r="A325" s="12"/>
      <c r="B325" s="1"/>
      <c r="E325" s="1"/>
      <c r="F325" s="1"/>
    </row>
    <row r="326" spans="1:6" x14ac:dyDescent="0.25">
      <c r="A326" s="12"/>
      <c r="B326" s="1"/>
      <c r="E326" s="1"/>
      <c r="F326" s="1"/>
    </row>
    <row r="327" spans="1:6" x14ac:dyDescent="0.25">
      <c r="A327" s="12"/>
      <c r="B327" s="1"/>
      <c r="E327" s="1"/>
      <c r="F327" s="1"/>
    </row>
    <row r="328" spans="1:6" x14ac:dyDescent="0.25">
      <c r="A328" s="12"/>
      <c r="B328" s="1"/>
      <c r="E328" s="1"/>
      <c r="F328" s="1"/>
    </row>
    <row r="329" spans="1:6" x14ac:dyDescent="0.25">
      <c r="A329" s="12"/>
      <c r="B329" s="1"/>
      <c r="E329" s="1"/>
      <c r="F329" s="1"/>
    </row>
    <row r="330" spans="1:6" x14ac:dyDescent="0.25">
      <c r="A330" s="12"/>
      <c r="B330" s="1"/>
      <c r="E330" s="1"/>
      <c r="F330" s="1"/>
    </row>
    <row r="331" spans="1:6" x14ac:dyDescent="0.25">
      <c r="A331" s="12"/>
      <c r="B331" s="1"/>
      <c r="E331" s="1"/>
      <c r="F331" s="1"/>
    </row>
    <row r="332" spans="1:6" x14ac:dyDescent="0.25">
      <c r="A332" s="12"/>
      <c r="B332" s="1"/>
      <c r="E332" s="1"/>
      <c r="F332" s="1"/>
    </row>
    <row r="333" spans="1:6" x14ac:dyDescent="0.25">
      <c r="A333" s="12"/>
      <c r="B333" s="1"/>
      <c r="E333" s="1"/>
      <c r="F333" s="1"/>
    </row>
    <row r="334" spans="1:6" x14ac:dyDescent="0.25">
      <c r="A334" s="12"/>
      <c r="B334" s="1"/>
      <c r="E334" s="1"/>
      <c r="F334" s="1"/>
    </row>
    <row r="335" spans="1:6" x14ac:dyDescent="0.25">
      <c r="A335" s="12"/>
      <c r="B335" s="1"/>
      <c r="E335" s="1"/>
      <c r="F335" s="1"/>
    </row>
    <row r="336" spans="1:6" x14ac:dyDescent="0.25">
      <c r="A336" s="12"/>
      <c r="B336" s="1"/>
      <c r="E336" s="1"/>
      <c r="F336" s="1"/>
    </row>
    <row r="337" spans="1:6" x14ac:dyDescent="0.25">
      <c r="A337" s="12"/>
      <c r="B337" s="1"/>
      <c r="E337" s="1"/>
      <c r="F337" s="1"/>
    </row>
    <row r="338" spans="1:6" x14ac:dyDescent="0.25">
      <c r="A338" s="12"/>
      <c r="B338" s="1"/>
      <c r="E338" s="1"/>
      <c r="F338" s="1"/>
    </row>
    <row r="339" spans="1:6" x14ac:dyDescent="0.25">
      <c r="A339" s="12"/>
      <c r="B339" s="1"/>
      <c r="E339" s="1"/>
      <c r="F339" s="1"/>
    </row>
    <row r="340" spans="1:6" x14ac:dyDescent="0.25">
      <c r="A340" s="12"/>
      <c r="B340" s="1"/>
      <c r="E340" s="1"/>
      <c r="F340" s="1"/>
    </row>
    <row r="341" spans="1:6" x14ac:dyDescent="0.25">
      <c r="A341" s="12"/>
      <c r="B341" s="1"/>
      <c r="E341" s="1"/>
      <c r="F341" s="1"/>
    </row>
    <row r="342" spans="1:6" x14ac:dyDescent="0.25">
      <c r="A342" s="12"/>
      <c r="B342" s="1"/>
      <c r="E342" s="1"/>
      <c r="F342" s="1"/>
    </row>
    <row r="343" spans="1:6" x14ac:dyDescent="0.25">
      <c r="A343" s="12"/>
      <c r="B343" s="1"/>
      <c r="E343" s="1"/>
      <c r="F343" s="1"/>
    </row>
    <row r="344" spans="1:6" x14ac:dyDescent="0.25">
      <c r="A344" s="12"/>
      <c r="B344" s="1"/>
      <c r="E344" s="1"/>
      <c r="F344" s="1"/>
    </row>
    <row r="345" spans="1:6" x14ac:dyDescent="0.25">
      <c r="A345" s="12"/>
      <c r="B345" s="1"/>
      <c r="E345" s="1"/>
      <c r="F345" s="1"/>
    </row>
    <row r="346" spans="1:6" x14ac:dyDescent="0.25">
      <c r="A346" s="12"/>
      <c r="B346" s="1"/>
      <c r="E346" s="1"/>
      <c r="F346" s="1"/>
    </row>
    <row r="347" spans="1:6" x14ac:dyDescent="0.25">
      <c r="A347" s="12"/>
      <c r="B347" s="1"/>
      <c r="E347" s="1"/>
      <c r="F347" s="1"/>
    </row>
    <row r="348" spans="1:6" x14ac:dyDescent="0.25">
      <c r="A348" s="12"/>
      <c r="B348" s="1"/>
      <c r="E348" s="1"/>
      <c r="F348" s="1"/>
    </row>
    <row r="349" spans="1:6" x14ac:dyDescent="0.25">
      <c r="A349" s="12"/>
      <c r="B349" s="1"/>
      <c r="E349" s="1"/>
      <c r="F349" s="1"/>
    </row>
    <row r="350" spans="1:6" x14ac:dyDescent="0.25">
      <c r="A350" s="12"/>
      <c r="B350" s="1"/>
      <c r="E350" s="1"/>
      <c r="F350" s="1"/>
    </row>
    <row r="351" spans="1:6" x14ac:dyDescent="0.25">
      <c r="A351" s="12"/>
      <c r="B351" s="1"/>
      <c r="E351" s="1"/>
      <c r="F351" s="1"/>
    </row>
    <row r="352" spans="1:6" x14ac:dyDescent="0.25">
      <c r="A352" s="12"/>
      <c r="B352" s="1"/>
      <c r="E352" s="1"/>
      <c r="F352" s="1"/>
    </row>
    <row r="353" spans="1:6" x14ac:dyDescent="0.25">
      <c r="A353" s="12"/>
      <c r="B353" s="1"/>
      <c r="E353" s="1"/>
      <c r="F353" s="1"/>
    </row>
    <row r="354" spans="1:6" x14ac:dyDescent="0.25">
      <c r="A354" s="12"/>
      <c r="B354" s="1"/>
      <c r="E354" s="1"/>
      <c r="F354" s="1"/>
    </row>
    <row r="355" spans="1:6" x14ac:dyDescent="0.25">
      <c r="A355" s="12"/>
      <c r="B355" s="1"/>
      <c r="E355" s="1"/>
      <c r="F355" s="1"/>
    </row>
    <row r="356" spans="1:6" x14ac:dyDescent="0.25">
      <c r="A356" s="12"/>
      <c r="B356" s="1"/>
      <c r="E356" s="1"/>
      <c r="F356" s="1"/>
    </row>
    <row r="357" spans="1:6" x14ac:dyDescent="0.25">
      <c r="A357" s="12"/>
      <c r="B357" s="1"/>
      <c r="E357" s="1"/>
      <c r="F357" s="1"/>
    </row>
    <row r="358" spans="1:6" x14ac:dyDescent="0.25">
      <c r="A358" s="12"/>
      <c r="B358" s="1"/>
      <c r="E358" s="1"/>
      <c r="F358" s="1"/>
    </row>
    <row r="359" spans="1:6" x14ac:dyDescent="0.25">
      <c r="A359" s="12"/>
      <c r="B359" s="1"/>
      <c r="E359" s="1"/>
      <c r="F359" s="1"/>
    </row>
    <row r="360" spans="1:6" x14ac:dyDescent="0.25">
      <c r="A360" s="12"/>
      <c r="B360" s="1"/>
      <c r="E360" s="1"/>
      <c r="F360" s="1"/>
    </row>
    <row r="361" spans="1:6" x14ac:dyDescent="0.25">
      <c r="A361" s="12"/>
      <c r="B361" s="1"/>
      <c r="E361" s="1"/>
      <c r="F361" s="1"/>
    </row>
    <row r="362" spans="1:6" x14ac:dyDescent="0.25">
      <c r="A362" s="12"/>
      <c r="B362" s="1"/>
      <c r="E362" s="1"/>
      <c r="F362" s="1"/>
    </row>
    <row r="363" spans="1:6" x14ac:dyDescent="0.25">
      <c r="A363" s="12"/>
      <c r="B363" s="1"/>
      <c r="E363" s="1"/>
      <c r="F363" s="1"/>
    </row>
    <row r="364" spans="1:6" x14ac:dyDescent="0.25">
      <c r="A364" s="12"/>
      <c r="B364" s="1"/>
      <c r="E364" s="1"/>
      <c r="F364" s="1"/>
    </row>
    <row r="365" spans="1:6" x14ac:dyDescent="0.25">
      <c r="A365" s="12"/>
      <c r="B365" s="1"/>
      <c r="E365" s="1"/>
      <c r="F365" s="1"/>
    </row>
    <row r="366" spans="1:6" x14ac:dyDescent="0.25">
      <c r="A366" s="12"/>
      <c r="B366" s="1"/>
      <c r="E366" s="1"/>
      <c r="F366" s="1"/>
    </row>
    <row r="367" spans="1:6" x14ac:dyDescent="0.25">
      <c r="A367" s="12"/>
      <c r="B367" s="1"/>
      <c r="E367" s="1"/>
      <c r="F367" s="1"/>
    </row>
    <row r="368" spans="1:6" x14ac:dyDescent="0.25">
      <c r="A368" s="12"/>
      <c r="B368" s="1"/>
      <c r="E368" s="1"/>
      <c r="F368" s="1"/>
    </row>
    <row r="369" spans="1:6" x14ac:dyDescent="0.25">
      <c r="A369" s="12"/>
      <c r="B369" s="1"/>
      <c r="E369" s="1"/>
      <c r="F369" s="1"/>
    </row>
    <row r="370" spans="1:6" x14ac:dyDescent="0.25">
      <c r="A370" s="12"/>
      <c r="B370" s="1"/>
      <c r="E370" s="1"/>
      <c r="F370" s="1"/>
    </row>
    <row r="371" spans="1:6" x14ac:dyDescent="0.25">
      <c r="A371" s="12"/>
      <c r="B371" s="1"/>
      <c r="E371" s="1"/>
      <c r="F371" s="1"/>
    </row>
    <row r="372" spans="1:6" x14ac:dyDescent="0.25">
      <c r="A372" s="12"/>
      <c r="B372" s="1"/>
      <c r="E372" s="1"/>
      <c r="F372" s="1"/>
    </row>
    <row r="373" spans="1:6" x14ac:dyDescent="0.25">
      <c r="A373" s="12"/>
      <c r="B373" s="1"/>
      <c r="E373" s="1"/>
      <c r="F373" s="1"/>
    </row>
    <row r="374" spans="1:6" x14ac:dyDescent="0.25">
      <c r="A374" s="12"/>
      <c r="B374" s="1"/>
      <c r="E374" s="1"/>
      <c r="F374" s="1"/>
    </row>
    <row r="375" spans="1:6" x14ac:dyDescent="0.25">
      <c r="A375" s="12"/>
      <c r="B375" s="1"/>
      <c r="E375" s="1"/>
      <c r="F375" s="1"/>
    </row>
    <row r="376" spans="1:6" x14ac:dyDescent="0.25">
      <c r="A376" s="12"/>
      <c r="B376" s="1"/>
      <c r="E376" s="1"/>
      <c r="F376" s="1"/>
    </row>
    <row r="377" spans="1:6" x14ac:dyDescent="0.25">
      <c r="A377" s="12"/>
      <c r="B377" s="1"/>
      <c r="E377" s="1"/>
      <c r="F377" s="1"/>
    </row>
    <row r="378" spans="1:6" x14ac:dyDescent="0.25">
      <c r="A378" s="12"/>
      <c r="B378" s="1"/>
      <c r="E378" s="1"/>
      <c r="F378" s="1"/>
    </row>
    <row r="379" spans="1:6" x14ac:dyDescent="0.25">
      <c r="A379" s="12"/>
      <c r="B379" s="1"/>
      <c r="E379" s="1"/>
      <c r="F379" s="1"/>
    </row>
    <row r="380" spans="1:6" x14ac:dyDescent="0.25">
      <c r="A380" s="12"/>
      <c r="B380" s="1"/>
      <c r="E380" s="1"/>
      <c r="F380" s="1"/>
    </row>
    <row r="381" spans="1:6" x14ac:dyDescent="0.25">
      <c r="A381" s="12"/>
      <c r="B381" s="1"/>
      <c r="E381" s="1"/>
      <c r="F381" s="1"/>
    </row>
    <row r="382" spans="1:6" x14ac:dyDescent="0.25">
      <c r="A382" s="12"/>
      <c r="B382" s="1"/>
      <c r="E382" s="1"/>
      <c r="F382" s="1"/>
    </row>
    <row r="383" spans="1:6" x14ac:dyDescent="0.25">
      <c r="A383" s="12"/>
      <c r="B383" s="1"/>
      <c r="E383" s="1"/>
      <c r="F383" s="1"/>
    </row>
    <row r="384" spans="1:6" x14ac:dyDescent="0.25">
      <c r="A384" s="12"/>
      <c r="B384" s="1"/>
      <c r="E384" s="1"/>
      <c r="F384" s="1"/>
    </row>
    <row r="385" spans="1:6" x14ac:dyDescent="0.25">
      <c r="A385" s="12"/>
      <c r="B385" s="1"/>
      <c r="E385" s="1"/>
      <c r="F385" s="1"/>
    </row>
    <row r="386" spans="1:6" x14ac:dyDescent="0.25">
      <c r="A386" s="12"/>
      <c r="B386" s="1"/>
      <c r="E386" s="1"/>
      <c r="F386" s="1"/>
    </row>
    <row r="387" spans="1:6" x14ac:dyDescent="0.25">
      <c r="A387" s="12"/>
      <c r="B387" s="1"/>
      <c r="E387" s="1"/>
      <c r="F387" s="1"/>
    </row>
    <row r="388" spans="1:6" x14ac:dyDescent="0.25">
      <c r="A388" s="12"/>
      <c r="B388" s="1"/>
      <c r="E388" s="1"/>
      <c r="F388" s="1"/>
    </row>
    <row r="389" spans="1:6" x14ac:dyDescent="0.25">
      <c r="A389" s="12"/>
      <c r="B389" s="1"/>
      <c r="E389" s="1"/>
      <c r="F389" s="1"/>
    </row>
    <row r="390" spans="1:6" x14ac:dyDescent="0.25">
      <c r="A390" s="12"/>
      <c r="B390" s="1"/>
      <c r="E390" s="1"/>
      <c r="F390" s="1"/>
    </row>
    <row r="391" spans="1:6" x14ac:dyDescent="0.25">
      <c r="A391" s="12"/>
      <c r="B391" s="1"/>
      <c r="E391" s="1"/>
      <c r="F391" s="1"/>
    </row>
    <row r="392" spans="1:6" x14ac:dyDescent="0.25">
      <c r="A392" s="12"/>
      <c r="B392" s="1"/>
      <c r="E392" s="1"/>
      <c r="F392" s="1"/>
    </row>
    <row r="393" spans="1:6" x14ac:dyDescent="0.25">
      <c r="A393" s="12"/>
      <c r="B393" s="1"/>
      <c r="E393" s="1"/>
      <c r="F393" s="1"/>
    </row>
    <row r="394" spans="1:6" x14ac:dyDescent="0.25">
      <c r="A394" s="12"/>
      <c r="B394" s="1"/>
      <c r="E394" s="1"/>
      <c r="F394" s="1"/>
    </row>
    <row r="395" spans="1:6" x14ac:dyDescent="0.25">
      <c r="A395" s="12"/>
      <c r="B395" s="1"/>
      <c r="E395" s="1"/>
      <c r="F395" s="1"/>
    </row>
    <row r="396" spans="1:6" x14ac:dyDescent="0.25">
      <c r="A396" s="12"/>
      <c r="B396" s="1"/>
      <c r="E396" s="1"/>
      <c r="F396" s="1"/>
    </row>
    <row r="397" spans="1:6" x14ac:dyDescent="0.25">
      <c r="A397" s="12"/>
      <c r="B397" s="1"/>
      <c r="E397" s="1"/>
      <c r="F397" s="1"/>
    </row>
    <row r="398" spans="1:6" x14ac:dyDescent="0.25">
      <c r="A398" s="12"/>
      <c r="B398" s="1"/>
      <c r="E398" s="1"/>
      <c r="F398" s="1"/>
    </row>
    <row r="399" spans="1:6" x14ac:dyDescent="0.25">
      <c r="A399" s="12"/>
      <c r="B399" s="1"/>
      <c r="E399" s="1"/>
      <c r="F399" s="1"/>
    </row>
    <row r="400" spans="1:6" x14ac:dyDescent="0.25">
      <c r="A400" s="12"/>
      <c r="B400" s="1"/>
      <c r="E400" s="1"/>
      <c r="F400" s="1"/>
    </row>
    <row r="401" spans="1:6" x14ac:dyDescent="0.25">
      <c r="A401" s="12"/>
      <c r="B401" s="1"/>
      <c r="E401" s="1"/>
      <c r="F401" s="1"/>
    </row>
    <row r="402" spans="1:6" x14ac:dyDescent="0.25">
      <c r="A402" s="12"/>
      <c r="B402" s="1"/>
      <c r="E402" s="1"/>
      <c r="F402" s="1"/>
    </row>
    <row r="403" spans="1:6" x14ac:dyDescent="0.25">
      <c r="A403" s="12"/>
      <c r="B403" s="1"/>
      <c r="E403" s="1"/>
      <c r="F403" s="1"/>
    </row>
    <row r="404" spans="1:6" x14ac:dyDescent="0.25">
      <c r="A404" s="12"/>
      <c r="B404" s="1"/>
      <c r="E404" s="1"/>
      <c r="F404" s="1"/>
    </row>
    <row r="405" spans="1:6" x14ac:dyDescent="0.25">
      <c r="A405" s="12"/>
      <c r="B405" s="1"/>
      <c r="E405" s="1"/>
      <c r="F405" s="1"/>
    </row>
    <row r="406" spans="1:6" x14ac:dyDescent="0.25">
      <c r="A406" s="12"/>
      <c r="B406" s="1"/>
      <c r="E406" s="1"/>
      <c r="F406" s="1"/>
    </row>
    <row r="407" spans="1:6" x14ac:dyDescent="0.25">
      <c r="A407" s="12"/>
      <c r="B407" s="1"/>
      <c r="E407" s="1"/>
      <c r="F407" s="1"/>
    </row>
    <row r="408" spans="1:6" x14ac:dyDescent="0.25">
      <c r="A408" s="12"/>
      <c r="B408" s="1"/>
      <c r="E408" s="1"/>
      <c r="F408" s="1"/>
    </row>
    <row r="409" spans="1:6" x14ac:dyDescent="0.25">
      <c r="A409" s="12"/>
      <c r="B409" s="1"/>
      <c r="E409" s="1"/>
      <c r="F409" s="1"/>
    </row>
    <row r="410" spans="1:6" x14ac:dyDescent="0.25">
      <c r="A410" s="12"/>
      <c r="B410" s="1"/>
      <c r="E410" s="1"/>
      <c r="F410" s="1"/>
    </row>
    <row r="411" spans="1:6" x14ac:dyDescent="0.25">
      <c r="A411" s="12"/>
      <c r="B411" s="1"/>
      <c r="E411" s="1"/>
      <c r="F411" s="1"/>
    </row>
    <row r="412" spans="1:6" x14ac:dyDescent="0.25">
      <c r="A412" s="12"/>
      <c r="B412" s="1"/>
      <c r="E412" s="1"/>
      <c r="F412" s="1"/>
    </row>
    <row r="413" spans="1:6" x14ac:dyDescent="0.25">
      <c r="A413" s="12"/>
      <c r="B413" s="1"/>
      <c r="E413" s="1"/>
      <c r="F413" s="1"/>
    </row>
    <row r="414" spans="1:6" x14ac:dyDescent="0.25">
      <c r="A414" s="12"/>
      <c r="B414" s="1"/>
      <c r="E414" s="1"/>
      <c r="F414" s="1"/>
    </row>
    <row r="415" spans="1:6" x14ac:dyDescent="0.25">
      <c r="A415" s="12"/>
      <c r="B415" s="1"/>
      <c r="E415" s="1"/>
      <c r="F415" s="1"/>
    </row>
    <row r="416" spans="1:6" x14ac:dyDescent="0.25">
      <c r="A416" s="12"/>
      <c r="B416" s="1"/>
      <c r="E416" s="1"/>
      <c r="F416" s="1"/>
    </row>
    <row r="417" spans="1:6" x14ac:dyDescent="0.25">
      <c r="A417" s="12"/>
      <c r="B417" s="1"/>
      <c r="E417" s="1"/>
      <c r="F417" s="1"/>
    </row>
    <row r="418" spans="1:6" x14ac:dyDescent="0.25">
      <c r="A418" s="12"/>
      <c r="B418" s="1"/>
      <c r="E418" s="1"/>
      <c r="F418" s="1"/>
    </row>
    <row r="419" spans="1:6" x14ac:dyDescent="0.25">
      <c r="A419" s="12"/>
      <c r="B419" s="1"/>
      <c r="E419" s="1"/>
      <c r="F419" s="1"/>
    </row>
    <row r="420" spans="1:6" x14ac:dyDescent="0.25">
      <c r="A420" s="12"/>
      <c r="B420" s="1"/>
      <c r="E420" s="1"/>
      <c r="F420" s="1"/>
    </row>
    <row r="421" spans="1:6" x14ac:dyDescent="0.25">
      <c r="A421" s="12"/>
      <c r="B421" s="1"/>
      <c r="E421" s="1"/>
      <c r="F421" s="1"/>
    </row>
    <row r="422" spans="1:6" x14ac:dyDescent="0.25">
      <c r="A422" s="12"/>
      <c r="B422" s="1"/>
      <c r="E422" s="1"/>
      <c r="F422" s="1"/>
    </row>
    <row r="423" spans="1:6" x14ac:dyDescent="0.25">
      <c r="A423" s="12"/>
      <c r="B423" s="1"/>
      <c r="E423" s="1"/>
      <c r="F423" s="1"/>
    </row>
    <row r="424" spans="1:6" x14ac:dyDescent="0.25">
      <c r="A424" s="12"/>
      <c r="B424" s="1"/>
      <c r="E424" s="1"/>
      <c r="F424" s="1"/>
    </row>
    <row r="425" spans="1:6" x14ac:dyDescent="0.25">
      <c r="A425" s="12"/>
      <c r="B425" s="1"/>
      <c r="E425" s="1"/>
      <c r="F425" s="1"/>
    </row>
    <row r="426" spans="1:6" x14ac:dyDescent="0.25">
      <c r="A426" s="12"/>
      <c r="B426" s="1"/>
      <c r="E426" s="1"/>
      <c r="F426" s="1"/>
    </row>
    <row r="427" spans="1:6" x14ac:dyDescent="0.25">
      <c r="A427" s="12"/>
      <c r="B427" s="1"/>
      <c r="E427" s="1"/>
      <c r="F427" s="1"/>
    </row>
    <row r="428" spans="1:6" x14ac:dyDescent="0.25">
      <c r="A428" s="12"/>
      <c r="B428" s="1"/>
      <c r="E428" s="1"/>
      <c r="F428" s="1"/>
    </row>
    <row r="429" spans="1:6" x14ac:dyDescent="0.25">
      <c r="A429" s="12"/>
      <c r="B429" s="1"/>
      <c r="E429" s="1"/>
      <c r="F429" s="1"/>
    </row>
    <row r="430" spans="1:6" x14ac:dyDescent="0.25">
      <c r="A430" s="12"/>
      <c r="B430" s="1"/>
      <c r="E430" s="1"/>
      <c r="F430" s="1"/>
    </row>
    <row r="431" spans="1:6" x14ac:dyDescent="0.25">
      <c r="A431" s="12"/>
      <c r="B431" s="1"/>
      <c r="E431" s="1"/>
      <c r="F431" s="1"/>
    </row>
    <row r="432" spans="1:6" x14ac:dyDescent="0.25">
      <c r="A432" s="12"/>
      <c r="B432" s="1"/>
      <c r="E432" s="1"/>
      <c r="F432" s="1"/>
    </row>
    <row r="433" spans="1:6" x14ac:dyDescent="0.25">
      <c r="A433" s="12"/>
      <c r="B433" s="1"/>
      <c r="E433" s="1"/>
      <c r="F433" s="1"/>
    </row>
    <row r="434" spans="1:6" x14ac:dyDescent="0.25">
      <c r="A434" s="12"/>
      <c r="B434" s="1"/>
      <c r="E434" s="1"/>
      <c r="F434" s="1"/>
    </row>
    <row r="435" spans="1:6" x14ac:dyDescent="0.25">
      <c r="A435" s="12"/>
      <c r="B435" s="1"/>
      <c r="E435" s="1"/>
      <c r="F435" s="1"/>
    </row>
    <row r="436" spans="1:6" x14ac:dyDescent="0.25">
      <c r="A436" s="12"/>
      <c r="B436" s="1"/>
      <c r="E436" s="1"/>
      <c r="F436" s="1"/>
    </row>
    <row r="437" spans="1:6" x14ac:dyDescent="0.25">
      <c r="A437" s="12"/>
      <c r="B437" s="1"/>
      <c r="E437" s="1"/>
      <c r="F437" s="1"/>
    </row>
    <row r="438" spans="1:6" x14ac:dyDescent="0.25">
      <c r="A438" s="12"/>
      <c r="B438" s="1"/>
      <c r="E438" s="1"/>
      <c r="F438" s="1"/>
    </row>
    <row r="439" spans="1:6" x14ac:dyDescent="0.25">
      <c r="A439" s="12"/>
      <c r="B439" s="1"/>
      <c r="E439" s="1"/>
      <c r="F439" s="1"/>
    </row>
    <row r="440" spans="1:6" x14ac:dyDescent="0.25">
      <c r="A440" s="12"/>
      <c r="B440" s="1"/>
      <c r="E440" s="1"/>
      <c r="F440" s="1"/>
    </row>
    <row r="441" spans="1:6" x14ac:dyDescent="0.25">
      <c r="A441" s="12"/>
      <c r="B441" s="1"/>
      <c r="E441" s="1"/>
      <c r="F441" s="1"/>
    </row>
    <row r="442" spans="1:6" x14ac:dyDescent="0.25">
      <c r="A442" s="12"/>
      <c r="B442" s="1"/>
      <c r="E442" s="1"/>
      <c r="F442" s="1"/>
    </row>
    <row r="443" spans="1:6" x14ac:dyDescent="0.25">
      <c r="A443" s="12"/>
      <c r="B443" s="1"/>
      <c r="E443" s="1"/>
      <c r="F443" s="1"/>
    </row>
    <row r="444" spans="1:6" x14ac:dyDescent="0.25">
      <c r="A444" s="12"/>
      <c r="B444" s="1"/>
      <c r="E444" s="1"/>
      <c r="F444" s="1"/>
    </row>
    <row r="445" spans="1:6" x14ac:dyDescent="0.25">
      <c r="A445" s="12"/>
      <c r="B445" s="1"/>
      <c r="E445" s="1"/>
      <c r="F445" s="1"/>
    </row>
    <row r="446" spans="1:6" x14ac:dyDescent="0.25">
      <c r="A446" s="12"/>
      <c r="B446" s="1"/>
      <c r="E446" s="1"/>
      <c r="F446" s="1"/>
    </row>
    <row r="447" spans="1:6" x14ac:dyDescent="0.25">
      <c r="A447" s="12"/>
      <c r="B447" s="1"/>
      <c r="E447" s="1"/>
      <c r="F447" s="1"/>
    </row>
    <row r="448" spans="1:6" x14ac:dyDescent="0.25">
      <c r="A448" s="12"/>
      <c r="B448" s="1"/>
      <c r="E448" s="1"/>
      <c r="F448" s="1"/>
    </row>
    <row r="449" spans="1:6" x14ac:dyDescent="0.25">
      <c r="A449" s="12"/>
      <c r="B449" s="1"/>
      <c r="E449" s="1"/>
      <c r="F449" s="1"/>
    </row>
    <row r="450" spans="1:6" x14ac:dyDescent="0.25">
      <c r="A450" s="12"/>
      <c r="B450" s="1"/>
      <c r="E450" s="1"/>
      <c r="F450" s="1"/>
    </row>
    <row r="451" spans="1:6" x14ac:dyDescent="0.25">
      <c r="A451" s="12"/>
      <c r="B451" s="1"/>
      <c r="E451" s="1"/>
      <c r="F451" s="1"/>
    </row>
    <row r="452" spans="1:6" x14ac:dyDescent="0.25">
      <c r="A452" s="12"/>
      <c r="B452" s="1"/>
      <c r="E452" s="1"/>
      <c r="F452" s="1"/>
    </row>
    <row r="453" spans="1:6" x14ac:dyDescent="0.25">
      <c r="A453" s="12"/>
      <c r="B453" s="1"/>
      <c r="E453" s="1"/>
      <c r="F453" s="1"/>
    </row>
    <row r="454" spans="1:6" x14ac:dyDescent="0.25">
      <c r="A454" s="12"/>
      <c r="B454" s="1"/>
      <c r="E454" s="1"/>
      <c r="F454" s="1"/>
    </row>
    <row r="455" spans="1:6" x14ac:dyDescent="0.25">
      <c r="A455" s="12"/>
      <c r="B455" s="1"/>
      <c r="E455" s="1"/>
      <c r="F455" s="1"/>
    </row>
    <row r="456" spans="1:6" x14ac:dyDescent="0.25">
      <c r="A456" s="12"/>
      <c r="B456" s="1"/>
      <c r="E456" s="1"/>
      <c r="F456" s="1"/>
    </row>
    <row r="457" spans="1:6" x14ac:dyDescent="0.25">
      <c r="A457" s="12"/>
      <c r="B457" s="1"/>
      <c r="E457" s="1"/>
      <c r="F457" s="1"/>
    </row>
    <row r="458" spans="1:6" x14ac:dyDescent="0.25">
      <c r="A458" s="12"/>
      <c r="B458" s="1"/>
      <c r="E458" s="1"/>
      <c r="F458" s="1"/>
    </row>
    <row r="459" spans="1:6" x14ac:dyDescent="0.25">
      <c r="A459" s="12"/>
      <c r="B459" s="1"/>
      <c r="E459" s="1"/>
      <c r="F459" s="1"/>
    </row>
    <row r="460" spans="1:6" x14ac:dyDescent="0.25">
      <c r="A460" s="12"/>
      <c r="B460" s="1"/>
      <c r="E460" s="1"/>
      <c r="F460" s="1"/>
    </row>
    <row r="461" spans="1:6" x14ac:dyDescent="0.25">
      <c r="A461" s="12"/>
      <c r="B461" s="1"/>
      <c r="E461" s="1"/>
      <c r="F461" s="1"/>
    </row>
    <row r="462" spans="1:6" x14ac:dyDescent="0.25">
      <c r="A462" s="12"/>
      <c r="B462" s="1"/>
      <c r="E462" s="1"/>
      <c r="F462" s="1"/>
    </row>
    <row r="463" spans="1:6" x14ac:dyDescent="0.25">
      <c r="A463" s="12"/>
      <c r="B463" s="1"/>
      <c r="E463" s="1"/>
      <c r="F463" s="1"/>
    </row>
    <row r="464" spans="1:6" x14ac:dyDescent="0.25">
      <c r="A464" s="12"/>
      <c r="B464" s="1"/>
      <c r="E464" s="1"/>
      <c r="F464" s="1"/>
    </row>
    <row r="465" spans="1:6" x14ac:dyDescent="0.25">
      <c r="A465" s="12"/>
      <c r="B465" s="1"/>
      <c r="E465" s="1"/>
      <c r="F465" s="1"/>
    </row>
    <row r="466" spans="1:6" x14ac:dyDescent="0.25">
      <c r="A466" s="12"/>
      <c r="B466" s="1"/>
      <c r="E466" s="1"/>
      <c r="F466" s="1"/>
    </row>
    <row r="467" spans="1:6" x14ac:dyDescent="0.25">
      <c r="A467" s="12"/>
      <c r="B467" s="1"/>
      <c r="E467" s="1"/>
      <c r="F467" s="1"/>
    </row>
    <row r="468" spans="1:6" x14ac:dyDescent="0.25">
      <c r="A468" s="12"/>
      <c r="B468" s="1"/>
      <c r="E468" s="1"/>
      <c r="F468" s="1"/>
    </row>
    <row r="469" spans="1:6" x14ac:dyDescent="0.25">
      <c r="A469" s="12"/>
      <c r="B469" s="1"/>
      <c r="E469" s="1"/>
      <c r="F469" s="1"/>
    </row>
    <row r="470" spans="1:6" x14ac:dyDescent="0.25">
      <c r="A470" s="12"/>
      <c r="B470" s="1"/>
      <c r="E470" s="1"/>
      <c r="F470" s="1"/>
    </row>
    <row r="471" spans="1:6" x14ac:dyDescent="0.25">
      <c r="A471" s="12"/>
      <c r="B471" s="1"/>
      <c r="E471" s="1"/>
      <c r="F471" s="1"/>
    </row>
    <row r="472" spans="1:6" x14ac:dyDescent="0.25">
      <c r="A472" s="12"/>
      <c r="B472" s="1"/>
      <c r="E472" s="1"/>
      <c r="F472" s="1"/>
    </row>
    <row r="473" spans="1:6" x14ac:dyDescent="0.25">
      <c r="A473" s="12"/>
      <c r="B473" s="1"/>
      <c r="E473" s="1"/>
      <c r="F473" s="1"/>
    </row>
    <row r="474" spans="1:6" x14ac:dyDescent="0.25">
      <c r="A474" s="12"/>
      <c r="B474" s="1"/>
      <c r="E474" s="1"/>
      <c r="F474" s="1"/>
    </row>
    <row r="475" spans="1:6" x14ac:dyDescent="0.25">
      <c r="A475" s="12"/>
      <c r="B475" s="1"/>
      <c r="E475" s="1"/>
      <c r="F475" s="1"/>
    </row>
    <row r="476" spans="1:6" x14ac:dyDescent="0.25">
      <c r="A476" s="12"/>
      <c r="B476" s="1"/>
      <c r="E476" s="1"/>
      <c r="F476" s="1"/>
    </row>
    <row r="477" spans="1:6" x14ac:dyDescent="0.25">
      <c r="A477" s="12"/>
      <c r="B477" s="1"/>
      <c r="E477" s="1"/>
      <c r="F477" s="1"/>
    </row>
    <row r="478" spans="1:6" x14ac:dyDescent="0.25">
      <c r="A478" s="12"/>
      <c r="B478" s="1"/>
      <c r="E478" s="1"/>
      <c r="F478" s="1"/>
    </row>
    <row r="479" spans="1:6" x14ac:dyDescent="0.25">
      <c r="A479" s="12"/>
      <c r="B479" s="1"/>
      <c r="E479" s="1"/>
      <c r="F479" s="1"/>
    </row>
    <row r="480" spans="1:6" x14ac:dyDescent="0.25">
      <c r="A480" s="12"/>
      <c r="B480" s="1"/>
      <c r="E480" s="1"/>
      <c r="F480" s="1"/>
    </row>
    <row r="481" spans="1:6" x14ac:dyDescent="0.25">
      <c r="A481" s="12"/>
      <c r="B481" s="1"/>
      <c r="E481" s="1"/>
      <c r="F481" s="1"/>
    </row>
    <row r="482" spans="1:6" x14ac:dyDescent="0.25">
      <c r="A482" s="12"/>
      <c r="B482" s="1"/>
      <c r="E482" s="1"/>
      <c r="F482" s="1"/>
    </row>
    <row r="483" spans="1:6" x14ac:dyDescent="0.25">
      <c r="A483" s="12"/>
      <c r="B483" s="1"/>
      <c r="E483" s="1"/>
      <c r="F483" s="1"/>
    </row>
    <row r="484" spans="1:6" x14ac:dyDescent="0.25">
      <c r="A484" s="12"/>
      <c r="B484" s="1"/>
      <c r="E484" s="1"/>
      <c r="F484" s="1"/>
    </row>
    <row r="485" spans="1:6" x14ac:dyDescent="0.25">
      <c r="A485" s="12"/>
      <c r="B485" s="1"/>
      <c r="E485" s="1"/>
      <c r="F485" s="1"/>
    </row>
    <row r="486" spans="1:6" x14ac:dyDescent="0.25">
      <c r="A486" s="12"/>
      <c r="B486" s="1"/>
      <c r="E486" s="1"/>
      <c r="F486" s="1"/>
    </row>
    <row r="487" spans="1:6" x14ac:dyDescent="0.25">
      <c r="A487" s="12"/>
      <c r="B487" s="1"/>
      <c r="E487" s="1"/>
      <c r="F487" s="1"/>
    </row>
    <row r="488" spans="1:6" x14ac:dyDescent="0.25">
      <c r="A488" s="12"/>
      <c r="B488" s="1"/>
      <c r="E488" s="1"/>
      <c r="F488" s="1"/>
    </row>
    <row r="489" spans="1:6" x14ac:dyDescent="0.25">
      <c r="A489" s="12"/>
      <c r="B489" s="1"/>
      <c r="E489" s="1"/>
      <c r="F489" s="1"/>
    </row>
    <row r="490" spans="1:6" x14ac:dyDescent="0.25">
      <c r="A490" s="12"/>
      <c r="B490" s="1"/>
      <c r="E490" s="1"/>
      <c r="F490" s="1"/>
    </row>
    <row r="491" spans="1:6" x14ac:dyDescent="0.25">
      <c r="A491" s="12"/>
      <c r="B491" s="1"/>
      <c r="E491" s="1"/>
      <c r="F491" s="1"/>
    </row>
    <row r="492" spans="1:6" x14ac:dyDescent="0.25">
      <c r="A492" s="12"/>
      <c r="B492" s="1"/>
      <c r="E492" s="1"/>
      <c r="F492" s="1"/>
    </row>
    <row r="493" spans="1:6" x14ac:dyDescent="0.25">
      <c r="A493" s="12"/>
      <c r="B493" s="1"/>
      <c r="E493" s="1"/>
      <c r="F493" s="1"/>
    </row>
    <row r="494" spans="1:6" x14ac:dyDescent="0.25">
      <c r="A494" s="12"/>
      <c r="B494" s="1"/>
      <c r="E494" s="1"/>
      <c r="F494" s="1"/>
    </row>
    <row r="495" spans="1:6" x14ac:dyDescent="0.25">
      <c r="A495" s="12"/>
      <c r="B495" s="1"/>
      <c r="E495" s="1"/>
      <c r="F495" s="1"/>
    </row>
    <row r="496" spans="1:6" x14ac:dyDescent="0.25">
      <c r="A496" s="12"/>
      <c r="B496" s="1"/>
      <c r="E496" s="1"/>
      <c r="F496" s="1"/>
    </row>
    <row r="497" spans="1:6" x14ac:dyDescent="0.25">
      <c r="A497" s="12"/>
      <c r="B497" s="1"/>
      <c r="E497" s="1"/>
      <c r="F497" s="1"/>
    </row>
    <row r="498" spans="1:6" x14ac:dyDescent="0.25">
      <c r="A498" s="12"/>
      <c r="B498" s="1"/>
      <c r="E498" s="1"/>
      <c r="F498" s="1"/>
    </row>
    <row r="499" spans="1:6" x14ac:dyDescent="0.25">
      <c r="A499" s="12"/>
      <c r="B499" s="1"/>
      <c r="E499" s="1"/>
      <c r="F499" s="1"/>
    </row>
    <row r="500" spans="1:6" x14ac:dyDescent="0.25">
      <c r="A500" s="12"/>
      <c r="B500" s="1"/>
      <c r="E500" s="1"/>
      <c r="F500" s="1"/>
    </row>
    <row r="501" spans="1:6" x14ac:dyDescent="0.25">
      <c r="A501" s="12"/>
      <c r="B501" s="1"/>
      <c r="E501" s="1"/>
      <c r="F501" s="1"/>
    </row>
    <row r="502" spans="1:6" x14ac:dyDescent="0.25">
      <c r="A502" s="12"/>
      <c r="B502" s="1"/>
      <c r="E502" s="1"/>
      <c r="F502" s="1"/>
    </row>
    <row r="503" spans="1:6" x14ac:dyDescent="0.25">
      <c r="A503" s="12"/>
      <c r="B503" s="1"/>
      <c r="E503" s="1"/>
      <c r="F503" s="1"/>
    </row>
    <row r="504" spans="1:6" x14ac:dyDescent="0.25">
      <c r="A504" s="12"/>
      <c r="B504" s="1"/>
      <c r="E504" s="1"/>
      <c r="F504" s="1"/>
    </row>
    <row r="505" spans="1:6" x14ac:dyDescent="0.25">
      <c r="A505" s="12"/>
      <c r="B505" s="1"/>
      <c r="E505" s="1"/>
      <c r="F505" s="1"/>
    </row>
    <row r="506" spans="1:6" x14ac:dyDescent="0.25">
      <c r="A506" s="12"/>
      <c r="B506" s="1"/>
      <c r="E506" s="1"/>
      <c r="F506" s="1"/>
    </row>
    <row r="507" spans="1:6" x14ac:dyDescent="0.25">
      <c r="A507" s="12"/>
      <c r="B507" s="1"/>
      <c r="E507" s="1"/>
      <c r="F507" s="1"/>
    </row>
    <row r="508" spans="1:6" x14ac:dyDescent="0.25">
      <c r="A508" s="12"/>
      <c r="B508" s="1"/>
      <c r="E508" s="1"/>
      <c r="F508" s="1"/>
    </row>
    <row r="509" spans="1:6" x14ac:dyDescent="0.25">
      <c r="A509" s="12"/>
      <c r="B509" s="1"/>
      <c r="E509" s="1"/>
      <c r="F509" s="1"/>
    </row>
    <row r="510" spans="1:6" x14ac:dyDescent="0.25">
      <c r="A510" s="12"/>
      <c r="B510" s="1"/>
      <c r="E510" s="1"/>
      <c r="F510" s="1"/>
    </row>
    <row r="511" spans="1:6" x14ac:dyDescent="0.25">
      <c r="A511" s="12"/>
      <c r="B511" s="1"/>
      <c r="E511" s="1"/>
      <c r="F511" s="1"/>
    </row>
    <row r="512" spans="1:6" x14ac:dyDescent="0.25">
      <c r="A512" s="12"/>
      <c r="B512" s="1"/>
      <c r="E512" s="1"/>
      <c r="F512" s="1"/>
    </row>
    <row r="513" spans="1:6" x14ac:dyDescent="0.25">
      <c r="A513" s="12"/>
      <c r="B513" s="1"/>
      <c r="E513" s="1"/>
      <c r="F513" s="1"/>
    </row>
    <row r="514" spans="1:6" x14ac:dyDescent="0.25">
      <c r="A514" s="12"/>
      <c r="B514" s="1"/>
      <c r="E514" s="1"/>
      <c r="F514" s="1"/>
    </row>
    <row r="515" spans="1:6" x14ac:dyDescent="0.25">
      <c r="A515" s="12"/>
      <c r="B515" s="1"/>
      <c r="E515" s="1"/>
      <c r="F515" s="1"/>
    </row>
    <row r="516" spans="1:6" x14ac:dyDescent="0.25">
      <c r="A516" s="12"/>
      <c r="B516" s="1"/>
      <c r="E516" s="1"/>
      <c r="F516" s="1"/>
    </row>
    <row r="517" spans="1:6" x14ac:dyDescent="0.25">
      <c r="A517" s="12"/>
      <c r="B517" s="1"/>
      <c r="E517" s="1"/>
      <c r="F517" s="1"/>
    </row>
    <row r="518" spans="1:6" x14ac:dyDescent="0.25">
      <c r="A518" s="12"/>
      <c r="B518" s="1"/>
      <c r="E518" s="1"/>
      <c r="F518" s="1"/>
    </row>
    <row r="519" spans="1:6" x14ac:dyDescent="0.25">
      <c r="A519" s="12"/>
      <c r="B519" s="1"/>
      <c r="E519" s="1"/>
      <c r="F519" s="1"/>
    </row>
    <row r="520" spans="1:6" x14ac:dyDescent="0.25">
      <c r="A520" s="12"/>
      <c r="B520" s="1"/>
      <c r="E520" s="1"/>
      <c r="F520" s="1"/>
    </row>
    <row r="521" spans="1:6" x14ac:dyDescent="0.25">
      <c r="A521" s="12"/>
      <c r="B521" s="1"/>
      <c r="E521" s="1"/>
      <c r="F521" s="1"/>
    </row>
    <row r="522" spans="1:6" x14ac:dyDescent="0.25">
      <c r="A522" s="12"/>
      <c r="B522" s="1"/>
      <c r="E522" s="1"/>
      <c r="F522" s="1"/>
    </row>
    <row r="523" spans="1:6" x14ac:dyDescent="0.25">
      <c r="A523" s="12"/>
      <c r="B523" s="1"/>
      <c r="E523" s="1"/>
      <c r="F523" s="1"/>
    </row>
    <row r="524" spans="1:6" x14ac:dyDescent="0.25">
      <c r="A524" s="12"/>
      <c r="B524" s="1"/>
      <c r="E524" s="1"/>
      <c r="F524" s="1"/>
    </row>
    <row r="525" spans="1:6" x14ac:dyDescent="0.25">
      <c r="A525" s="12"/>
      <c r="B525" s="1"/>
      <c r="E525" s="1"/>
      <c r="F525" s="1"/>
    </row>
    <row r="526" spans="1:6" x14ac:dyDescent="0.25">
      <c r="A526" s="12"/>
      <c r="B526" s="1"/>
      <c r="E526" s="1"/>
      <c r="F526" s="1"/>
    </row>
    <row r="527" spans="1:6" x14ac:dyDescent="0.25">
      <c r="A527" s="12"/>
      <c r="B527" s="1"/>
      <c r="E527" s="1"/>
      <c r="F527" s="1"/>
    </row>
    <row r="528" spans="1:6" x14ac:dyDescent="0.25">
      <c r="A528" s="12"/>
      <c r="B528" s="1"/>
      <c r="E528" s="1"/>
      <c r="F528" s="1"/>
    </row>
    <row r="529" spans="1:6" x14ac:dyDescent="0.25">
      <c r="A529" s="12"/>
      <c r="B529" s="1"/>
      <c r="E529" s="1"/>
      <c r="F529" s="1"/>
    </row>
    <row r="530" spans="1:6" x14ac:dyDescent="0.25">
      <c r="A530" s="12"/>
      <c r="B530" s="1"/>
      <c r="E530" s="1"/>
      <c r="F530" s="1"/>
    </row>
    <row r="531" spans="1:6" x14ac:dyDescent="0.25">
      <c r="A531" s="12"/>
      <c r="B531" s="1"/>
      <c r="E531" s="1"/>
      <c r="F531" s="1"/>
    </row>
    <row r="532" spans="1:6" x14ac:dyDescent="0.25">
      <c r="A532" s="12"/>
      <c r="B532" s="1"/>
      <c r="E532" s="1"/>
      <c r="F532" s="1"/>
    </row>
    <row r="533" spans="1:6" x14ac:dyDescent="0.25">
      <c r="A533" s="12"/>
      <c r="B533" s="1"/>
      <c r="E533" s="1"/>
      <c r="F533" s="1"/>
    </row>
    <row r="534" spans="1:6" x14ac:dyDescent="0.25">
      <c r="A534" s="12"/>
      <c r="B534" s="1"/>
      <c r="E534" s="1"/>
      <c r="F534" s="1"/>
    </row>
    <row r="535" spans="1:6" x14ac:dyDescent="0.25">
      <c r="A535" s="12"/>
      <c r="B535" s="1"/>
      <c r="E535" s="1"/>
      <c r="F535" s="1"/>
    </row>
    <row r="536" spans="1:6" x14ac:dyDescent="0.25">
      <c r="A536" s="12"/>
      <c r="B536" s="1"/>
      <c r="E536" s="1"/>
      <c r="F536" s="1"/>
    </row>
    <row r="537" spans="1:6" x14ac:dyDescent="0.25">
      <c r="A537" s="12"/>
      <c r="B537" s="1"/>
      <c r="E537" s="1"/>
      <c r="F537" s="1"/>
    </row>
    <row r="538" spans="1:6" x14ac:dyDescent="0.25">
      <c r="A538" s="12"/>
      <c r="B538" s="1"/>
      <c r="E538" s="1"/>
      <c r="F538" s="1"/>
    </row>
    <row r="539" spans="1:6" x14ac:dyDescent="0.25">
      <c r="A539" s="12"/>
      <c r="B539" s="1"/>
      <c r="E539" s="1"/>
      <c r="F539" s="1"/>
    </row>
    <row r="540" spans="1:6" x14ac:dyDescent="0.25">
      <c r="A540" s="12"/>
      <c r="B540" s="1"/>
      <c r="E540" s="1"/>
      <c r="F540" s="1"/>
    </row>
    <row r="541" spans="1:6" x14ac:dyDescent="0.25">
      <c r="A541" s="12"/>
      <c r="B541" s="1"/>
      <c r="E541" s="1"/>
      <c r="F541" s="1"/>
    </row>
    <row r="542" spans="1:6" x14ac:dyDescent="0.25">
      <c r="A542" s="12"/>
      <c r="B542" s="1"/>
      <c r="E542" s="1"/>
      <c r="F542" s="1"/>
    </row>
    <row r="543" spans="1:6" x14ac:dyDescent="0.25">
      <c r="A543" s="12"/>
      <c r="B543" s="1"/>
      <c r="E543" s="1"/>
      <c r="F543" s="1"/>
    </row>
    <row r="544" spans="1:6" x14ac:dyDescent="0.25">
      <c r="A544" s="12"/>
      <c r="B544" s="1"/>
      <c r="E544" s="1"/>
      <c r="F544" s="1"/>
    </row>
    <row r="545" spans="1:6" x14ac:dyDescent="0.25">
      <c r="A545" s="12"/>
      <c r="B545" s="1"/>
      <c r="E545" s="1"/>
      <c r="F545" s="1"/>
    </row>
    <row r="546" spans="1:6" x14ac:dyDescent="0.25">
      <c r="A546" s="12"/>
      <c r="B546" s="1"/>
      <c r="E546" s="1"/>
      <c r="F546" s="1"/>
    </row>
    <row r="547" spans="1:6" x14ac:dyDescent="0.25">
      <c r="A547" s="12"/>
      <c r="B547" s="1"/>
      <c r="E547" s="1"/>
      <c r="F547" s="1"/>
    </row>
    <row r="548" spans="1:6" x14ac:dyDescent="0.25">
      <c r="A548" s="12"/>
      <c r="B548" s="1"/>
      <c r="E548" s="1"/>
      <c r="F548" s="1"/>
    </row>
    <row r="549" spans="1:6" x14ac:dyDescent="0.25">
      <c r="A549" s="12"/>
      <c r="B549" s="1"/>
      <c r="E549" s="1"/>
      <c r="F549" s="1"/>
    </row>
    <row r="550" spans="1:6" x14ac:dyDescent="0.25">
      <c r="A550" s="12"/>
      <c r="B550" s="1"/>
      <c r="E550" s="1"/>
      <c r="F550" s="1"/>
    </row>
    <row r="551" spans="1:6" x14ac:dyDescent="0.25">
      <c r="A551" s="12"/>
      <c r="B551" s="1"/>
      <c r="E551" s="1"/>
      <c r="F551" s="1"/>
    </row>
    <row r="552" spans="1:6" x14ac:dyDescent="0.25">
      <c r="A552" s="12"/>
      <c r="B552" s="1"/>
      <c r="E552" s="1"/>
      <c r="F552" s="1"/>
    </row>
    <row r="553" spans="1:6" x14ac:dyDescent="0.25">
      <c r="A553" s="12"/>
      <c r="B553" s="1"/>
      <c r="E553" s="1"/>
      <c r="F553" s="1"/>
    </row>
    <row r="554" spans="1:6" x14ac:dyDescent="0.25">
      <c r="A554" s="12"/>
      <c r="B554" s="1"/>
      <c r="E554" s="1"/>
      <c r="F554" s="1"/>
    </row>
    <row r="555" spans="1:6" x14ac:dyDescent="0.25">
      <c r="A555" s="12"/>
      <c r="B555" s="1"/>
      <c r="E555" s="1"/>
      <c r="F555" s="1"/>
    </row>
    <row r="556" spans="1:6" x14ac:dyDescent="0.25">
      <c r="A556" s="12"/>
      <c r="B556" s="1"/>
      <c r="E556" s="1"/>
      <c r="F556" s="1"/>
    </row>
    <row r="557" spans="1:6" x14ac:dyDescent="0.25">
      <c r="A557" s="12"/>
      <c r="B557" s="1"/>
      <c r="E557" s="1"/>
      <c r="F557" s="1"/>
    </row>
    <row r="558" spans="1:6" x14ac:dyDescent="0.25">
      <c r="A558" s="12"/>
      <c r="B558" s="1"/>
      <c r="E558" s="1"/>
      <c r="F558" s="1"/>
    </row>
    <row r="559" spans="1:6" x14ac:dyDescent="0.25">
      <c r="A559" s="12"/>
      <c r="B559" s="1"/>
      <c r="E559" s="1"/>
      <c r="F559" s="1"/>
    </row>
    <row r="560" spans="1:6" x14ac:dyDescent="0.25">
      <c r="A560" s="12"/>
      <c r="B560" s="1"/>
      <c r="E560" s="1"/>
      <c r="F560" s="1"/>
    </row>
    <row r="561" spans="1:6" x14ac:dyDescent="0.25">
      <c r="A561" s="12"/>
      <c r="B561" s="1"/>
      <c r="E561" s="1"/>
      <c r="F561" s="1"/>
    </row>
    <row r="562" spans="1:6" x14ac:dyDescent="0.25">
      <c r="A562" s="12"/>
      <c r="B562" s="1"/>
      <c r="E562" s="1"/>
      <c r="F562" s="1"/>
    </row>
    <row r="563" spans="1:6" x14ac:dyDescent="0.25">
      <c r="A563" s="12"/>
      <c r="B563" s="1"/>
      <c r="E563" s="1"/>
      <c r="F563" s="1"/>
    </row>
    <row r="564" spans="1:6" x14ac:dyDescent="0.25">
      <c r="A564" s="12"/>
      <c r="B564" s="1"/>
      <c r="E564" s="1"/>
      <c r="F564" s="1"/>
    </row>
    <row r="565" spans="1:6" x14ac:dyDescent="0.25">
      <c r="A565" s="12"/>
      <c r="B565" s="1"/>
      <c r="E565" s="1"/>
      <c r="F565" s="1"/>
    </row>
    <row r="566" spans="1:6" x14ac:dyDescent="0.25">
      <c r="A566" s="12"/>
      <c r="B566" s="1"/>
      <c r="E566" s="1"/>
      <c r="F566" s="1"/>
    </row>
    <row r="567" spans="1:6" x14ac:dyDescent="0.25">
      <c r="A567" s="12"/>
      <c r="B567" s="1"/>
      <c r="E567" s="1"/>
      <c r="F567" s="1"/>
    </row>
    <row r="568" spans="1:6" x14ac:dyDescent="0.25">
      <c r="A568" s="12"/>
      <c r="B568" s="1"/>
      <c r="E568" s="1"/>
      <c r="F568" s="1"/>
    </row>
    <row r="569" spans="1:6" x14ac:dyDescent="0.25">
      <c r="A569" s="12"/>
      <c r="B569" s="1"/>
      <c r="E569" s="1"/>
      <c r="F569" s="1"/>
    </row>
    <row r="570" spans="1:6" x14ac:dyDescent="0.25">
      <c r="A570" s="12"/>
      <c r="B570" s="1"/>
      <c r="E570" s="1"/>
      <c r="F570" s="1"/>
    </row>
    <row r="571" spans="1:6" x14ac:dyDescent="0.25">
      <c r="A571" s="12"/>
      <c r="B571" s="1"/>
      <c r="E571" s="1"/>
      <c r="F571" s="1"/>
    </row>
    <row r="572" spans="1:6" x14ac:dyDescent="0.25">
      <c r="A572" s="12"/>
      <c r="B572" s="1"/>
      <c r="E572" s="1"/>
      <c r="F572" s="1"/>
    </row>
    <row r="573" spans="1:6" x14ac:dyDescent="0.25">
      <c r="A573" s="12"/>
      <c r="B573" s="1"/>
      <c r="E573" s="1"/>
      <c r="F573" s="1"/>
    </row>
    <row r="574" spans="1:6" x14ac:dyDescent="0.25">
      <c r="A574" s="12"/>
      <c r="B574" s="1"/>
      <c r="E574" s="1"/>
      <c r="F574" s="1"/>
    </row>
    <row r="575" spans="1:6" x14ac:dyDescent="0.25">
      <c r="A575" s="12"/>
      <c r="B575" s="1"/>
      <c r="E575" s="1"/>
      <c r="F575" s="1"/>
    </row>
    <row r="576" spans="1:6" x14ac:dyDescent="0.25">
      <c r="A576" s="12"/>
      <c r="B576" s="1"/>
      <c r="E576" s="1"/>
      <c r="F576" s="1"/>
    </row>
    <row r="577" spans="1:6" x14ac:dyDescent="0.25">
      <c r="A577" s="12"/>
      <c r="B577" s="1"/>
      <c r="E577" s="1"/>
      <c r="F577" s="1"/>
    </row>
    <row r="578" spans="1:6" x14ac:dyDescent="0.25">
      <c r="A578" s="12"/>
      <c r="B578" s="1"/>
      <c r="E578" s="1"/>
      <c r="F578" s="1"/>
    </row>
    <row r="579" spans="1:6" x14ac:dyDescent="0.25">
      <c r="A579" s="12"/>
      <c r="B579" s="1"/>
      <c r="E579" s="1"/>
      <c r="F579" s="1"/>
    </row>
    <row r="580" spans="1:6" x14ac:dyDescent="0.25">
      <c r="A580" s="12"/>
      <c r="B580" s="1"/>
      <c r="E580" s="1"/>
      <c r="F580" s="1"/>
    </row>
    <row r="581" spans="1:6" x14ac:dyDescent="0.25">
      <c r="A581" s="12"/>
      <c r="B581" s="1"/>
      <c r="E581" s="1"/>
      <c r="F581" s="1"/>
    </row>
    <row r="582" spans="1:6" x14ac:dyDescent="0.25">
      <c r="A582" s="12"/>
      <c r="B582" s="1"/>
      <c r="E582" s="1"/>
      <c r="F582" s="1"/>
    </row>
    <row r="583" spans="1:6" x14ac:dyDescent="0.25">
      <c r="A583" s="12"/>
      <c r="B583" s="1"/>
      <c r="E583" s="1"/>
      <c r="F583" s="1"/>
    </row>
    <row r="584" spans="1:6" x14ac:dyDescent="0.25">
      <c r="A584" s="12"/>
      <c r="B584" s="1"/>
      <c r="E584" s="1"/>
      <c r="F584" s="1"/>
    </row>
    <row r="585" spans="1:6" x14ac:dyDescent="0.25">
      <c r="A585" s="12"/>
      <c r="B585" s="1"/>
      <c r="E585" s="1"/>
      <c r="F585" s="1"/>
    </row>
    <row r="586" spans="1:6" x14ac:dyDescent="0.25">
      <c r="A586" s="12"/>
      <c r="B586" s="1"/>
      <c r="E586" s="1"/>
      <c r="F586" s="1"/>
    </row>
    <row r="587" spans="1:6" x14ac:dyDescent="0.25">
      <c r="A587" s="12"/>
      <c r="B587" s="1"/>
      <c r="E587" s="1"/>
      <c r="F587" s="1"/>
    </row>
    <row r="588" spans="1:6" x14ac:dyDescent="0.25">
      <c r="A588" s="12"/>
      <c r="B588" s="1"/>
      <c r="E588" s="1"/>
      <c r="F588" s="1"/>
    </row>
    <row r="589" spans="1:6" x14ac:dyDescent="0.25">
      <c r="A589" s="12"/>
      <c r="B589" s="1"/>
      <c r="E589" s="1"/>
      <c r="F589" s="1"/>
    </row>
    <row r="590" spans="1:6" x14ac:dyDescent="0.25">
      <c r="A590" s="12"/>
      <c r="B590" s="1"/>
      <c r="E590" s="1"/>
      <c r="F590" s="1"/>
    </row>
    <row r="591" spans="1:6" x14ac:dyDescent="0.25">
      <c r="A591" s="12"/>
      <c r="B591" s="1"/>
      <c r="E591" s="1"/>
      <c r="F591" s="1"/>
    </row>
    <row r="592" spans="1:6" x14ac:dyDescent="0.25">
      <c r="A592" s="12"/>
      <c r="B592" s="1"/>
      <c r="E592" s="1"/>
      <c r="F592" s="1"/>
    </row>
    <row r="593" spans="1:6" x14ac:dyDescent="0.25">
      <c r="A593" s="12"/>
      <c r="B593" s="1"/>
      <c r="E593" s="1"/>
      <c r="F593" s="1"/>
    </row>
    <row r="594" spans="1:6" x14ac:dyDescent="0.25">
      <c r="A594" s="12"/>
      <c r="B594" s="1"/>
      <c r="E594" s="1"/>
      <c r="F594" s="1"/>
    </row>
    <row r="595" spans="1:6" x14ac:dyDescent="0.25">
      <c r="A595" s="12"/>
      <c r="B595" s="1"/>
      <c r="E595" s="1"/>
      <c r="F595" s="1"/>
    </row>
    <row r="596" spans="1:6" x14ac:dyDescent="0.25">
      <c r="A596" s="12"/>
      <c r="B596" s="1"/>
      <c r="E596" s="1"/>
      <c r="F596" s="1"/>
    </row>
    <row r="597" spans="1:6" x14ac:dyDescent="0.25">
      <c r="A597" s="12"/>
      <c r="B597" s="1"/>
      <c r="E597" s="1"/>
      <c r="F597" s="1"/>
    </row>
    <row r="598" spans="1:6" x14ac:dyDescent="0.25">
      <c r="A598" s="12"/>
      <c r="B598" s="1"/>
      <c r="E598" s="1"/>
      <c r="F598" s="1"/>
    </row>
    <row r="599" spans="1:6" x14ac:dyDescent="0.25">
      <c r="A599" s="12"/>
      <c r="B599" s="1"/>
      <c r="E599" s="1"/>
      <c r="F599" s="1"/>
    </row>
    <row r="600" spans="1:6" x14ac:dyDescent="0.25">
      <c r="A600" s="12"/>
      <c r="B600" s="1"/>
      <c r="E600" s="1"/>
      <c r="F600" s="1"/>
    </row>
    <row r="601" spans="1:6" x14ac:dyDescent="0.25">
      <c r="A601" s="12"/>
      <c r="B601" s="1"/>
      <c r="E601" s="1"/>
      <c r="F601" s="1"/>
    </row>
    <row r="602" spans="1:6" x14ac:dyDescent="0.25">
      <c r="A602" s="12"/>
      <c r="B602" s="1"/>
      <c r="E602" s="1"/>
      <c r="F602" s="1"/>
    </row>
    <row r="603" spans="1:6" x14ac:dyDescent="0.25">
      <c r="A603" s="12"/>
      <c r="B603" s="1"/>
      <c r="E603" s="1"/>
      <c r="F603" s="1"/>
    </row>
    <row r="604" spans="1:6" x14ac:dyDescent="0.25">
      <c r="A604" s="12"/>
      <c r="B604" s="1"/>
      <c r="E604" s="1"/>
      <c r="F604" s="1"/>
    </row>
    <row r="605" spans="1:6" x14ac:dyDescent="0.25">
      <c r="A605" s="12"/>
      <c r="B605" s="1"/>
      <c r="E605" s="1"/>
      <c r="F605" s="1"/>
    </row>
    <row r="606" spans="1:6" x14ac:dyDescent="0.25">
      <c r="A606" s="12"/>
      <c r="B606" s="1"/>
      <c r="E606" s="1"/>
      <c r="F606" s="1"/>
    </row>
    <row r="607" spans="1:6" x14ac:dyDescent="0.25">
      <c r="A607" s="12"/>
      <c r="B607" s="1"/>
      <c r="E607" s="1"/>
      <c r="F607" s="1"/>
    </row>
    <row r="608" spans="1:6" x14ac:dyDescent="0.25">
      <c r="A608" s="12"/>
      <c r="B608" s="1"/>
      <c r="E608" s="1"/>
      <c r="F608" s="1"/>
    </row>
    <row r="609" spans="1:6" x14ac:dyDescent="0.25">
      <c r="A609" s="12"/>
      <c r="B609" s="1"/>
      <c r="E609" s="1"/>
      <c r="F609" s="1"/>
    </row>
    <row r="610" spans="1:6" x14ac:dyDescent="0.25">
      <c r="A610" s="12"/>
      <c r="B610" s="1"/>
      <c r="E610" s="1"/>
      <c r="F610" s="1"/>
    </row>
    <row r="611" spans="1:6" x14ac:dyDescent="0.25">
      <c r="A611" s="12"/>
      <c r="B611" s="1"/>
      <c r="E611" s="1"/>
      <c r="F611" s="1"/>
    </row>
    <row r="612" spans="1:6" x14ac:dyDescent="0.25">
      <c r="A612" s="12"/>
      <c r="B612" s="1"/>
      <c r="E612" s="1"/>
      <c r="F612" s="1"/>
    </row>
    <row r="613" spans="1:6" x14ac:dyDescent="0.25">
      <c r="A613" s="12"/>
      <c r="B613" s="1"/>
      <c r="E613" s="1"/>
      <c r="F613" s="1"/>
    </row>
    <row r="614" spans="1:6" x14ac:dyDescent="0.25">
      <c r="A614" s="12"/>
      <c r="B614" s="1"/>
      <c r="E614" s="1"/>
      <c r="F614" s="1"/>
    </row>
    <row r="615" spans="1:6" x14ac:dyDescent="0.25">
      <c r="A615" s="12"/>
      <c r="B615" s="1"/>
      <c r="E615" s="1"/>
      <c r="F615" s="1"/>
    </row>
    <row r="616" spans="1:6" x14ac:dyDescent="0.25">
      <c r="A616" s="12"/>
      <c r="B616" s="1"/>
      <c r="E616" s="1"/>
      <c r="F616" s="1"/>
    </row>
    <row r="617" spans="1:6" x14ac:dyDescent="0.25">
      <c r="A617" s="12"/>
      <c r="B617" s="1"/>
      <c r="E617" s="1"/>
      <c r="F617" s="1"/>
    </row>
    <row r="618" spans="1:6" x14ac:dyDescent="0.25">
      <c r="A618" s="12"/>
      <c r="B618" s="1"/>
      <c r="E618" s="1"/>
      <c r="F618" s="1"/>
    </row>
    <row r="619" spans="1:6" x14ac:dyDescent="0.25">
      <c r="A619" s="12"/>
      <c r="B619" s="1"/>
      <c r="E619" s="1"/>
      <c r="F619" s="1"/>
    </row>
    <row r="620" spans="1:6" x14ac:dyDescent="0.25">
      <c r="A620" s="12"/>
      <c r="B620" s="1"/>
      <c r="E620" s="1"/>
      <c r="F620" s="1"/>
    </row>
    <row r="621" spans="1:6" x14ac:dyDescent="0.25">
      <c r="A621" s="12"/>
      <c r="B621" s="1"/>
      <c r="E621" s="1"/>
      <c r="F621" s="1"/>
    </row>
    <row r="622" spans="1:6" x14ac:dyDescent="0.25">
      <c r="A622" s="12"/>
      <c r="B622" s="1"/>
      <c r="E622" s="1"/>
      <c r="F622" s="1"/>
    </row>
    <row r="623" spans="1:6" x14ac:dyDescent="0.25">
      <c r="A623" s="12"/>
      <c r="B623" s="1"/>
      <c r="E623" s="1"/>
      <c r="F623" s="1"/>
    </row>
    <row r="624" spans="1:6" x14ac:dyDescent="0.25">
      <c r="A624" s="12"/>
      <c r="B624" s="1"/>
      <c r="E624" s="1"/>
      <c r="F624" s="1"/>
    </row>
    <row r="625" spans="1:6" x14ac:dyDescent="0.25">
      <c r="A625" s="12"/>
      <c r="B625" s="1"/>
      <c r="E625" s="1"/>
      <c r="F625" s="1"/>
    </row>
    <row r="626" spans="1:6" x14ac:dyDescent="0.25">
      <c r="A626" s="12"/>
      <c r="B626" s="1"/>
      <c r="E626" s="1"/>
      <c r="F626" s="1"/>
    </row>
    <row r="627" spans="1:6" x14ac:dyDescent="0.25">
      <c r="A627" s="12"/>
      <c r="B627" s="1"/>
      <c r="E627" s="1"/>
      <c r="F627" s="1"/>
    </row>
    <row r="628" spans="1:6" x14ac:dyDescent="0.25">
      <c r="A628" s="12"/>
      <c r="B628" s="1"/>
      <c r="E628" s="1"/>
      <c r="F628" s="1"/>
    </row>
    <row r="629" spans="1:6" x14ac:dyDescent="0.25">
      <c r="A629" s="12"/>
      <c r="B629" s="1"/>
      <c r="E629" s="1"/>
      <c r="F629" s="1"/>
    </row>
    <row r="630" spans="1:6" x14ac:dyDescent="0.25">
      <c r="A630" s="12"/>
      <c r="B630" s="1"/>
      <c r="E630" s="1"/>
      <c r="F630" s="1"/>
    </row>
    <row r="631" spans="1:6" x14ac:dyDescent="0.25">
      <c r="A631" s="12"/>
      <c r="B631" s="1"/>
      <c r="E631" s="1"/>
      <c r="F631" s="1"/>
    </row>
    <row r="632" spans="1:6" x14ac:dyDescent="0.25">
      <c r="A632" s="12"/>
      <c r="B632" s="1"/>
      <c r="E632" s="1"/>
      <c r="F632" s="1"/>
    </row>
    <row r="633" spans="1:6" x14ac:dyDescent="0.25">
      <c r="A633" s="12"/>
      <c r="B633" s="1"/>
      <c r="E633" s="1"/>
      <c r="F633" s="1"/>
    </row>
    <row r="634" spans="1:6" x14ac:dyDescent="0.25">
      <c r="A634" s="12"/>
      <c r="B634" s="1"/>
      <c r="E634" s="1"/>
      <c r="F634" s="1"/>
    </row>
    <row r="635" spans="1:6" x14ac:dyDescent="0.25">
      <c r="A635" s="12"/>
      <c r="B635" s="1"/>
      <c r="E635" s="1"/>
      <c r="F635" s="1"/>
    </row>
    <row r="636" spans="1:6" x14ac:dyDescent="0.25">
      <c r="A636" s="12"/>
      <c r="B636" s="1"/>
      <c r="E636" s="1"/>
      <c r="F636" s="1"/>
    </row>
    <row r="637" spans="1:6" x14ac:dyDescent="0.25">
      <c r="A637" s="12"/>
      <c r="B637" s="1"/>
      <c r="E637" s="1"/>
      <c r="F637" s="1"/>
    </row>
    <row r="638" spans="1:6" x14ac:dyDescent="0.25">
      <c r="A638" s="12"/>
      <c r="B638" s="1"/>
      <c r="E638" s="1"/>
      <c r="F638" s="1"/>
    </row>
    <row r="639" spans="1:6" x14ac:dyDescent="0.25">
      <c r="A639" s="12"/>
      <c r="B639" s="1"/>
      <c r="E639" s="1"/>
      <c r="F639" s="1"/>
    </row>
    <row r="640" spans="1:6" x14ac:dyDescent="0.25">
      <c r="A640" s="12"/>
      <c r="B640" s="1"/>
      <c r="E640" s="1"/>
      <c r="F640" s="1"/>
    </row>
    <row r="641" spans="1:6" x14ac:dyDescent="0.25">
      <c r="A641" s="12"/>
      <c r="B641" s="1"/>
      <c r="E641" s="1"/>
      <c r="F641" s="1"/>
    </row>
    <row r="642" spans="1:6" x14ac:dyDescent="0.25">
      <c r="A642" s="12"/>
      <c r="B642" s="1"/>
      <c r="E642" s="1"/>
      <c r="F642" s="1"/>
    </row>
    <row r="643" spans="1:6" x14ac:dyDescent="0.25">
      <c r="A643" s="12"/>
      <c r="B643" s="1"/>
      <c r="E643" s="1"/>
      <c r="F643" s="1"/>
    </row>
    <row r="644" spans="1:6" x14ac:dyDescent="0.25">
      <c r="A644" s="12"/>
      <c r="B644" s="1"/>
      <c r="E644" s="1"/>
      <c r="F644" s="1"/>
    </row>
    <row r="645" spans="1:6" x14ac:dyDescent="0.25">
      <c r="A645" s="12"/>
      <c r="B645" s="1"/>
      <c r="E645" s="1"/>
      <c r="F645" s="1"/>
    </row>
    <row r="646" spans="1:6" x14ac:dyDescent="0.25">
      <c r="A646" s="12"/>
      <c r="B646" s="1"/>
      <c r="E646" s="1"/>
      <c r="F646" s="1"/>
    </row>
    <row r="647" spans="1:6" x14ac:dyDescent="0.25">
      <c r="A647" s="12"/>
      <c r="B647" s="1"/>
      <c r="E647" s="1"/>
      <c r="F647" s="1"/>
    </row>
    <row r="648" spans="1:6" x14ac:dyDescent="0.25">
      <c r="A648" s="12"/>
      <c r="B648" s="1"/>
      <c r="E648" s="1"/>
      <c r="F648" s="1"/>
    </row>
    <row r="649" spans="1:6" x14ac:dyDescent="0.25">
      <c r="A649" s="12"/>
      <c r="B649" s="1"/>
      <c r="E649" s="1"/>
      <c r="F649" s="1"/>
    </row>
    <row r="650" spans="1:6" x14ac:dyDescent="0.25">
      <c r="A650" s="12"/>
      <c r="B650" s="1"/>
      <c r="E650" s="1"/>
      <c r="F650" s="1"/>
    </row>
    <row r="651" spans="1:6" x14ac:dyDescent="0.25">
      <c r="A651" s="12"/>
      <c r="B651" s="1"/>
      <c r="E651" s="1"/>
      <c r="F651" s="1"/>
    </row>
    <row r="652" spans="1:6" x14ac:dyDescent="0.25">
      <c r="A652" s="12"/>
      <c r="B652" s="1"/>
      <c r="E652" s="1"/>
      <c r="F652" s="1"/>
    </row>
    <row r="653" spans="1:6" x14ac:dyDescent="0.25">
      <c r="A653" s="12"/>
      <c r="B653" s="1"/>
      <c r="E653" s="1"/>
      <c r="F653" s="1"/>
    </row>
    <row r="654" spans="1:6" x14ac:dyDescent="0.25">
      <c r="A654" s="12"/>
      <c r="B654" s="1"/>
      <c r="E654" s="1"/>
      <c r="F654" s="1"/>
    </row>
    <row r="655" spans="1:6" x14ac:dyDescent="0.25">
      <c r="A655" s="12"/>
      <c r="B655" s="1"/>
      <c r="E655" s="1"/>
      <c r="F655" s="1"/>
    </row>
    <row r="656" spans="1:6" x14ac:dyDescent="0.25">
      <c r="A656" s="12"/>
      <c r="B656" s="1"/>
      <c r="E656" s="1"/>
      <c r="F656" s="1"/>
    </row>
    <row r="657" spans="1:6" x14ac:dyDescent="0.25">
      <c r="A657" s="12"/>
      <c r="B657" s="1"/>
      <c r="E657" s="1"/>
      <c r="F657" s="1"/>
    </row>
    <row r="658" spans="1:6" x14ac:dyDescent="0.25">
      <c r="A658" s="12"/>
      <c r="B658" s="1"/>
      <c r="E658" s="1"/>
      <c r="F658" s="1"/>
    </row>
    <row r="659" spans="1:6" x14ac:dyDescent="0.25">
      <c r="A659" s="12"/>
      <c r="B659" s="1"/>
      <c r="E659" s="1"/>
      <c r="F659" s="1"/>
    </row>
    <row r="660" spans="1:6" x14ac:dyDescent="0.25">
      <c r="A660" s="12"/>
      <c r="B660" s="1"/>
      <c r="E660" s="1"/>
      <c r="F660" s="1"/>
    </row>
    <row r="661" spans="1:6" x14ac:dyDescent="0.25">
      <c r="A661" s="12"/>
      <c r="B661" s="1"/>
      <c r="E661" s="1"/>
      <c r="F661" s="1"/>
    </row>
    <row r="662" spans="1:6" x14ac:dyDescent="0.25">
      <c r="A662" s="12"/>
      <c r="B662" s="1"/>
      <c r="E662" s="1"/>
      <c r="F662" s="1"/>
    </row>
    <row r="663" spans="1:6" x14ac:dyDescent="0.25">
      <c r="A663" s="12"/>
      <c r="B663" s="1"/>
      <c r="E663" s="1"/>
      <c r="F663" s="1"/>
    </row>
    <row r="664" spans="1:6" x14ac:dyDescent="0.25">
      <c r="A664" s="12"/>
      <c r="B664" s="1"/>
      <c r="E664" s="1"/>
      <c r="F664" s="1"/>
    </row>
    <row r="665" spans="1:6" x14ac:dyDescent="0.25">
      <c r="A665" s="12"/>
      <c r="B665" s="1"/>
      <c r="E665" s="1"/>
      <c r="F665" s="1"/>
    </row>
    <row r="666" spans="1:6" x14ac:dyDescent="0.25">
      <c r="A666" s="12"/>
      <c r="B666" s="1"/>
      <c r="E666" s="1"/>
      <c r="F666" s="1"/>
    </row>
    <row r="667" spans="1:6" x14ac:dyDescent="0.25">
      <c r="A667" s="12"/>
      <c r="B667" s="1"/>
      <c r="E667" s="1"/>
      <c r="F667" s="1"/>
    </row>
    <row r="668" spans="1:6" x14ac:dyDescent="0.25">
      <c r="A668" s="12"/>
      <c r="B668" s="1"/>
      <c r="E668" s="1"/>
      <c r="F668" s="1"/>
    </row>
    <row r="669" spans="1:6" x14ac:dyDescent="0.25">
      <c r="A669" s="12"/>
      <c r="B669" s="1"/>
      <c r="E669" s="1"/>
      <c r="F669" s="1"/>
    </row>
    <row r="670" spans="1:6" x14ac:dyDescent="0.25">
      <c r="A670" s="12"/>
      <c r="B670" s="1"/>
      <c r="E670" s="1"/>
      <c r="F670" s="1"/>
    </row>
    <row r="671" spans="1:6" x14ac:dyDescent="0.25">
      <c r="A671" s="12"/>
      <c r="B671" s="1"/>
      <c r="E671" s="1"/>
      <c r="F671" s="1"/>
    </row>
    <row r="672" spans="1:6" x14ac:dyDescent="0.25">
      <c r="A672" s="12"/>
      <c r="B672" s="1"/>
      <c r="E672" s="1"/>
      <c r="F672" s="1"/>
    </row>
    <row r="673" spans="1:6" x14ac:dyDescent="0.25">
      <c r="A673" s="12"/>
      <c r="B673" s="1"/>
      <c r="E673" s="1"/>
      <c r="F673" s="1"/>
    </row>
    <row r="674" spans="1:6" x14ac:dyDescent="0.25">
      <c r="A674" s="12"/>
      <c r="B674" s="1"/>
      <c r="E674" s="1"/>
      <c r="F674" s="1"/>
    </row>
    <row r="675" spans="1:6" x14ac:dyDescent="0.25">
      <c r="A675" s="12"/>
      <c r="B675" s="1"/>
      <c r="E675" s="1"/>
      <c r="F675" s="1"/>
    </row>
    <row r="676" spans="1:6" x14ac:dyDescent="0.25">
      <c r="A676" s="12"/>
      <c r="B676" s="1"/>
      <c r="E676" s="1"/>
      <c r="F676" s="1"/>
    </row>
    <row r="677" spans="1:6" x14ac:dyDescent="0.25">
      <c r="A677" s="12"/>
      <c r="B677" s="1"/>
      <c r="E677" s="1"/>
      <c r="F677" s="1"/>
    </row>
    <row r="678" spans="1:6" x14ac:dyDescent="0.25">
      <c r="A678" s="12"/>
      <c r="B678" s="1"/>
      <c r="E678" s="1"/>
      <c r="F678" s="1"/>
    </row>
    <row r="679" spans="1:6" x14ac:dyDescent="0.25">
      <c r="A679" s="12"/>
      <c r="B679" s="1"/>
      <c r="E679" s="1"/>
      <c r="F679" s="1"/>
    </row>
    <row r="680" spans="1:6" x14ac:dyDescent="0.25">
      <c r="A680" s="12"/>
      <c r="B680" s="1"/>
      <c r="E680" s="1"/>
      <c r="F680" s="1"/>
    </row>
    <row r="681" spans="1:6" x14ac:dyDescent="0.25">
      <c r="A681" s="12"/>
      <c r="B681" s="1"/>
      <c r="E681" s="1"/>
      <c r="F681" s="1"/>
    </row>
    <row r="682" spans="1:6" x14ac:dyDescent="0.25">
      <c r="A682" s="12"/>
      <c r="B682" s="1"/>
      <c r="E682" s="1"/>
      <c r="F682" s="1"/>
    </row>
    <row r="683" spans="1:6" x14ac:dyDescent="0.25">
      <c r="A683" s="12"/>
      <c r="B683" s="1"/>
      <c r="E683" s="1"/>
      <c r="F683" s="1"/>
    </row>
    <row r="684" spans="1:6" x14ac:dyDescent="0.25">
      <c r="A684" s="12"/>
      <c r="B684" s="1"/>
      <c r="E684" s="1"/>
      <c r="F684" s="1"/>
    </row>
    <row r="685" spans="1:6" x14ac:dyDescent="0.25">
      <c r="A685" s="12"/>
      <c r="B685" s="1"/>
      <c r="E685" s="1"/>
      <c r="F685" s="1"/>
    </row>
    <row r="686" spans="1:6" x14ac:dyDescent="0.25">
      <c r="A686" s="12"/>
      <c r="B686" s="1"/>
      <c r="E686" s="1"/>
      <c r="F686" s="1"/>
    </row>
    <row r="687" spans="1:6" x14ac:dyDescent="0.25">
      <c r="A687" s="12"/>
      <c r="B687" s="1"/>
      <c r="E687" s="1"/>
      <c r="F687" s="1"/>
    </row>
    <row r="688" spans="1:6" x14ac:dyDescent="0.25">
      <c r="A688" s="12"/>
      <c r="B688" s="1"/>
      <c r="E688" s="1"/>
      <c r="F688" s="1"/>
    </row>
    <row r="689" spans="1:6" x14ac:dyDescent="0.25">
      <c r="A689" s="12"/>
      <c r="B689" s="1"/>
      <c r="E689" s="1"/>
      <c r="F689" s="1"/>
    </row>
    <row r="690" spans="1:6" x14ac:dyDescent="0.25">
      <c r="A690" s="12"/>
      <c r="B690" s="1"/>
      <c r="E690" s="1"/>
      <c r="F690" s="1"/>
    </row>
    <row r="691" spans="1:6" x14ac:dyDescent="0.25">
      <c r="A691" s="12"/>
      <c r="B691" s="1"/>
      <c r="E691" s="1"/>
      <c r="F691" s="1"/>
    </row>
    <row r="692" spans="1:6" x14ac:dyDescent="0.25">
      <c r="A692" s="12"/>
      <c r="B692" s="1"/>
      <c r="E692" s="1"/>
      <c r="F692" s="1"/>
    </row>
    <row r="693" spans="1:6" x14ac:dyDescent="0.25">
      <c r="A693" s="12"/>
      <c r="B693" s="1"/>
      <c r="E693" s="1"/>
      <c r="F693" s="1"/>
    </row>
    <row r="694" spans="1:6" x14ac:dyDescent="0.25">
      <c r="A694" s="12"/>
      <c r="B694" s="1"/>
      <c r="E694" s="1"/>
      <c r="F694" s="1"/>
    </row>
    <row r="695" spans="1:6" x14ac:dyDescent="0.25">
      <c r="A695" s="12"/>
      <c r="B695" s="1"/>
      <c r="E695" s="1"/>
      <c r="F695" s="1"/>
    </row>
    <row r="696" spans="1:6" x14ac:dyDescent="0.25">
      <c r="A696" s="12"/>
      <c r="B696" s="1"/>
      <c r="E696" s="1"/>
      <c r="F696" s="1"/>
    </row>
    <row r="697" spans="1:6" x14ac:dyDescent="0.25">
      <c r="A697" s="12"/>
      <c r="B697" s="1"/>
      <c r="E697" s="1"/>
      <c r="F697" s="1"/>
    </row>
    <row r="698" spans="1:6" x14ac:dyDescent="0.25">
      <c r="A698" s="12"/>
      <c r="B698" s="1"/>
      <c r="E698" s="1"/>
      <c r="F698" s="1"/>
    </row>
    <row r="699" spans="1:6" x14ac:dyDescent="0.25">
      <c r="A699" s="12"/>
      <c r="B699" s="1"/>
      <c r="E699" s="1"/>
      <c r="F699" s="1"/>
    </row>
    <row r="700" spans="1:6" x14ac:dyDescent="0.25">
      <c r="A700" s="12"/>
      <c r="B700" s="1"/>
      <c r="E700" s="1"/>
      <c r="F700" s="1"/>
    </row>
    <row r="701" spans="1:6" x14ac:dyDescent="0.25">
      <c r="A701" s="12"/>
      <c r="B701" s="1"/>
      <c r="E701" s="1"/>
      <c r="F701" s="1"/>
    </row>
    <row r="702" spans="1:6" x14ac:dyDescent="0.25">
      <c r="A702" s="12"/>
      <c r="B702" s="1"/>
      <c r="E702" s="1"/>
      <c r="F702" s="1"/>
    </row>
    <row r="703" spans="1:6" x14ac:dyDescent="0.25">
      <c r="A703" s="12"/>
      <c r="B703" s="1"/>
      <c r="E703" s="1"/>
      <c r="F703" s="1"/>
    </row>
    <row r="704" spans="1:6" x14ac:dyDescent="0.25">
      <c r="A704" s="12"/>
      <c r="B704" s="1"/>
      <c r="E704" s="1"/>
      <c r="F704" s="1"/>
    </row>
    <row r="705" spans="1:6" x14ac:dyDescent="0.25">
      <c r="A705" s="12"/>
      <c r="B705" s="1"/>
      <c r="E705" s="1"/>
      <c r="F705" s="1"/>
    </row>
    <row r="706" spans="1:6" x14ac:dyDescent="0.25">
      <c r="A706" s="12"/>
      <c r="B706" s="1"/>
      <c r="E706" s="1"/>
      <c r="F706" s="1"/>
    </row>
    <row r="707" spans="1:6" x14ac:dyDescent="0.25">
      <c r="A707" s="12"/>
      <c r="B707" s="1"/>
      <c r="E707" s="1"/>
      <c r="F707" s="1"/>
    </row>
    <row r="708" spans="1:6" x14ac:dyDescent="0.25">
      <c r="A708" s="12"/>
      <c r="B708" s="1"/>
      <c r="E708" s="1"/>
      <c r="F708" s="1"/>
    </row>
    <row r="709" spans="1:6" x14ac:dyDescent="0.25">
      <c r="A709" s="12"/>
      <c r="B709" s="1"/>
      <c r="E709" s="1"/>
      <c r="F709" s="1"/>
    </row>
    <row r="710" spans="1:6" x14ac:dyDescent="0.25">
      <c r="A710" s="12"/>
      <c r="B710" s="1"/>
      <c r="E710" s="1"/>
      <c r="F710" s="1"/>
    </row>
    <row r="711" spans="1:6" x14ac:dyDescent="0.25">
      <c r="A711" s="12"/>
      <c r="B711" s="1"/>
      <c r="E711" s="1"/>
      <c r="F711" s="1"/>
    </row>
    <row r="712" spans="1:6" x14ac:dyDescent="0.25">
      <c r="A712" s="12"/>
      <c r="B712" s="1"/>
      <c r="E712" s="1"/>
      <c r="F712" s="1"/>
    </row>
    <row r="713" spans="1:6" x14ac:dyDescent="0.25">
      <c r="A713" s="12"/>
      <c r="B713" s="1"/>
      <c r="E713" s="1"/>
      <c r="F713" s="1"/>
    </row>
    <row r="714" spans="1:6" x14ac:dyDescent="0.25">
      <c r="A714" s="12"/>
      <c r="B714" s="1"/>
      <c r="E714" s="1"/>
      <c r="F714" s="1"/>
    </row>
    <row r="715" spans="1:6" x14ac:dyDescent="0.25">
      <c r="A715" s="12"/>
      <c r="B715" s="1"/>
      <c r="E715" s="1"/>
      <c r="F715" s="1"/>
    </row>
    <row r="716" spans="1:6" x14ac:dyDescent="0.25">
      <c r="A716" s="12"/>
      <c r="B716" s="1"/>
      <c r="E716" s="1"/>
      <c r="F716" s="1"/>
    </row>
    <row r="717" spans="1:6" x14ac:dyDescent="0.25">
      <c r="A717" s="12"/>
      <c r="B717" s="1"/>
      <c r="E717" s="1"/>
      <c r="F717" s="1"/>
    </row>
    <row r="718" spans="1:6" x14ac:dyDescent="0.25">
      <c r="A718" s="12"/>
      <c r="B718" s="1"/>
      <c r="E718" s="1"/>
      <c r="F718" s="1"/>
    </row>
    <row r="719" spans="1:6" x14ac:dyDescent="0.25">
      <c r="A719" s="12"/>
      <c r="B719" s="1"/>
      <c r="E719" s="1"/>
      <c r="F719" s="1"/>
    </row>
    <row r="720" spans="1:6" x14ac:dyDescent="0.25">
      <c r="A720" s="12"/>
      <c r="B720" s="1"/>
      <c r="E720" s="1"/>
      <c r="F720" s="1"/>
    </row>
    <row r="721" spans="1:6" x14ac:dyDescent="0.25">
      <c r="A721" s="12"/>
      <c r="B721" s="1"/>
      <c r="E721" s="1"/>
      <c r="F721" s="1"/>
    </row>
    <row r="722" spans="1:6" x14ac:dyDescent="0.25">
      <c r="A722" s="12"/>
      <c r="B722" s="1"/>
      <c r="E722" s="1"/>
      <c r="F722" s="1"/>
    </row>
    <row r="723" spans="1:6" x14ac:dyDescent="0.25">
      <c r="A723" s="12"/>
      <c r="B723" s="1"/>
      <c r="E723" s="1"/>
      <c r="F723" s="1"/>
    </row>
    <row r="724" spans="1:6" x14ac:dyDescent="0.25">
      <c r="A724" s="12"/>
      <c r="B724" s="1"/>
      <c r="E724" s="1"/>
      <c r="F724" s="1"/>
    </row>
    <row r="725" spans="1:6" x14ac:dyDescent="0.25">
      <c r="A725" s="12"/>
      <c r="B725" s="1"/>
      <c r="E725" s="1"/>
      <c r="F725" s="1"/>
    </row>
    <row r="726" spans="1:6" x14ac:dyDescent="0.25">
      <c r="A726" s="12"/>
      <c r="B726" s="1"/>
      <c r="E726" s="1"/>
      <c r="F726" s="1"/>
    </row>
    <row r="727" spans="1:6" x14ac:dyDescent="0.25">
      <c r="A727" s="12"/>
      <c r="B727" s="1"/>
      <c r="E727" s="1"/>
      <c r="F727" s="1"/>
    </row>
    <row r="728" spans="1:6" x14ac:dyDescent="0.25">
      <c r="A728" s="12"/>
      <c r="B728" s="1"/>
      <c r="E728" s="1"/>
      <c r="F728" s="1"/>
    </row>
    <row r="729" spans="1:6" x14ac:dyDescent="0.25">
      <c r="A729" s="12"/>
      <c r="B729" s="1"/>
      <c r="E729" s="1"/>
      <c r="F729" s="1"/>
    </row>
    <row r="730" spans="1:6" x14ac:dyDescent="0.25">
      <c r="A730" s="12"/>
      <c r="B730" s="1"/>
      <c r="E730" s="1"/>
      <c r="F730" s="1"/>
    </row>
    <row r="731" spans="1:6" x14ac:dyDescent="0.25">
      <c r="A731" s="12"/>
      <c r="B731" s="1"/>
      <c r="E731" s="1"/>
      <c r="F731" s="1"/>
    </row>
    <row r="732" spans="1:6" x14ac:dyDescent="0.25">
      <c r="A732" s="12"/>
      <c r="B732" s="1"/>
      <c r="E732" s="1"/>
      <c r="F732" s="1"/>
    </row>
    <row r="733" spans="1:6" x14ac:dyDescent="0.25">
      <c r="A733" s="12"/>
      <c r="B733" s="1"/>
      <c r="E733" s="1"/>
      <c r="F733" s="1"/>
    </row>
    <row r="734" spans="1:6" x14ac:dyDescent="0.25">
      <c r="A734" s="12"/>
      <c r="B734" s="1"/>
      <c r="E734" s="1"/>
      <c r="F734" s="1"/>
    </row>
    <row r="735" spans="1:6" x14ac:dyDescent="0.25">
      <c r="A735" s="12"/>
      <c r="B735" s="1"/>
      <c r="E735" s="1"/>
      <c r="F735" s="1"/>
    </row>
    <row r="736" spans="1:6" x14ac:dyDescent="0.25">
      <c r="A736" s="12"/>
      <c r="B736" s="1"/>
      <c r="E736" s="1"/>
      <c r="F736" s="1"/>
    </row>
    <row r="737" spans="1:6" x14ac:dyDescent="0.25">
      <c r="A737" s="12"/>
      <c r="B737" s="1"/>
      <c r="E737" s="1"/>
      <c r="F737" s="1"/>
    </row>
    <row r="738" spans="1:6" x14ac:dyDescent="0.25">
      <c r="A738" s="12"/>
      <c r="B738" s="1"/>
      <c r="E738" s="1"/>
      <c r="F738" s="1"/>
    </row>
    <row r="739" spans="1:6" x14ac:dyDescent="0.25">
      <c r="A739" s="12"/>
      <c r="B739" s="1"/>
      <c r="E739" s="1"/>
      <c r="F739" s="1"/>
    </row>
    <row r="740" spans="1:6" x14ac:dyDescent="0.25">
      <c r="A740" s="12"/>
      <c r="B740" s="1"/>
      <c r="E740" s="1"/>
      <c r="F740" s="1"/>
    </row>
    <row r="741" spans="1:6" x14ac:dyDescent="0.25">
      <c r="A741" s="12"/>
      <c r="B741" s="1"/>
      <c r="E741" s="1"/>
      <c r="F741" s="1"/>
    </row>
    <row r="742" spans="1:6" x14ac:dyDescent="0.25">
      <c r="A742" s="12"/>
      <c r="B742" s="1"/>
      <c r="E742" s="1"/>
      <c r="F742" s="1"/>
    </row>
    <row r="743" spans="1:6" x14ac:dyDescent="0.25">
      <c r="A743" s="12"/>
      <c r="B743" s="1"/>
      <c r="E743" s="1"/>
      <c r="F743" s="1"/>
    </row>
    <row r="744" spans="1:6" x14ac:dyDescent="0.25">
      <c r="A744" s="12"/>
      <c r="B744" s="1"/>
      <c r="E744" s="1"/>
      <c r="F744" s="1"/>
    </row>
    <row r="745" spans="1:6" x14ac:dyDescent="0.25">
      <c r="A745" s="12"/>
      <c r="B745" s="1"/>
      <c r="E745" s="1"/>
      <c r="F745" s="1"/>
    </row>
    <row r="746" spans="1:6" x14ac:dyDescent="0.25">
      <c r="A746" s="12"/>
      <c r="B746" s="1"/>
      <c r="E746" s="1"/>
      <c r="F746" s="1"/>
    </row>
    <row r="747" spans="1:6" x14ac:dyDescent="0.25">
      <c r="A747" s="12"/>
      <c r="B747" s="1"/>
      <c r="E747" s="1"/>
      <c r="F747" s="1"/>
    </row>
    <row r="748" spans="1:6" x14ac:dyDescent="0.25">
      <c r="A748" s="12"/>
      <c r="B748" s="1"/>
      <c r="E748" s="1"/>
      <c r="F748" s="1"/>
    </row>
    <row r="749" spans="1:6" x14ac:dyDescent="0.25">
      <c r="A749" s="12"/>
      <c r="B749" s="1"/>
      <c r="E749" s="1"/>
      <c r="F749" s="1"/>
    </row>
    <row r="750" spans="1:6" x14ac:dyDescent="0.25">
      <c r="A750" s="12"/>
      <c r="B750" s="1"/>
      <c r="E750" s="1"/>
      <c r="F750" s="1"/>
    </row>
    <row r="751" spans="1:6" x14ac:dyDescent="0.25">
      <c r="A751" s="12"/>
      <c r="B751" s="1"/>
      <c r="E751" s="1"/>
      <c r="F751" s="1"/>
    </row>
    <row r="752" spans="1:6" x14ac:dyDescent="0.25">
      <c r="A752" s="12"/>
      <c r="B752" s="1"/>
      <c r="E752" s="1"/>
      <c r="F752" s="1"/>
    </row>
    <row r="753" spans="1:6" x14ac:dyDescent="0.25">
      <c r="A753" s="12"/>
      <c r="B753" s="1"/>
      <c r="E753" s="1"/>
      <c r="F753" s="1"/>
    </row>
    <row r="754" spans="1:6" x14ac:dyDescent="0.25">
      <c r="A754" s="12"/>
      <c r="B754" s="1"/>
      <c r="E754" s="1"/>
      <c r="F754" s="1"/>
    </row>
    <row r="755" spans="1:6" x14ac:dyDescent="0.25">
      <c r="A755" s="12"/>
      <c r="B755" s="1"/>
      <c r="E755" s="1"/>
      <c r="F755" s="1"/>
    </row>
    <row r="756" spans="1:6" x14ac:dyDescent="0.25">
      <c r="A756" s="12"/>
      <c r="B756" s="1"/>
      <c r="E756" s="1"/>
      <c r="F756" s="1"/>
    </row>
    <row r="757" spans="1:6" x14ac:dyDescent="0.25">
      <c r="A757" s="12"/>
      <c r="B757" s="1"/>
      <c r="E757" s="1"/>
      <c r="F757" s="1"/>
    </row>
    <row r="758" spans="1:6" x14ac:dyDescent="0.25">
      <c r="A758" s="12"/>
      <c r="B758" s="1"/>
      <c r="E758" s="1"/>
      <c r="F758" s="1"/>
    </row>
    <row r="759" spans="1:6" x14ac:dyDescent="0.25">
      <c r="A759" s="12"/>
      <c r="B759" s="1"/>
      <c r="E759" s="1"/>
      <c r="F759" s="1"/>
    </row>
    <row r="760" spans="1:6" x14ac:dyDescent="0.25">
      <c r="A760" s="12"/>
      <c r="B760" s="1"/>
      <c r="E760" s="1"/>
      <c r="F760" s="1"/>
    </row>
    <row r="761" spans="1:6" x14ac:dyDescent="0.25">
      <c r="A761" s="12"/>
      <c r="B761" s="1"/>
      <c r="E761" s="1"/>
      <c r="F761" s="1"/>
    </row>
    <row r="762" spans="1:6" x14ac:dyDescent="0.25">
      <c r="A762" s="12"/>
      <c r="B762" s="1"/>
      <c r="E762" s="1"/>
      <c r="F762" s="1"/>
    </row>
    <row r="763" spans="1:6" x14ac:dyDescent="0.25">
      <c r="A763" s="12"/>
      <c r="B763" s="1"/>
      <c r="E763" s="1"/>
      <c r="F763" s="1"/>
    </row>
    <row r="764" spans="1:6" x14ac:dyDescent="0.25">
      <c r="A764" s="12"/>
      <c r="B764" s="1"/>
      <c r="E764" s="1"/>
      <c r="F764" s="1"/>
    </row>
    <row r="765" spans="1:6" x14ac:dyDescent="0.25">
      <c r="A765" s="12"/>
      <c r="B765" s="1"/>
      <c r="E765" s="1"/>
      <c r="F765" s="1"/>
    </row>
    <row r="766" spans="1:6" x14ac:dyDescent="0.25">
      <c r="A766" s="12"/>
      <c r="B766" s="1"/>
      <c r="E766" s="1"/>
      <c r="F766" s="1"/>
    </row>
    <row r="767" spans="1:6" x14ac:dyDescent="0.25">
      <c r="A767" s="12"/>
      <c r="B767" s="1"/>
      <c r="E767" s="1"/>
      <c r="F767" s="1"/>
    </row>
    <row r="768" spans="1:6" x14ac:dyDescent="0.25">
      <c r="A768" s="12"/>
      <c r="B768" s="1"/>
      <c r="E768" s="1"/>
      <c r="F768" s="1"/>
    </row>
    <row r="769" spans="1:6" x14ac:dyDescent="0.25">
      <c r="A769" s="12"/>
      <c r="B769" s="1"/>
      <c r="E769" s="1"/>
      <c r="F769" s="1"/>
    </row>
    <row r="770" spans="1:6" x14ac:dyDescent="0.25">
      <c r="A770" s="12"/>
      <c r="B770" s="1"/>
      <c r="E770" s="1"/>
      <c r="F770" s="1"/>
    </row>
    <row r="771" spans="1:6" x14ac:dyDescent="0.25">
      <c r="A771" s="12"/>
      <c r="B771" s="1"/>
      <c r="E771" s="1"/>
      <c r="F771" s="1"/>
    </row>
    <row r="772" spans="1:6" x14ac:dyDescent="0.25">
      <c r="A772" s="12"/>
      <c r="B772" s="1"/>
      <c r="E772" s="1"/>
      <c r="F772" s="1"/>
    </row>
    <row r="773" spans="1:6" x14ac:dyDescent="0.25">
      <c r="A773" s="12"/>
      <c r="B773" s="1"/>
      <c r="E773" s="1"/>
      <c r="F773" s="1"/>
    </row>
    <row r="774" spans="1:6" x14ac:dyDescent="0.25">
      <c r="A774" s="12"/>
      <c r="B774" s="1"/>
      <c r="E774" s="1"/>
      <c r="F774" s="1"/>
    </row>
    <row r="775" spans="1:6" x14ac:dyDescent="0.25">
      <c r="A775" s="12"/>
      <c r="B775" s="1"/>
      <c r="E775" s="1"/>
      <c r="F775" s="1"/>
    </row>
    <row r="776" spans="1:6" x14ac:dyDescent="0.25">
      <c r="A776" s="12"/>
      <c r="B776" s="1"/>
      <c r="E776" s="1"/>
      <c r="F776" s="1"/>
    </row>
    <row r="777" spans="1:6" x14ac:dyDescent="0.25">
      <c r="A777" s="12"/>
      <c r="B777" s="1"/>
      <c r="E777" s="1"/>
      <c r="F777" s="1"/>
    </row>
    <row r="778" spans="1:6" x14ac:dyDescent="0.25">
      <c r="A778" s="12"/>
      <c r="B778" s="1"/>
      <c r="E778" s="1"/>
      <c r="F778" s="1"/>
    </row>
    <row r="779" spans="1:6" x14ac:dyDescent="0.25">
      <c r="A779" s="12"/>
      <c r="B779" s="1"/>
      <c r="E779" s="1"/>
      <c r="F779" s="1"/>
    </row>
    <row r="780" spans="1:6" x14ac:dyDescent="0.25">
      <c r="A780" s="12"/>
      <c r="B780" s="1"/>
      <c r="E780" s="1"/>
      <c r="F780" s="1"/>
    </row>
    <row r="781" spans="1:6" x14ac:dyDescent="0.25">
      <c r="A781" s="12"/>
      <c r="B781" s="1"/>
      <c r="E781" s="1"/>
      <c r="F781" s="1"/>
    </row>
    <row r="782" spans="1:6" x14ac:dyDescent="0.25">
      <c r="A782" s="12"/>
      <c r="B782" s="1"/>
      <c r="E782" s="1"/>
      <c r="F782" s="1"/>
    </row>
    <row r="783" spans="1:6" x14ac:dyDescent="0.25">
      <c r="A783" s="12"/>
      <c r="B783" s="1"/>
      <c r="E783" s="1"/>
      <c r="F783" s="1"/>
    </row>
    <row r="784" spans="1:6" x14ac:dyDescent="0.25">
      <c r="A784" s="12"/>
      <c r="B784" s="1"/>
      <c r="E784" s="1"/>
      <c r="F784" s="1"/>
    </row>
    <row r="785" spans="1:6" x14ac:dyDescent="0.25">
      <c r="A785" s="12"/>
      <c r="B785" s="1"/>
      <c r="E785" s="1"/>
      <c r="F785" s="1"/>
    </row>
    <row r="786" spans="1:6" x14ac:dyDescent="0.25">
      <c r="A786" s="12"/>
      <c r="B786" s="1"/>
      <c r="E786" s="1"/>
      <c r="F786" s="1"/>
    </row>
    <row r="787" spans="1:6" x14ac:dyDescent="0.25">
      <c r="A787" s="12"/>
      <c r="B787" s="1"/>
      <c r="E787" s="1"/>
      <c r="F787" s="1"/>
    </row>
    <row r="788" spans="1:6" x14ac:dyDescent="0.25">
      <c r="A788" s="12"/>
      <c r="B788" s="1"/>
      <c r="E788" s="1"/>
      <c r="F788" s="1"/>
    </row>
    <row r="789" spans="1:6" x14ac:dyDescent="0.25">
      <c r="A789" s="12"/>
      <c r="B789" s="1"/>
      <c r="E789" s="1"/>
      <c r="F789" s="1"/>
    </row>
    <row r="790" spans="1:6" x14ac:dyDescent="0.25">
      <c r="A790" s="12"/>
      <c r="B790" s="1"/>
      <c r="E790" s="1"/>
      <c r="F790" s="1"/>
    </row>
    <row r="791" spans="1:6" x14ac:dyDescent="0.25">
      <c r="A791" s="12"/>
      <c r="B791" s="1"/>
      <c r="E791" s="1"/>
      <c r="F791" s="1"/>
    </row>
    <row r="792" spans="1:6" x14ac:dyDescent="0.25">
      <c r="A792" s="12"/>
      <c r="B792" s="1"/>
      <c r="E792" s="1"/>
      <c r="F792" s="1"/>
    </row>
    <row r="793" spans="1:6" x14ac:dyDescent="0.25">
      <c r="A793" s="12"/>
      <c r="B793" s="1"/>
      <c r="E793" s="1"/>
      <c r="F793" s="1"/>
    </row>
    <row r="794" spans="1:6" x14ac:dyDescent="0.25">
      <c r="A794" s="12"/>
      <c r="B794" s="1"/>
      <c r="E794" s="1"/>
      <c r="F794" s="1"/>
    </row>
    <row r="795" spans="1:6" x14ac:dyDescent="0.25">
      <c r="A795" s="12"/>
      <c r="B795" s="1"/>
      <c r="E795" s="1"/>
      <c r="F795" s="1"/>
    </row>
    <row r="796" spans="1:6" x14ac:dyDescent="0.25">
      <c r="A796" s="12"/>
      <c r="B796" s="1"/>
      <c r="E796" s="1"/>
      <c r="F796" s="1"/>
    </row>
    <row r="797" spans="1:6" x14ac:dyDescent="0.25">
      <c r="A797" s="12"/>
      <c r="B797" s="1"/>
      <c r="E797" s="1"/>
      <c r="F797" s="1"/>
    </row>
    <row r="798" spans="1:6" x14ac:dyDescent="0.25">
      <c r="A798" s="12"/>
      <c r="B798" s="1"/>
      <c r="E798" s="1"/>
      <c r="F798" s="1"/>
    </row>
    <row r="799" spans="1:6" x14ac:dyDescent="0.25">
      <c r="A799" s="12"/>
      <c r="B799" s="1"/>
      <c r="E799" s="1"/>
      <c r="F799" s="1"/>
    </row>
    <row r="800" spans="1:6" x14ac:dyDescent="0.25">
      <c r="A800" s="12"/>
      <c r="B800" s="1"/>
      <c r="E800" s="1"/>
      <c r="F800" s="1"/>
    </row>
    <row r="801" spans="1:6" x14ac:dyDescent="0.25">
      <c r="A801" s="12"/>
      <c r="B801" s="1"/>
      <c r="E801" s="1"/>
      <c r="F801" s="1"/>
    </row>
    <row r="802" spans="1:6" x14ac:dyDescent="0.25">
      <c r="A802" s="12"/>
      <c r="B802" s="1"/>
      <c r="E802" s="1"/>
      <c r="F802" s="1"/>
    </row>
    <row r="803" spans="1:6" x14ac:dyDescent="0.25">
      <c r="A803" s="12"/>
      <c r="B803" s="1"/>
      <c r="E803" s="1"/>
      <c r="F803" s="1"/>
    </row>
    <row r="804" spans="1:6" x14ac:dyDescent="0.25">
      <c r="A804" s="12"/>
      <c r="B804" s="1"/>
      <c r="E804" s="1"/>
      <c r="F804" s="1"/>
    </row>
    <row r="805" spans="1:6" x14ac:dyDescent="0.25">
      <c r="A805" s="12"/>
      <c r="B805" s="1"/>
      <c r="E805" s="1"/>
      <c r="F805" s="1"/>
    </row>
    <row r="806" spans="1:6" x14ac:dyDescent="0.25">
      <c r="A806" s="12"/>
      <c r="B806" s="1"/>
      <c r="E806" s="1"/>
      <c r="F806" s="1"/>
    </row>
    <row r="807" spans="1:6" x14ac:dyDescent="0.25">
      <c r="A807" s="12"/>
      <c r="B807" s="1"/>
      <c r="E807" s="1"/>
      <c r="F807" s="1"/>
    </row>
    <row r="808" spans="1:6" x14ac:dyDescent="0.25">
      <c r="A808" s="12"/>
      <c r="B808" s="1"/>
      <c r="E808" s="1"/>
      <c r="F808" s="1"/>
    </row>
    <row r="809" spans="1:6" x14ac:dyDescent="0.25">
      <c r="A809" s="12"/>
      <c r="B809" s="1"/>
      <c r="E809" s="1"/>
      <c r="F809" s="1"/>
    </row>
    <row r="810" spans="1:6" x14ac:dyDescent="0.25">
      <c r="A810" s="12"/>
      <c r="B810" s="1"/>
      <c r="E810" s="1"/>
      <c r="F810" s="1"/>
    </row>
    <row r="811" spans="1:6" x14ac:dyDescent="0.25">
      <c r="A811" s="12"/>
      <c r="B811" s="1"/>
      <c r="E811" s="1"/>
      <c r="F811" s="1"/>
    </row>
    <row r="812" spans="1:6" x14ac:dyDescent="0.25">
      <c r="A812" s="12"/>
      <c r="B812" s="1"/>
      <c r="E812" s="1"/>
      <c r="F812" s="1"/>
    </row>
    <row r="813" spans="1:6" x14ac:dyDescent="0.25">
      <c r="A813" s="12"/>
      <c r="B813" s="1"/>
      <c r="E813" s="1"/>
      <c r="F813" s="1"/>
    </row>
    <row r="814" spans="1:6" x14ac:dyDescent="0.25">
      <c r="A814" s="12"/>
      <c r="B814" s="1"/>
      <c r="E814" s="1"/>
      <c r="F814" s="1"/>
    </row>
    <row r="815" spans="1:6" x14ac:dyDescent="0.25">
      <c r="A815" s="12"/>
      <c r="B815" s="1"/>
      <c r="E815" s="1"/>
      <c r="F815" s="1"/>
    </row>
    <row r="816" spans="1:6" x14ac:dyDescent="0.25">
      <c r="A816" s="12"/>
      <c r="B816" s="1"/>
      <c r="E816" s="1"/>
      <c r="F816" s="1"/>
    </row>
    <row r="817" spans="1:6" x14ac:dyDescent="0.25">
      <c r="A817" s="12"/>
      <c r="B817" s="1"/>
      <c r="E817" s="1"/>
      <c r="F817" s="1"/>
    </row>
    <row r="818" spans="1:6" x14ac:dyDescent="0.25">
      <c r="A818" s="12"/>
      <c r="B818" s="1"/>
      <c r="E818" s="1"/>
      <c r="F818" s="1"/>
    </row>
    <row r="819" spans="1:6" x14ac:dyDescent="0.25">
      <c r="A819" s="12"/>
      <c r="B819" s="1"/>
      <c r="E819" s="1"/>
      <c r="F819" s="1"/>
    </row>
    <row r="820" spans="1:6" x14ac:dyDescent="0.25">
      <c r="A820" s="12"/>
      <c r="B820" s="1"/>
      <c r="E820" s="1"/>
      <c r="F820" s="1"/>
    </row>
    <row r="821" spans="1:6" x14ac:dyDescent="0.25">
      <c r="A821" s="12"/>
      <c r="B821" s="1"/>
      <c r="E821" s="1"/>
      <c r="F821" s="1"/>
    </row>
    <row r="822" spans="1:6" x14ac:dyDescent="0.25">
      <c r="A822" s="12"/>
      <c r="B822" s="1"/>
      <c r="E822" s="1"/>
      <c r="F822" s="1"/>
    </row>
    <row r="823" spans="1:6" x14ac:dyDescent="0.25">
      <c r="A823" s="12"/>
      <c r="B823" s="1"/>
      <c r="E823" s="1"/>
      <c r="F823" s="1"/>
    </row>
    <row r="824" spans="1:6" x14ac:dyDescent="0.25">
      <c r="A824" s="12"/>
      <c r="B824" s="1"/>
      <c r="E824" s="1"/>
      <c r="F824" s="1"/>
    </row>
    <row r="825" spans="1:6" x14ac:dyDescent="0.25">
      <c r="A825" s="12"/>
      <c r="B825" s="1"/>
      <c r="E825" s="1"/>
      <c r="F825" s="1"/>
    </row>
    <row r="826" spans="1:6" x14ac:dyDescent="0.25">
      <c r="A826" s="12"/>
      <c r="B826" s="1"/>
      <c r="E826" s="1"/>
      <c r="F826" s="1"/>
    </row>
    <row r="827" spans="1:6" x14ac:dyDescent="0.25">
      <c r="A827" s="12"/>
      <c r="B827" s="1"/>
      <c r="E827" s="1"/>
      <c r="F827" s="1"/>
    </row>
    <row r="828" spans="1:6" x14ac:dyDescent="0.25">
      <c r="A828" s="12"/>
      <c r="B828" s="1"/>
      <c r="E828" s="1"/>
      <c r="F828" s="1"/>
    </row>
    <row r="829" spans="1:6" x14ac:dyDescent="0.25">
      <c r="A829" s="12"/>
      <c r="B829" s="1"/>
      <c r="E829" s="1"/>
      <c r="F829" s="1"/>
    </row>
    <row r="830" spans="1:6" x14ac:dyDescent="0.25">
      <c r="A830" s="12"/>
      <c r="B830" s="1"/>
      <c r="E830" s="1"/>
      <c r="F830" s="1"/>
    </row>
    <row r="831" spans="1:6" x14ac:dyDescent="0.25">
      <c r="A831" s="12"/>
      <c r="B831" s="1"/>
      <c r="E831" s="1"/>
      <c r="F831" s="1"/>
    </row>
    <row r="832" spans="1:6" x14ac:dyDescent="0.25">
      <c r="A832" s="12"/>
      <c r="B832" s="1"/>
      <c r="E832" s="1"/>
      <c r="F832" s="1"/>
    </row>
    <row r="833" spans="1:6" x14ac:dyDescent="0.25">
      <c r="A833" s="12"/>
      <c r="B833" s="1"/>
      <c r="E833" s="1"/>
      <c r="F833" s="1"/>
    </row>
    <row r="834" spans="1:6" x14ac:dyDescent="0.25">
      <c r="A834" s="12"/>
      <c r="B834" s="1"/>
      <c r="E834" s="1"/>
      <c r="F834" s="1"/>
    </row>
    <row r="835" spans="1:6" x14ac:dyDescent="0.25">
      <c r="A835" s="12"/>
      <c r="B835" s="1"/>
      <c r="E835" s="1"/>
      <c r="F835" s="1"/>
    </row>
    <row r="836" spans="1:6" x14ac:dyDescent="0.25">
      <c r="A836" s="12"/>
      <c r="B836" s="1"/>
      <c r="E836" s="1"/>
      <c r="F836" s="1"/>
    </row>
    <row r="837" spans="1:6" x14ac:dyDescent="0.25">
      <c r="A837" s="12"/>
      <c r="B837" s="1"/>
      <c r="E837" s="1"/>
      <c r="F837" s="1"/>
    </row>
    <row r="838" spans="1:6" x14ac:dyDescent="0.25">
      <c r="A838" s="12"/>
      <c r="B838" s="1"/>
      <c r="E838" s="1"/>
      <c r="F838" s="1"/>
    </row>
    <row r="839" spans="1:6" x14ac:dyDescent="0.25">
      <c r="A839" s="12"/>
      <c r="B839" s="1"/>
      <c r="E839" s="1"/>
      <c r="F839" s="1"/>
    </row>
    <row r="840" spans="1:6" x14ac:dyDescent="0.25">
      <c r="A840" s="12"/>
      <c r="B840" s="1"/>
      <c r="E840" s="1"/>
      <c r="F840" s="1"/>
    </row>
    <row r="841" spans="1:6" x14ac:dyDescent="0.25">
      <c r="A841" s="12"/>
      <c r="B841" s="1"/>
      <c r="E841" s="1"/>
      <c r="F841" s="1"/>
    </row>
    <row r="842" spans="1:6" x14ac:dyDescent="0.25">
      <c r="A842" s="12"/>
      <c r="B842" s="1"/>
      <c r="E842" s="1"/>
      <c r="F842" s="1"/>
    </row>
    <row r="843" spans="1:6" x14ac:dyDescent="0.25">
      <c r="A843" s="12"/>
      <c r="B843" s="1"/>
      <c r="E843" s="1"/>
      <c r="F843" s="1"/>
    </row>
    <row r="844" spans="1:6" x14ac:dyDescent="0.25">
      <c r="A844" s="12"/>
      <c r="B844" s="1"/>
      <c r="E844" s="1"/>
      <c r="F844" s="1"/>
    </row>
    <row r="845" spans="1:6" x14ac:dyDescent="0.25">
      <c r="A845" s="12"/>
      <c r="B845" s="1"/>
      <c r="E845" s="1"/>
      <c r="F845" s="1"/>
    </row>
    <row r="846" spans="1:6" x14ac:dyDescent="0.25">
      <c r="A846" s="12"/>
      <c r="B846" s="1"/>
      <c r="E846" s="1"/>
      <c r="F846" s="1"/>
    </row>
    <row r="847" spans="1:6" x14ac:dyDescent="0.25">
      <c r="A847" s="12"/>
      <c r="B847" s="1"/>
      <c r="E847" s="1"/>
      <c r="F847" s="1"/>
    </row>
    <row r="848" spans="1:6" x14ac:dyDescent="0.25">
      <c r="A848" s="12"/>
      <c r="B848" s="1"/>
      <c r="E848" s="1"/>
      <c r="F848" s="1"/>
    </row>
    <row r="849" spans="1:6" x14ac:dyDescent="0.25">
      <c r="A849" s="12"/>
      <c r="B849" s="1"/>
      <c r="E849" s="1"/>
      <c r="F849" s="1"/>
    </row>
    <row r="850" spans="1:6" x14ac:dyDescent="0.25">
      <c r="A850" s="12"/>
      <c r="B850" s="1"/>
      <c r="E850" s="1"/>
      <c r="F850" s="1"/>
    </row>
    <row r="851" spans="1:6" x14ac:dyDescent="0.25">
      <c r="A851" s="12"/>
      <c r="B851" s="1"/>
      <c r="E851" s="1"/>
      <c r="F851" s="1"/>
    </row>
    <row r="852" spans="1:6" x14ac:dyDescent="0.25">
      <c r="A852" s="12"/>
      <c r="B852" s="1"/>
      <c r="E852" s="1"/>
      <c r="F852" s="1"/>
    </row>
    <row r="853" spans="1:6" x14ac:dyDescent="0.25">
      <c r="A853" s="12"/>
      <c r="B853" s="1"/>
      <c r="E853" s="1"/>
      <c r="F853" s="1"/>
    </row>
    <row r="854" spans="1:6" x14ac:dyDescent="0.25">
      <c r="A854" s="12"/>
      <c r="B854" s="1"/>
      <c r="E854" s="1"/>
      <c r="F854" s="1"/>
    </row>
    <row r="855" spans="1:6" x14ac:dyDescent="0.25">
      <c r="A855" s="12"/>
      <c r="B855" s="1"/>
      <c r="E855" s="1"/>
      <c r="F855" s="1"/>
    </row>
    <row r="856" spans="1:6" x14ac:dyDescent="0.25">
      <c r="A856" s="12"/>
      <c r="B856" s="1"/>
      <c r="E856" s="1"/>
      <c r="F856" s="1"/>
    </row>
    <row r="857" spans="1:6" x14ac:dyDescent="0.25">
      <c r="A857" s="12"/>
      <c r="B857" s="1"/>
      <c r="E857" s="1"/>
      <c r="F857" s="1"/>
    </row>
    <row r="858" spans="1:6" x14ac:dyDescent="0.25">
      <c r="A858" s="12"/>
      <c r="B858" s="1"/>
      <c r="E858" s="1"/>
      <c r="F858" s="1"/>
    </row>
    <row r="859" spans="1:6" x14ac:dyDescent="0.25">
      <c r="A859" s="12"/>
      <c r="B859" s="1"/>
      <c r="E859" s="1"/>
      <c r="F859" s="1"/>
    </row>
    <row r="860" spans="1:6" x14ac:dyDescent="0.25">
      <c r="A860" s="12"/>
      <c r="B860" s="1"/>
      <c r="E860" s="1"/>
      <c r="F860" s="1"/>
    </row>
    <row r="861" spans="1:6" x14ac:dyDescent="0.25">
      <c r="A861" s="12"/>
      <c r="B861" s="1"/>
      <c r="E861" s="1"/>
      <c r="F861" s="1"/>
    </row>
    <row r="862" spans="1:6" x14ac:dyDescent="0.25">
      <c r="A862" s="12"/>
      <c r="B862" s="1"/>
      <c r="E862" s="1"/>
      <c r="F862" s="1"/>
    </row>
    <row r="863" spans="1:6" x14ac:dyDescent="0.25">
      <c r="A863" s="12"/>
      <c r="B863" s="1"/>
      <c r="E863" s="1"/>
      <c r="F863" s="1"/>
    </row>
    <row r="864" spans="1:6" x14ac:dyDescent="0.25">
      <c r="A864" s="12"/>
      <c r="B864" s="1"/>
      <c r="E864" s="1"/>
      <c r="F864" s="1"/>
    </row>
    <row r="865" spans="1:6" x14ac:dyDescent="0.25">
      <c r="A865" s="12"/>
      <c r="B865" s="1"/>
      <c r="E865" s="1"/>
      <c r="F865" s="1"/>
    </row>
    <row r="866" spans="1:6" x14ac:dyDescent="0.25">
      <c r="A866" s="12"/>
      <c r="B866" s="1"/>
      <c r="E866" s="1"/>
      <c r="F866" s="1"/>
    </row>
    <row r="867" spans="1:6" x14ac:dyDescent="0.25">
      <c r="A867" s="12"/>
      <c r="B867" s="1"/>
      <c r="E867" s="1"/>
      <c r="F867" s="1"/>
    </row>
    <row r="868" spans="1:6" x14ac:dyDescent="0.25">
      <c r="A868" s="12"/>
      <c r="B868" s="1"/>
      <c r="E868" s="1"/>
      <c r="F868" s="1"/>
    </row>
    <row r="869" spans="1:6" x14ac:dyDescent="0.25">
      <c r="A869" s="12"/>
      <c r="B869" s="1"/>
      <c r="E869" s="1"/>
      <c r="F869" s="1"/>
    </row>
    <row r="870" spans="1:6" x14ac:dyDescent="0.25">
      <c r="A870" s="12"/>
      <c r="B870" s="1"/>
      <c r="E870" s="1"/>
      <c r="F870" s="1"/>
    </row>
    <row r="871" spans="1:6" x14ac:dyDescent="0.25">
      <c r="A871" s="12"/>
      <c r="B871" s="1"/>
      <c r="E871" s="1"/>
      <c r="F871" s="1"/>
    </row>
    <row r="872" spans="1:6" x14ac:dyDescent="0.25">
      <c r="A872" s="12"/>
      <c r="B872" s="1"/>
      <c r="E872" s="1"/>
      <c r="F872" s="1"/>
    </row>
    <row r="873" spans="1:6" x14ac:dyDescent="0.25">
      <c r="A873" s="12"/>
      <c r="B873" s="1"/>
      <c r="E873" s="1"/>
      <c r="F873" s="1"/>
    </row>
    <row r="874" spans="1:6" x14ac:dyDescent="0.25">
      <c r="A874" s="12"/>
      <c r="B874" s="1"/>
      <c r="E874" s="1"/>
      <c r="F874" s="1"/>
    </row>
    <row r="875" spans="1:6" x14ac:dyDescent="0.25">
      <c r="A875" s="12"/>
      <c r="B875" s="1"/>
      <c r="E875" s="1"/>
      <c r="F875" s="1"/>
    </row>
    <row r="876" spans="1:6" x14ac:dyDescent="0.25">
      <c r="A876" s="12"/>
      <c r="B876" s="1"/>
      <c r="E876" s="1"/>
      <c r="F876" s="1"/>
    </row>
    <row r="877" spans="1:6" x14ac:dyDescent="0.25">
      <c r="A877" s="12"/>
      <c r="B877" s="1"/>
      <c r="E877" s="1"/>
      <c r="F877" s="1"/>
    </row>
    <row r="878" spans="1:6" x14ac:dyDescent="0.25">
      <c r="A878" s="12"/>
      <c r="B878" s="1"/>
      <c r="E878" s="1"/>
      <c r="F878" s="1"/>
    </row>
    <row r="879" spans="1:6" x14ac:dyDescent="0.25">
      <c r="A879" s="12"/>
      <c r="B879" s="1"/>
      <c r="E879" s="1"/>
      <c r="F879" s="1"/>
    </row>
    <row r="880" spans="1:6" x14ac:dyDescent="0.25">
      <c r="A880" s="12"/>
      <c r="B880" s="1"/>
      <c r="E880" s="1"/>
      <c r="F880" s="1"/>
    </row>
    <row r="881" spans="1:6" x14ac:dyDescent="0.25">
      <c r="A881" s="12"/>
      <c r="B881" s="1"/>
      <c r="E881" s="1"/>
      <c r="F881" s="1"/>
    </row>
    <row r="882" spans="1:6" x14ac:dyDescent="0.25">
      <c r="A882" s="12"/>
      <c r="B882" s="1"/>
      <c r="E882" s="1"/>
      <c r="F882" s="1"/>
    </row>
    <row r="883" spans="1:6" x14ac:dyDescent="0.25">
      <c r="A883" s="12"/>
      <c r="B883" s="1"/>
      <c r="E883" s="1"/>
      <c r="F883" s="1"/>
    </row>
    <row r="884" spans="1:6" x14ac:dyDescent="0.25">
      <c r="A884" s="12"/>
      <c r="B884" s="1"/>
      <c r="E884" s="1"/>
      <c r="F884" s="1"/>
    </row>
    <row r="885" spans="1:6" x14ac:dyDescent="0.25">
      <c r="A885" s="12"/>
      <c r="B885" s="1"/>
      <c r="E885" s="1"/>
      <c r="F885" s="1"/>
    </row>
    <row r="886" spans="1:6" x14ac:dyDescent="0.25">
      <c r="A886" s="12"/>
      <c r="B886" s="1"/>
      <c r="E886" s="1"/>
      <c r="F886" s="1"/>
    </row>
    <row r="887" spans="1:6" x14ac:dyDescent="0.25">
      <c r="A887" s="12"/>
      <c r="B887" s="1"/>
      <c r="E887" s="1"/>
      <c r="F887" s="1"/>
    </row>
    <row r="888" spans="1:6" x14ac:dyDescent="0.25">
      <c r="A888" s="12"/>
      <c r="B888" s="1"/>
      <c r="E888" s="1"/>
      <c r="F888" s="1"/>
    </row>
    <row r="889" spans="1:6" x14ac:dyDescent="0.25">
      <c r="A889" s="12"/>
      <c r="B889" s="1"/>
      <c r="E889" s="1"/>
      <c r="F889" s="1"/>
    </row>
    <row r="890" spans="1:6" x14ac:dyDescent="0.25">
      <c r="A890" s="12"/>
      <c r="B890" s="1"/>
      <c r="E890" s="1"/>
      <c r="F890" s="1"/>
    </row>
    <row r="891" spans="1:6" x14ac:dyDescent="0.25">
      <c r="A891" s="12"/>
      <c r="B891" s="1"/>
      <c r="E891" s="1"/>
      <c r="F891" s="1"/>
    </row>
    <row r="892" spans="1:6" x14ac:dyDescent="0.25">
      <c r="A892" s="12"/>
      <c r="B892" s="1"/>
      <c r="E892" s="1"/>
      <c r="F892" s="1"/>
    </row>
    <row r="893" spans="1:6" x14ac:dyDescent="0.25">
      <c r="A893" s="12"/>
      <c r="B893" s="1"/>
      <c r="E893" s="1"/>
      <c r="F893" s="1"/>
    </row>
    <row r="894" spans="1:6" x14ac:dyDescent="0.25">
      <c r="A894" s="12"/>
      <c r="B894" s="1"/>
      <c r="E894" s="1"/>
      <c r="F894" s="1"/>
    </row>
    <row r="895" spans="1:6" x14ac:dyDescent="0.25">
      <c r="A895" s="12"/>
      <c r="B895" s="1"/>
      <c r="E895" s="1"/>
      <c r="F895" s="1"/>
    </row>
    <row r="896" spans="1:6" x14ac:dyDescent="0.25">
      <c r="A896" s="12"/>
      <c r="B896" s="1"/>
      <c r="E896" s="1"/>
      <c r="F896" s="1"/>
    </row>
    <row r="897" spans="1:6" x14ac:dyDescent="0.25">
      <c r="A897" s="12"/>
      <c r="B897" s="1"/>
      <c r="E897" s="1"/>
      <c r="F897" s="1"/>
    </row>
    <row r="898" spans="1:6" x14ac:dyDescent="0.25">
      <c r="A898" s="12"/>
      <c r="B898" s="1"/>
      <c r="E898" s="1"/>
      <c r="F898" s="1"/>
    </row>
    <row r="899" spans="1:6" x14ac:dyDescent="0.25">
      <c r="A899" s="12"/>
      <c r="B899" s="1"/>
      <c r="E899" s="1"/>
      <c r="F899" s="1"/>
    </row>
    <row r="900" spans="1:6" x14ac:dyDescent="0.25">
      <c r="A900" s="12"/>
      <c r="B900" s="1"/>
      <c r="E900" s="1"/>
      <c r="F900" s="1"/>
    </row>
    <row r="901" spans="1:6" x14ac:dyDescent="0.25">
      <c r="A901" s="12"/>
      <c r="B901" s="1"/>
      <c r="E901" s="1"/>
      <c r="F901" s="1"/>
    </row>
    <row r="902" spans="1:6" x14ac:dyDescent="0.25">
      <c r="A902" s="12"/>
      <c r="B902" s="1"/>
      <c r="E902" s="1"/>
      <c r="F902" s="1"/>
    </row>
    <row r="903" spans="1:6" x14ac:dyDescent="0.25">
      <c r="A903" s="12"/>
      <c r="B903" s="1"/>
      <c r="E903" s="1"/>
      <c r="F903" s="1"/>
    </row>
    <row r="904" spans="1:6" x14ac:dyDescent="0.25">
      <c r="A904" s="12"/>
      <c r="B904" s="1"/>
      <c r="E904" s="1"/>
      <c r="F904" s="1"/>
    </row>
    <row r="905" spans="1:6" x14ac:dyDescent="0.25">
      <c r="A905" s="12"/>
      <c r="B905" s="1"/>
      <c r="E905" s="1"/>
      <c r="F905" s="1"/>
    </row>
    <row r="906" spans="1:6" x14ac:dyDescent="0.25">
      <c r="A906" s="12"/>
      <c r="B906" s="1"/>
      <c r="E906" s="1"/>
      <c r="F906" s="1"/>
    </row>
    <row r="907" spans="1:6" x14ac:dyDescent="0.25">
      <c r="A907" s="12"/>
      <c r="B907" s="1"/>
      <c r="E907" s="1"/>
      <c r="F907" s="1"/>
    </row>
    <row r="908" spans="1:6" x14ac:dyDescent="0.25">
      <c r="A908" s="12"/>
      <c r="B908" s="1"/>
      <c r="E908" s="1"/>
      <c r="F908" s="1"/>
    </row>
    <row r="909" spans="1:6" x14ac:dyDescent="0.25">
      <c r="A909" s="12"/>
      <c r="B909" s="1"/>
      <c r="E909" s="1"/>
      <c r="F909" s="1"/>
    </row>
    <row r="910" spans="1:6" x14ac:dyDescent="0.25">
      <c r="A910" s="12"/>
      <c r="B910" s="1"/>
      <c r="E910" s="1"/>
      <c r="F910" s="1"/>
    </row>
    <row r="911" spans="1:6" x14ac:dyDescent="0.25">
      <c r="A911" s="12"/>
      <c r="B911" s="1"/>
      <c r="E911" s="1"/>
      <c r="F911" s="1"/>
    </row>
    <row r="912" spans="1:6" x14ac:dyDescent="0.25">
      <c r="A912" s="12"/>
      <c r="B912" s="1"/>
      <c r="E912" s="1"/>
      <c r="F912" s="1"/>
    </row>
    <row r="913" spans="1:6" x14ac:dyDescent="0.25">
      <c r="A913" s="12"/>
      <c r="B913" s="1"/>
      <c r="E913" s="1"/>
      <c r="F913" s="1"/>
    </row>
    <row r="914" spans="1:6" x14ac:dyDescent="0.25">
      <c r="A914" s="12"/>
      <c r="B914" s="1"/>
      <c r="E914" s="1"/>
      <c r="F914" s="1"/>
    </row>
    <row r="915" spans="1:6" x14ac:dyDescent="0.25">
      <c r="A915" s="12"/>
      <c r="B915" s="1"/>
      <c r="E915" s="1"/>
      <c r="F915" s="1"/>
    </row>
    <row r="916" spans="1:6" x14ac:dyDescent="0.25">
      <c r="A916" s="12"/>
      <c r="B916" s="1"/>
      <c r="E916" s="1"/>
      <c r="F916" s="1"/>
    </row>
    <row r="917" spans="1:6" x14ac:dyDescent="0.25">
      <c r="A917" s="12"/>
      <c r="B917" s="1"/>
      <c r="E917" s="1"/>
      <c r="F917" s="1"/>
    </row>
    <row r="918" spans="1:6" x14ac:dyDescent="0.25">
      <c r="A918" s="12"/>
      <c r="B918" s="1"/>
      <c r="E918" s="1"/>
      <c r="F918" s="1"/>
    </row>
    <row r="919" spans="1:6" x14ac:dyDescent="0.25">
      <c r="A919" s="12"/>
      <c r="B919" s="1"/>
      <c r="E919" s="1"/>
      <c r="F919" s="1"/>
    </row>
    <row r="920" spans="1:6" x14ac:dyDescent="0.25">
      <c r="A920" s="12"/>
      <c r="B920" s="1"/>
      <c r="E920" s="1"/>
      <c r="F920" s="1"/>
    </row>
    <row r="921" spans="1:6" x14ac:dyDescent="0.25">
      <c r="A921" s="12"/>
      <c r="B921" s="1"/>
      <c r="E921" s="1"/>
      <c r="F921" s="1"/>
    </row>
    <row r="922" spans="1:6" x14ac:dyDescent="0.25">
      <c r="A922" s="12"/>
      <c r="B922" s="1"/>
      <c r="E922" s="1"/>
      <c r="F922" s="1"/>
    </row>
    <row r="923" spans="1:6" x14ac:dyDescent="0.25">
      <c r="A923" s="12"/>
      <c r="B923" s="1"/>
      <c r="E923" s="1"/>
      <c r="F923" s="1"/>
    </row>
    <row r="924" spans="1:6" x14ac:dyDescent="0.25">
      <c r="A924" s="12"/>
      <c r="B924" s="1"/>
      <c r="E924" s="1"/>
      <c r="F924" s="1"/>
    </row>
    <row r="925" spans="1:6" x14ac:dyDescent="0.25">
      <c r="A925" s="12"/>
      <c r="B925" s="1"/>
      <c r="E925" s="1"/>
      <c r="F925" s="1"/>
    </row>
    <row r="926" spans="1:6" x14ac:dyDescent="0.25">
      <c r="A926" s="12"/>
      <c r="B926" s="1"/>
      <c r="E926" s="1"/>
      <c r="F926" s="1"/>
    </row>
    <row r="927" spans="1:6" x14ac:dyDescent="0.25">
      <c r="A927" s="12"/>
      <c r="B927" s="1"/>
      <c r="E927" s="1"/>
      <c r="F927" s="1"/>
    </row>
    <row r="928" spans="1:6" x14ac:dyDescent="0.25">
      <c r="A928" s="12"/>
      <c r="B928" s="1"/>
      <c r="E928" s="1"/>
      <c r="F928" s="1"/>
    </row>
    <row r="929" spans="1:6" x14ac:dyDescent="0.25">
      <c r="A929" s="12"/>
      <c r="B929" s="1"/>
      <c r="E929" s="1"/>
      <c r="F929" s="1"/>
    </row>
    <row r="930" spans="1:6" x14ac:dyDescent="0.25">
      <c r="A930" s="12"/>
      <c r="B930" s="1"/>
      <c r="E930" s="1"/>
      <c r="F930" s="1"/>
    </row>
    <row r="931" spans="1:6" x14ac:dyDescent="0.25">
      <c r="A931" s="12"/>
      <c r="B931" s="1"/>
      <c r="E931" s="1"/>
      <c r="F931" s="1"/>
    </row>
    <row r="932" spans="1:6" x14ac:dyDescent="0.25">
      <c r="A932" s="12"/>
      <c r="B932" s="1"/>
      <c r="E932" s="1"/>
      <c r="F932" s="1"/>
    </row>
    <row r="933" spans="1:6" x14ac:dyDescent="0.25">
      <c r="A933" s="12"/>
      <c r="B933" s="1"/>
      <c r="E933" s="1"/>
      <c r="F933" s="1"/>
    </row>
    <row r="934" spans="1:6" x14ac:dyDescent="0.25">
      <c r="A934" s="12"/>
      <c r="B934" s="1"/>
      <c r="E934" s="1"/>
      <c r="F934" s="1"/>
    </row>
    <row r="935" spans="1:6" x14ac:dyDescent="0.25">
      <c r="A935" s="12"/>
      <c r="B935" s="1"/>
      <c r="E935" s="1"/>
      <c r="F935" s="1"/>
    </row>
    <row r="936" spans="1:6" x14ac:dyDescent="0.25">
      <c r="A936" s="12"/>
      <c r="B936" s="1"/>
      <c r="E936" s="1"/>
      <c r="F936" s="1"/>
    </row>
    <row r="937" spans="1:6" x14ac:dyDescent="0.25">
      <c r="A937" s="12"/>
      <c r="B937" s="1"/>
      <c r="E937" s="1"/>
      <c r="F937" s="1"/>
    </row>
    <row r="938" spans="1:6" x14ac:dyDescent="0.25">
      <c r="A938" s="12"/>
      <c r="B938" s="1"/>
      <c r="E938" s="1"/>
      <c r="F938" s="1"/>
    </row>
    <row r="939" spans="1:6" x14ac:dyDescent="0.25">
      <c r="A939" s="12"/>
      <c r="B939" s="1"/>
      <c r="E939" s="1"/>
      <c r="F939" s="1"/>
    </row>
    <row r="940" spans="1:6" x14ac:dyDescent="0.25">
      <c r="A940" s="12"/>
      <c r="B940" s="1"/>
      <c r="E940" s="1"/>
      <c r="F940" s="1"/>
    </row>
    <row r="941" spans="1:6" x14ac:dyDescent="0.25">
      <c r="A941" s="12"/>
      <c r="B941" s="1"/>
      <c r="E941" s="1"/>
      <c r="F941" s="1"/>
    </row>
    <row r="942" spans="1:6" x14ac:dyDescent="0.25">
      <c r="A942" s="12"/>
      <c r="B942" s="1"/>
      <c r="E942" s="1"/>
      <c r="F942" s="1"/>
    </row>
    <row r="943" spans="1:6" x14ac:dyDescent="0.25">
      <c r="A943" s="12"/>
      <c r="B943" s="1"/>
      <c r="E943" s="1"/>
      <c r="F943" s="1"/>
    </row>
    <row r="944" spans="1:6" x14ac:dyDescent="0.25">
      <c r="A944" s="12"/>
      <c r="B944" s="1"/>
      <c r="E944" s="1"/>
      <c r="F944" s="1"/>
    </row>
    <row r="945" spans="1:6" x14ac:dyDescent="0.25">
      <c r="A945" s="12"/>
      <c r="B945" s="1"/>
      <c r="E945" s="1"/>
      <c r="F945" s="1"/>
    </row>
    <row r="946" spans="1:6" x14ac:dyDescent="0.25">
      <c r="A946" s="12"/>
      <c r="B946" s="1"/>
      <c r="E946" s="1"/>
      <c r="F946" s="1"/>
    </row>
    <row r="947" spans="1:6" x14ac:dyDescent="0.25">
      <c r="A947" s="12"/>
      <c r="B947" s="1"/>
      <c r="E947" s="1"/>
      <c r="F947" s="1"/>
    </row>
    <row r="948" spans="1:6" x14ac:dyDescent="0.25">
      <c r="A948" s="12"/>
      <c r="B948" s="1"/>
      <c r="E948" s="1"/>
      <c r="F948" s="1"/>
    </row>
    <row r="949" spans="1:6" x14ac:dyDescent="0.25">
      <c r="A949" s="12"/>
      <c r="B949" s="1"/>
      <c r="E949" s="1"/>
      <c r="F949" s="1"/>
    </row>
    <row r="950" spans="1:6" x14ac:dyDescent="0.25">
      <c r="A950" s="12"/>
      <c r="B950" s="1"/>
      <c r="E950" s="1"/>
      <c r="F950" s="1"/>
    </row>
    <row r="951" spans="1:6" x14ac:dyDescent="0.25">
      <c r="A951" s="12"/>
      <c r="B951" s="1"/>
      <c r="E951" s="1"/>
      <c r="F951" s="1"/>
    </row>
    <row r="952" spans="1:6" x14ac:dyDescent="0.25">
      <c r="A952" s="12"/>
      <c r="B952" s="1"/>
      <c r="E952" s="1"/>
      <c r="F952" s="1"/>
    </row>
    <row r="953" spans="1:6" x14ac:dyDescent="0.25">
      <c r="A953" s="12"/>
      <c r="B953" s="1"/>
      <c r="E953" s="1"/>
      <c r="F953" s="1"/>
    </row>
    <row r="954" spans="1:6" x14ac:dyDescent="0.25">
      <c r="A954" s="12"/>
      <c r="B954" s="1"/>
      <c r="E954" s="1"/>
      <c r="F954" s="1"/>
    </row>
    <row r="955" spans="1:6" x14ac:dyDescent="0.25">
      <c r="A955" s="12"/>
      <c r="B955" s="1"/>
      <c r="E955" s="1"/>
      <c r="F955" s="1"/>
    </row>
    <row r="956" spans="1:6" x14ac:dyDescent="0.25">
      <c r="A956" s="12"/>
      <c r="B956" s="1"/>
      <c r="E956" s="1"/>
      <c r="F956" s="1"/>
    </row>
    <row r="957" spans="1:6" x14ac:dyDescent="0.25">
      <c r="A957" s="12"/>
      <c r="B957" s="1"/>
      <c r="E957" s="1"/>
      <c r="F957" s="1"/>
    </row>
    <row r="958" spans="1:6" x14ac:dyDescent="0.25">
      <c r="A958" s="12"/>
      <c r="B958" s="1"/>
      <c r="E958" s="1"/>
      <c r="F958" s="1"/>
    </row>
    <row r="959" spans="1:6" x14ac:dyDescent="0.25">
      <c r="A959" s="12"/>
      <c r="B959" s="1"/>
      <c r="E959" s="1"/>
      <c r="F959" s="1"/>
    </row>
    <row r="960" spans="1:6" x14ac:dyDescent="0.25">
      <c r="A960" s="12"/>
      <c r="B960" s="1"/>
      <c r="E960" s="1"/>
      <c r="F960" s="1"/>
    </row>
    <row r="961" spans="1:6" x14ac:dyDescent="0.25">
      <c r="A961" s="12"/>
      <c r="B961" s="1"/>
      <c r="E961" s="1"/>
      <c r="F961" s="1"/>
    </row>
    <row r="962" spans="1:6" x14ac:dyDescent="0.25">
      <c r="A962" s="12"/>
      <c r="B962" s="1"/>
      <c r="E962" s="1"/>
      <c r="F962" s="1"/>
    </row>
    <row r="963" spans="1:6" x14ac:dyDescent="0.25">
      <c r="A963" s="12"/>
      <c r="B963" s="1"/>
      <c r="E963" s="1"/>
      <c r="F963" s="1"/>
    </row>
    <row r="964" spans="1:6" x14ac:dyDescent="0.25">
      <c r="A964" s="12"/>
      <c r="B964" s="1"/>
      <c r="E964" s="1"/>
      <c r="F964" s="1"/>
    </row>
    <row r="965" spans="1:6" x14ac:dyDescent="0.25">
      <c r="A965" s="12"/>
      <c r="B965" s="1"/>
      <c r="E965" s="1"/>
      <c r="F965" s="1"/>
    </row>
    <row r="966" spans="1:6" x14ac:dyDescent="0.25">
      <c r="A966" s="12"/>
      <c r="B966" s="1"/>
      <c r="E966" s="1"/>
      <c r="F966" s="1"/>
    </row>
    <row r="967" spans="1:6" x14ac:dyDescent="0.25">
      <c r="A967" s="12"/>
      <c r="B967" s="1"/>
      <c r="E967" s="1"/>
      <c r="F967" s="1"/>
    </row>
    <row r="968" spans="1:6" x14ac:dyDescent="0.25">
      <c r="A968" s="12"/>
      <c r="B968" s="1"/>
      <c r="E968" s="1"/>
      <c r="F968" s="1"/>
    </row>
    <row r="969" spans="1:6" x14ac:dyDescent="0.25">
      <c r="A969" s="12"/>
      <c r="B969" s="1"/>
      <c r="E969" s="1"/>
      <c r="F969" s="1"/>
    </row>
    <row r="970" spans="1:6" x14ac:dyDescent="0.25">
      <c r="A970" s="12"/>
      <c r="B970" s="1"/>
      <c r="E970" s="1"/>
      <c r="F970" s="1"/>
    </row>
    <row r="971" spans="1:6" x14ac:dyDescent="0.25">
      <c r="A971" s="12"/>
      <c r="B971" s="1"/>
      <c r="E971" s="1"/>
      <c r="F971" s="1"/>
    </row>
    <row r="972" spans="1:6" x14ac:dyDescent="0.25">
      <c r="A972" s="12"/>
      <c r="B972" s="1"/>
      <c r="E972" s="1"/>
      <c r="F972" s="1"/>
    </row>
    <row r="973" spans="1:6" x14ac:dyDescent="0.25">
      <c r="A973" s="12"/>
      <c r="B973" s="1"/>
      <c r="E973" s="1"/>
      <c r="F973" s="1"/>
    </row>
    <row r="974" spans="1:6" x14ac:dyDescent="0.25">
      <c r="A974" s="12"/>
      <c r="B974" s="1"/>
      <c r="E974" s="1"/>
      <c r="F974" s="1"/>
    </row>
    <row r="975" spans="1:6" x14ac:dyDescent="0.25">
      <c r="A975" s="12"/>
      <c r="B975" s="1"/>
      <c r="E975" s="1"/>
      <c r="F975" s="1"/>
    </row>
    <row r="976" spans="1:6" x14ac:dyDescent="0.25">
      <c r="A976" s="12"/>
      <c r="B976" s="1"/>
      <c r="E976" s="1"/>
      <c r="F976" s="1"/>
    </row>
    <row r="977" spans="1:6" x14ac:dyDescent="0.25">
      <c r="A977" s="12"/>
      <c r="B977" s="1"/>
      <c r="E977" s="1"/>
      <c r="F977" s="1"/>
    </row>
    <row r="978" spans="1:6" x14ac:dyDescent="0.25">
      <c r="A978" s="12"/>
      <c r="B978" s="1"/>
      <c r="E978" s="1"/>
      <c r="F978" s="1"/>
    </row>
    <row r="979" spans="1:6" x14ac:dyDescent="0.25">
      <c r="A979" s="12"/>
      <c r="B979" s="1"/>
      <c r="E979" s="1"/>
      <c r="F979" s="1"/>
    </row>
    <row r="980" spans="1:6" x14ac:dyDescent="0.25">
      <c r="A980" s="12"/>
      <c r="B980" s="1"/>
      <c r="E980" s="1"/>
      <c r="F980" s="1"/>
    </row>
    <row r="981" spans="1:6" x14ac:dyDescent="0.25">
      <c r="A981" s="12"/>
      <c r="B981" s="1"/>
      <c r="E981" s="1"/>
      <c r="F981" s="1"/>
    </row>
    <row r="982" spans="1:6" x14ac:dyDescent="0.25">
      <c r="A982" s="12"/>
      <c r="B982" s="1"/>
      <c r="E982" s="1"/>
      <c r="F982" s="1"/>
    </row>
    <row r="983" spans="1:6" x14ac:dyDescent="0.25">
      <c r="A983" s="12"/>
      <c r="B983" s="1"/>
      <c r="E983" s="1"/>
      <c r="F983" s="1"/>
    </row>
    <row r="984" spans="1:6" x14ac:dyDescent="0.25">
      <c r="A984" s="12"/>
      <c r="B984" s="1"/>
      <c r="E984" s="1"/>
      <c r="F984" s="1"/>
    </row>
    <row r="985" spans="1:6" x14ac:dyDescent="0.25">
      <c r="A985" s="12"/>
      <c r="B985" s="1"/>
      <c r="E985" s="1"/>
      <c r="F985" s="1"/>
    </row>
    <row r="986" spans="1:6" x14ac:dyDescent="0.25">
      <c r="A986" s="12"/>
      <c r="B986" s="1"/>
      <c r="E986" s="1"/>
      <c r="F986" s="1"/>
    </row>
    <row r="987" spans="1:6" x14ac:dyDescent="0.25">
      <c r="A987" s="12"/>
      <c r="B987" s="1"/>
      <c r="E987" s="1"/>
      <c r="F987" s="1"/>
    </row>
    <row r="988" spans="1:6" x14ac:dyDescent="0.25">
      <c r="A988" s="12"/>
      <c r="B988" s="1"/>
      <c r="E988" s="1"/>
      <c r="F988" s="1"/>
    </row>
    <row r="989" spans="1:6" x14ac:dyDescent="0.25">
      <c r="A989" s="12"/>
      <c r="B989" s="1"/>
      <c r="E989" s="1"/>
      <c r="F989" s="1"/>
    </row>
    <row r="990" spans="1:6" x14ac:dyDescent="0.25">
      <c r="A990" s="12"/>
      <c r="B990" s="1"/>
      <c r="E990" s="1"/>
      <c r="F990" s="1"/>
    </row>
    <row r="991" spans="1:6" x14ac:dyDescent="0.25">
      <c r="A991" s="12"/>
      <c r="B991" s="1"/>
      <c r="E991" s="1"/>
      <c r="F991" s="1"/>
    </row>
    <row r="992" spans="1:6" x14ac:dyDescent="0.25">
      <c r="A992" s="12"/>
      <c r="B992" s="1"/>
      <c r="E992" s="1"/>
      <c r="F992" s="1"/>
    </row>
    <row r="993" spans="1:6" x14ac:dyDescent="0.25">
      <c r="A993" s="12"/>
      <c r="B993" s="1"/>
      <c r="E993" s="1"/>
      <c r="F993" s="1"/>
    </row>
    <row r="994" spans="1:6" x14ac:dyDescent="0.25">
      <c r="A994" s="12"/>
      <c r="B994" s="1"/>
      <c r="E994" s="1"/>
      <c r="F994" s="1"/>
    </row>
    <row r="995" spans="1:6" x14ac:dyDescent="0.25">
      <c r="A995" s="12"/>
      <c r="B995" s="1"/>
      <c r="E995" s="1"/>
      <c r="F995" s="1"/>
    </row>
    <row r="996" spans="1:6" x14ac:dyDescent="0.25">
      <c r="A996" s="12"/>
      <c r="B996" s="1"/>
      <c r="E996" s="1"/>
      <c r="F996" s="1"/>
    </row>
    <row r="997" spans="1:6" x14ac:dyDescent="0.25">
      <c r="A997" s="12"/>
      <c r="B997" s="1"/>
      <c r="E997" s="1"/>
      <c r="F997" s="1"/>
    </row>
    <row r="998" spans="1:6" x14ac:dyDescent="0.25">
      <c r="A998" s="12"/>
      <c r="B998" s="1"/>
      <c r="E998" s="1"/>
      <c r="F998" s="1"/>
    </row>
    <row r="999" spans="1:6" x14ac:dyDescent="0.25">
      <c r="A999" s="12"/>
      <c r="B999" s="1"/>
      <c r="E999" s="1"/>
      <c r="F999" s="1"/>
    </row>
    <row r="1000" spans="1:6" x14ac:dyDescent="0.25">
      <c r="A1000" s="12"/>
      <c r="B1000" s="1"/>
      <c r="E1000" s="1"/>
      <c r="F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Anderson Oliveira</cp:lastModifiedBy>
  <dcterms:modified xsi:type="dcterms:W3CDTF">2023-09-27T02:11:01Z</dcterms:modified>
</cp:coreProperties>
</file>