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dericorojas\Documents\FAT_SAT\ecmc_bifrost_vac_tank_sat\docs\testplan\"/>
    </mc:Choice>
  </mc:AlternateContent>
  <bookViews>
    <workbookView xWindow="5724" yWindow="1224" windowWidth="27804" windowHeight="16524" tabRatio="627" activeTab="4"/>
  </bookViews>
  <sheets>
    <sheet name="Requirements" sheetId="15" r:id="rId1"/>
    <sheet name="Vaccum Tank Summary" sheetId="2" r:id="rId2"/>
    <sheet name="Initial motion test" sheetId="14" r:id="rId3"/>
    <sheet name="Accuracy" sheetId="12" r:id="rId4"/>
    <sheet name="Repeatability" sheetId="1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2" l="1"/>
  <c r="L7" i="12"/>
  <c r="I19" i="18" l="1"/>
  <c r="I18" i="18"/>
  <c r="F119" i="18"/>
  <c r="F118" i="18"/>
  <c r="F117" i="18"/>
  <c r="F121" i="18" s="1"/>
  <c r="F116" i="18"/>
  <c r="F105" i="18"/>
  <c r="F106" i="18"/>
  <c r="F107" i="18"/>
  <c r="F104" i="18"/>
  <c r="F95" i="18"/>
  <c r="F94" i="18"/>
  <c r="F93" i="18"/>
  <c r="F92" i="18"/>
  <c r="F83" i="18"/>
  <c r="F82" i="18"/>
  <c r="F81" i="18"/>
  <c r="F84" i="18" s="1"/>
  <c r="F80" i="18"/>
  <c r="F71" i="18"/>
  <c r="F70" i="18"/>
  <c r="F69" i="18"/>
  <c r="F68" i="18"/>
  <c r="F59" i="18"/>
  <c r="F58" i="18"/>
  <c r="F57" i="18"/>
  <c r="F56" i="18"/>
  <c r="F47" i="18"/>
  <c r="F46" i="18"/>
  <c r="F45" i="18"/>
  <c r="F48" i="18" s="1"/>
  <c r="F44" i="18"/>
  <c r="F49" i="18" s="1"/>
  <c r="D119" i="18"/>
  <c r="D118" i="18"/>
  <c r="D117" i="18"/>
  <c r="D116" i="18"/>
  <c r="D107" i="18"/>
  <c r="D106" i="18"/>
  <c r="D105" i="18"/>
  <c r="D108" i="18" s="1"/>
  <c r="D104" i="18"/>
  <c r="D95" i="18"/>
  <c r="D94" i="18"/>
  <c r="D93" i="18"/>
  <c r="D92" i="18"/>
  <c r="D83" i="18"/>
  <c r="D82" i="18"/>
  <c r="D81" i="18"/>
  <c r="D80" i="18"/>
  <c r="D69" i="18"/>
  <c r="D70" i="18"/>
  <c r="D71" i="18"/>
  <c r="D68" i="18"/>
  <c r="D57" i="18"/>
  <c r="D58" i="18"/>
  <c r="D59" i="18"/>
  <c r="D56" i="18"/>
  <c r="D45" i="18"/>
  <c r="D46" i="18"/>
  <c r="D47" i="18"/>
  <c r="D44" i="18"/>
  <c r="D33" i="18"/>
  <c r="D34" i="18"/>
  <c r="D35" i="18"/>
  <c r="D32" i="18"/>
  <c r="D36" i="18" s="1"/>
  <c r="F13" i="18"/>
  <c r="F14" i="18"/>
  <c r="F15" i="18"/>
  <c r="F12" i="18"/>
  <c r="F17" i="18" s="1"/>
  <c r="F23" i="18"/>
  <c r="F24" i="18"/>
  <c r="F25" i="18"/>
  <c r="F22" i="18"/>
  <c r="F33" i="18"/>
  <c r="F34" i="18"/>
  <c r="F35" i="18"/>
  <c r="F32" i="18"/>
  <c r="D23" i="18"/>
  <c r="D24" i="18"/>
  <c r="D25" i="18"/>
  <c r="D22" i="18"/>
  <c r="D26" i="18" s="1"/>
  <c r="D13" i="18"/>
  <c r="D16" i="18" s="1"/>
  <c r="D14" i="18"/>
  <c r="D15" i="18"/>
  <c r="D12" i="18"/>
  <c r="D121" i="18"/>
  <c r="F120" i="18"/>
  <c r="D120" i="18"/>
  <c r="D109" i="18"/>
  <c r="F97" i="18"/>
  <c r="D97" i="18"/>
  <c r="F96" i="18"/>
  <c r="D96" i="18"/>
  <c r="D85" i="18"/>
  <c r="D84" i="18"/>
  <c r="F73" i="18"/>
  <c r="D73" i="18"/>
  <c r="F72" i="18"/>
  <c r="D72" i="18"/>
  <c r="F61" i="18"/>
  <c r="D61" i="18"/>
  <c r="F60" i="18"/>
  <c r="D49" i="18"/>
  <c r="D48" i="18"/>
  <c r="D37" i="18"/>
  <c r="D27" i="18"/>
  <c r="F27" i="12"/>
  <c r="E11" i="12" s="1"/>
  <c r="E8" i="12"/>
  <c r="E9" i="12"/>
  <c r="E10" i="12"/>
  <c r="E7" i="12"/>
  <c r="D8" i="12"/>
  <c r="F8" i="12" s="1"/>
  <c r="D9" i="12"/>
  <c r="D10" i="12"/>
  <c r="D11" i="12"/>
  <c r="D7" i="12"/>
  <c r="C122" i="18" l="1"/>
  <c r="F109" i="18"/>
  <c r="F108" i="18"/>
  <c r="C110" i="18" s="1"/>
  <c r="C98" i="18"/>
  <c r="F85" i="18"/>
  <c r="C86" i="18"/>
  <c r="C74" i="18"/>
  <c r="C50" i="18"/>
  <c r="D60" i="18"/>
  <c r="C62" i="18" s="1"/>
  <c r="F16" i="18"/>
  <c r="F36" i="18"/>
  <c r="C38" i="18" s="1"/>
  <c r="F37" i="18"/>
  <c r="F27" i="18"/>
  <c r="F26" i="18"/>
  <c r="C28" i="18" s="1"/>
  <c r="F10" i="12"/>
  <c r="F9" i="12"/>
  <c r="F7" i="12"/>
  <c r="F11" i="12"/>
  <c r="D17" i="18" l="1"/>
  <c r="C18" i="18" l="1"/>
  <c r="G29" i="14" l="1"/>
  <c r="F28" i="14"/>
  <c r="G33" i="14"/>
  <c r="H44" i="14" l="1"/>
  <c r="H42" i="14"/>
  <c r="H53" i="14"/>
  <c r="E52" i="14"/>
  <c r="G37" i="14" l="1"/>
  <c r="G34" i="14"/>
  <c r="G35" i="14"/>
  <c r="G36" i="14"/>
  <c r="G39" i="14"/>
  <c r="G40" i="14"/>
  <c r="G41" i="14"/>
  <c r="G42" i="14"/>
  <c r="G43" i="14"/>
  <c r="G44" i="14"/>
  <c r="G45" i="14"/>
  <c r="G38" i="14"/>
  <c r="D36" i="14"/>
  <c r="M23" i="14"/>
  <c r="N23" i="14" s="1"/>
  <c r="L24" i="14"/>
  <c r="J24" i="14"/>
  <c r="N44" i="14" l="1"/>
  <c r="L35" i="14" l="1"/>
  <c r="K35" i="14"/>
  <c r="D34" i="14"/>
  <c r="D35" i="14"/>
  <c r="D37" i="14"/>
  <c r="D38" i="14"/>
  <c r="D39" i="14"/>
  <c r="D40" i="14"/>
  <c r="D41" i="14"/>
  <c r="D42" i="14"/>
  <c r="D43" i="14"/>
  <c r="D44" i="14"/>
  <c r="D45" i="14"/>
  <c r="D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33" i="14"/>
</calcChain>
</file>

<file path=xl/sharedStrings.xml><?xml version="1.0" encoding="utf-8"?>
<sst xmlns="http://schemas.openxmlformats.org/spreadsheetml/2006/main" count="358" uniqueCount="176">
  <si>
    <t>General Inspection</t>
  </si>
  <si>
    <t>Initial Motion Test</t>
  </si>
  <si>
    <t>Test:</t>
  </si>
  <si>
    <t>1.1</t>
  </si>
  <si>
    <t>1.2</t>
  </si>
  <si>
    <t>1.1.1</t>
  </si>
  <si>
    <t>1.2.1</t>
  </si>
  <si>
    <t>1.2.2</t>
  </si>
  <si>
    <t>1.2.3</t>
  </si>
  <si>
    <t>1.2.4</t>
  </si>
  <si>
    <t>1.2.5</t>
  </si>
  <si>
    <t>1.2.6</t>
  </si>
  <si>
    <t>1.2.7</t>
  </si>
  <si>
    <t xml:space="preserve">   Mechanical</t>
  </si>
  <si>
    <t xml:space="preserve">    Electrical</t>
  </si>
  <si>
    <t>1</t>
  </si>
  <si>
    <t>2</t>
  </si>
  <si>
    <t>3</t>
  </si>
  <si>
    <t xml:space="preserve">        Motor Phase A</t>
  </si>
  <si>
    <t xml:space="preserve">        Motor Phase B</t>
  </si>
  <si>
    <t xml:space="preserve">        Low Limit Switch</t>
  </si>
  <si>
    <t>1.2.8</t>
  </si>
  <si>
    <t xml:space="preserve">        High Limit Switch</t>
  </si>
  <si>
    <t xml:space="preserve">        Observations</t>
  </si>
  <si>
    <t>Accuracy</t>
  </si>
  <si>
    <t>Comment:</t>
  </si>
  <si>
    <t>Status:</t>
  </si>
  <si>
    <t>Description:</t>
  </si>
  <si>
    <t>2.1</t>
  </si>
  <si>
    <t/>
  </si>
  <si>
    <t>Motion Performance</t>
  </si>
  <si>
    <t>Value</t>
  </si>
  <si>
    <t xml:space="preserve">        Grounding</t>
  </si>
  <si>
    <t xml:space="preserve">        Low Kill Switch</t>
  </si>
  <si>
    <t xml:space="preserve">        High Kill Switch</t>
  </si>
  <si>
    <t xml:space="preserve">        Anti-Collision Switch</t>
  </si>
  <si>
    <t>Switch</t>
  </si>
  <si>
    <t>Posital encoder</t>
  </si>
  <si>
    <t>Engage</t>
  </si>
  <si>
    <t>Disengage</t>
  </si>
  <si>
    <t>Position</t>
  </si>
  <si>
    <t>Positional accuracy</t>
  </si>
  <si>
    <t>Positional repeatability</t>
  </si>
  <si>
    <t>Resolution</t>
  </si>
  <si>
    <t>Motion range</t>
  </si>
  <si>
    <t>Max speed</t>
  </si>
  <si>
    <t>Travel time</t>
  </si>
  <si>
    <t>Switching Positions</t>
  </si>
  <si>
    <t>Switching Accuracy</t>
  </si>
  <si>
    <t>0.1 degrees</t>
  </si>
  <si>
    <t>0.05 degrees</t>
  </si>
  <si>
    <t>0.01 degrees</t>
  </si>
  <si>
    <t xml:space="preserve">Central axis to rotate from -4.5 degrees through to 45.5 degrees (0 degrees is perpendicular to the sample position) </t>
  </si>
  <si>
    <t>The assembly shall travel through the range of motion within 15 minutes</t>
  </si>
  <si>
    <t>Switches S1 to S5 according to figure below</t>
  </si>
  <si>
    <t xml:space="preserve">0.1 degrees </t>
  </si>
  <si>
    <t>0.1 deg/s</t>
  </si>
  <si>
    <t>Requirements</t>
  </si>
  <si>
    <t>50deg på 15minuter</t>
  </si>
  <si>
    <t>Range and switch performance</t>
  </si>
  <si>
    <t>High speed test</t>
  </si>
  <si>
    <t>Bidirectional repeatability</t>
  </si>
  <si>
    <t xml:space="preserve">    Range (hard stop to hardstop)</t>
  </si>
  <si>
    <t>3.1</t>
  </si>
  <si>
    <t>3.2</t>
  </si>
  <si>
    <t>3.4</t>
  </si>
  <si>
    <t>3.3</t>
  </si>
  <si>
    <t>3.5</t>
  </si>
  <si>
    <t>3.6</t>
  </si>
  <si>
    <t>Test description</t>
  </si>
  <si>
    <t>Preparations</t>
  </si>
  <si>
    <t>Initial motion tests</t>
  </si>
  <si>
    <t>Check mechanical and electrical connections</t>
  </si>
  <si>
    <t>Tests</t>
  </si>
  <si>
    <t>Comments</t>
  </si>
  <si>
    <t>Accuarcy</t>
  </si>
  <si>
    <t>Posital Encoder</t>
  </si>
  <si>
    <t>Test</t>
  </si>
  <si>
    <t>from below</t>
  </si>
  <si>
    <t>from above</t>
  </si>
  <si>
    <t>0deg</t>
  </si>
  <si>
    <t>10deg</t>
  </si>
  <si>
    <t>20deg</t>
  </si>
  <si>
    <t>30deg</t>
  </si>
  <si>
    <t>40deg</t>
  </si>
  <si>
    <t>Gear ratio deg_m/deg</t>
  </si>
  <si>
    <t>Corerction factor</t>
  </si>
  <si>
    <t>Deg</t>
  </si>
  <si>
    <t>Perpedicular to sample</t>
  </si>
  <si>
    <t>Motor deg</t>
  </si>
  <si>
    <t>Posital value at SAM zero</t>
  </si>
  <si>
    <t>(dir wrong)</t>
  </si>
  <si>
    <t>Posital encoder look damaged</t>
  </si>
  <si>
    <t>Anti collison switch needed adjustment</t>
  </si>
  <si>
    <t>Would have been safetrv to implement the switch in a different way (engaged when allowed to move, same with limits)</t>
  </si>
  <si>
    <t>Move 5 deg:</t>
  </si>
  <si>
    <t>start</t>
  </si>
  <si>
    <t>5 deg</t>
  </si>
  <si>
    <t>Target in deg_motor</t>
  </si>
  <si>
    <t>Encoder</t>
  </si>
  <si>
    <t>Laser</t>
  </si>
  <si>
    <t>open loop</t>
  </si>
  <si>
    <t>AVS</t>
  </si>
  <si>
    <t>ESS</t>
  </si>
  <si>
    <t>Deg_m (AVS)</t>
  </si>
  <si>
    <t>Deg_m with Corr (AVS)</t>
  </si>
  <si>
    <t>High speed test in 0.1deg/s</t>
  </si>
  <si>
    <t>motordeg/s</t>
  </si>
  <si>
    <t>hardstop high</t>
  </si>
  <si>
    <t>Offset</t>
  </si>
  <si>
    <t>Openloop</t>
  </si>
  <si>
    <t>Posital</t>
  </si>
  <si>
    <t>Gearratio</t>
  </si>
  <si>
    <t xml:space="preserve">Positions to approach </t>
  </si>
  <si>
    <t>Range</t>
  </si>
  <si>
    <t>Repeatabilty</t>
  </si>
  <si>
    <t>STD</t>
  </si>
  <si>
    <t>System repeatabilty</t>
  </si>
  <si>
    <t>Low kill</t>
  </si>
  <si>
    <t>Low limit</t>
  </si>
  <si>
    <t>Anti collision</t>
  </si>
  <si>
    <t>High limit</t>
  </si>
  <si>
    <t>High kill</t>
  </si>
  <si>
    <t xml:space="preserve"> Position [deg]</t>
  </si>
  <si>
    <t xml:space="preserve"> Range [deg]</t>
  </si>
  <si>
    <t>OK</t>
  </si>
  <si>
    <t>Needed adjustment</t>
  </si>
  <si>
    <t>Check</t>
  </si>
  <si>
    <t>Not ok</t>
  </si>
  <si>
    <t>Could not reach upper hard limit</t>
  </si>
  <si>
    <t>Seems to have changed slightly</t>
  </si>
  <si>
    <t xml:space="preserve">    Low Kill Engage [deg]</t>
  </si>
  <si>
    <t xml:space="preserve">    Low Kill Disengage [deg]</t>
  </si>
  <si>
    <t xml:space="preserve">    Low Limit Engage [deg]</t>
  </si>
  <si>
    <t xml:space="preserve">    Low Limit Disengage [deg]</t>
  </si>
  <si>
    <t xml:space="preserve">    Anti -Collision Engage [deg]</t>
  </si>
  <si>
    <t xml:space="preserve">    Anti -Collision Disengage [deg]</t>
  </si>
  <si>
    <t xml:space="preserve">    High Limit Engage [deg]</t>
  </si>
  <si>
    <t xml:space="preserve">    High Limit Disengage [deg]</t>
  </si>
  <si>
    <t xml:space="preserve">    High Kill Engage [deg]</t>
  </si>
  <si>
    <t xml:space="preserve">    High Kill Disengage [deg]</t>
  </si>
  <si>
    <t>Bidirectional repeatability [deg]</t>
  </si>
  <si>
    <t>Backlash [deg]</t>
  </si>
  <si>
    <t>Gera ratio open loop []</t>
  </si>
  <si>
    <t>Gera ratio posital encoder []</t>
  </si>
  <si>
    <t>Not measured after collision</t>
  </si>
  <si>
    <t>Even better than before collision but fewer measurements</t>
  </si>
  <si>
    <t>5.1</t>
  </si>
  <si>
    <t>5.2</t>
  </si>
  <si>
    <t>Accuracy open loop [deg]</t>
  </si>
  <si>
    <t>Open loop accuracy seems to be worse after collision. But data is based on only a few measurements.</t>
  </si>
  <si>
    <t>Accuracy Posital encoder[deg]</t>
  </si>
  <si>
    <t>Accuracy Posital encoder [deg]</t>
  </si>
  <si>
    <t>Zero position was treated as a outlier and therefore excluded.</t>
  </si>
  <si>
    <t xml:space="preserve"> Based on one measurement at -10 deg</t>
  </si>
  <si>
    <t xml:space="preserve">Based on highe speed test at 45 deg. Need more data to conclude. </t>
  </si>
  <si>
    <t>Dent on posital encoder housing. Encoder was concluded to work correct.</t>
  </si>
  <si>
    <t xml:space="preserve">Move to 5 positions and record </t>
  </si>
  <si>
    <t>After Collision</t>
  </si>
  <si>
    <t>Gear ratio DIFF (before vs after collision)</t>
  </si>
  <si>
    <t>Open loop</t>
  </si>
  <si>
    <t>posital</t>
  </si>
  <si>
    <t>Open loop raw</t>
  </si>
  <si>
    <t>Posital Encoder Raw</t>
  </si>
  <si>
    <t>Value initial Zero:</t>
  </si>
  <si>
    <t>OL</t>
  </si>
  <si>
    <t>Value Zero after test</t>
  </si>
  <si>
    <t>0.04921875</t>
  </si>
  <si>
    <t>Diff OL Posital</t>
  </si>
  <si>
    <t>Posital encoder raw</t>
  </si>
  <si>
    <t xml:space="preserve">Open loop counter </t>
  </si>
  <si>
    <t>Approach 6 different positions form both directions, Repeat 6 times</t>
  </si>
  <si>
    <t>Max. value</t>
  </si>
  <si>
    <t>Average</t>
  </si>
  <si>
    <t>Max value=</t>
  </si>
  <si>
    <t>Average=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</si>
</sst>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E+00"/>
    <numFmt numFmtId="166" formatCode="0.000000"/>
  </numFmts>
  <fonts count="14" x14ac:knownFonts="1"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7">
    <xf numFmtId="0" fontId="0" fillId="0" borderId="0" xfId="0"/>
    <xf numFmtId="0" fontId="2" fillId="4" borderId="0" xfId="0" applyFont="1" applyFill="1"/>
    <xf numFmtId="0" fontId="2" fillId="4" borderId="0" xfId="0" applyFont="1" applyFill="1" applyBorder="1" applyAlignment="1">
      <alignment wrapText="1"/>
    </xf>
    <xf numFmtId="0" fontId="1" fillId="2" borderId="8" xfId="0" applyFont="1" applyFill="1" applyBorder="1"/>
    <xf numFmtId="0" fontId="1" fillId="2" borderId="9" xfId="0" applyFont="1" applyFill="1" applyBorder="1" applyAlignment="1">
      <alignment vertical="center"/>
    </xf>
    <xf numFmtId="0" fontId="1" fillId="2" borderId="14" xfId="0" applyFont="1" applyFill="1" applyBorder="1"/>
    <xf numFmtId="0" fontId="1" fillId="2" borderId="9" xfId="0" applyFont="1" applyFill="1" applyBorder="1"/>
    <xf numFmtId="0" fontId="1" fillId="2" borderId="10" xfId="0" applyFont="1" applyFill="1" applyBorder="1" applyAlignment="1">
      <alignment wrapText="1"/>
    </xf>
    <xf numFmtId="0" fontId="1" fillId="3" borderId="8" xfId="0" quotePrefix="1" applyFont="1" applyFill="1" applyBorder="1"/>
    <xf numFmtId="0" fontId="1" fillId="3" borderId="9" xfId="0" applyFont="1" applyFill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2" fillId="3" borderId="10" xfId="0" applyFont="1" applyFill="1" applyBorder="1" applyAlignment="1">
      <alignment wrapText="1"/>
    </xf>
    <xf numFmtId="0" fontId="2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wrapText="1"/>
    </xf>
    <xf numFmtId="0" fontId="1" fillId="2" borderId="16" xfId="0" applyFont="1" applyFill="1" applyBorder="1"/>
    <xf numFmtId="0" fontId="1" fillId="2" borderId="17" xfId="0" applyFont="1" applyFill="1" applyBorder="1" applyAlignment="1">
      <alignment vertical="center" wrapText="1"/>
    </xf>
    <xf numFmtId="0" fontId="2" fillId="0" borderId="19" xfId="0" applyFont="1" applyBorder="1" applyAlignment="1">
      <alignment wrapText="1"/>
    </xf>
    <xf numFmtId="0" fontId="1" fillId="2" borderId="3" xfId="0" applyFont="1" applyFill="1" applyBorder="1"/>
    <xf numFmtId="0" fontId="1" fillId="2" borderId="2" xfId="0" applyFont="1" applyFill="1" applyBorder="1" applyAlignment="1">
      <alignment vertical="center" wrapText="1"/>
    </xf>
    <xf numFmtId="0" fontId="2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 applyAlignment="1">
      <alignment vertical="center" wrapText="1"/>
    </xf>
    <xf numFmtId="0" fontId="2" fillId="0" borderId="7" xfId="0" applyFont="1" applyBorder="1" applyAlignment="1">
      <alignment wrapText="1"/>
    </xf>
    <xf numFmtId="0" fontId="1" fillId="2" borderId="11" xfId="0" quotePrefix="1" applyFont="1" applyFill="1" applyBorder="1"/>
    <xf numFmtId="0" fontId="2" fillId="0" borderId="13" xfId="0" applyFont="1" applyBorder="1" applyAlignment="1">
      <alignment wrapText="1"/>
    </xf>
    <xf numFmtId="0" fontId="1" fillId="3" borderId="9" xfId="0" applyFont="1" applyFill="1" applyBorder="1" applyAlignment="1">
      <alignment vertical="center" wrapText="1"/>
    </xf>
    <xf numFmtId="0" fontId="1" fillId="2" borderId="8" xfId="0" quotePrefix="1" applyFont="1" applyFill="1" applyBorder="1"/>
    <xf numFmtId="0" fontId="2" fillId="0" borderId="10" xfId="0" applyFont="1" applyBorder="1" applyAlignment="1">
      <alignment wrapText="1"/>
    </xf>
    <xf numFmtId="0" fontId="1" fillId="2" borderId="12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Border="1" applyAlignment="1">
      <alignment wrapText="1"/>
    </xf>
    <xf numFmtId="0" fontId="1" fillId="0" borderId="0" xfId="0" applyFont="1"/>
    <xf numFmtId="0" fontId="2" fillId="0" borderId="0" xfId="0" quotePrefix="1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 applyAlignment="1">
      <alignment wrapText="1"/>
    </xf>
    <xf numFmtId="0" fontId="2" fillId="2" borderId="18" xfId="0" applyFont="1" applyFill="1" applyBorder="1" applyAlignment="1">
      <alignment vertical="center"/>
    </xf>
    <xf numFmtId="0" fontId="5" fillId="0" borderId="0" xfId="0" applyFont="1"/>
    <xf numFmtId="0" fontId="0" fillId="0" borderId="28" xfId="0" applyBorder="1"/>
    <xf numFmtId="0" fontId="6" fillId="0" borderId="0" xfId="0" applyFont="1" applyAlignment="1"/>
    <xf numFmtId="0" fontId="7" fillId="0" borderId="0" xfId="0" applyFont="1"/>
    <xf numFmtId="0" fontId="8" fillId="2" borderId="8" xfId="0" applyFont="1" applyFill="1" applyBorder="1"/>
    <xf numFmtId="0" fontId="8" fillId="2" borderId="10" xfId="0" applyFont="1" applyFill="1" applyBorder="1"/>
    <xf numFmtId="0" fontId="8" fillId="0" borderId="17" xfId="0" applyFont="1" applyBorder="1"/>
    <xf numFmtId="0" fontId="8" fillId="0" borderId="2" xfId="0" applyFont="1" applyBorder="1"/>
    <xf numFmtId="0" fontId="8" fillId="0" borderId="17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1" fillId="2" borderId="8" xfId="0" quotePrefix="1" applyFont="1" applyFill="1" applyBorder="1" applyAlignment="1">
      <alignment horizontal="left"/>
    </xf>
    <xf numFmtId="0" fontId="1" fillId="2" borderId="9" xfId="0" applyFont="1" applyFill="1" applyBorder="1" applyAlignment="1">
      <alignment vertical="center" wrapText="1"/>
    </xf>
    <xf numFmtId="0" fontId="0" fillId="2" borderId="21" xfId="0" applyFill="1" applyBorder="1"/>
    <xf numFmtId="0" fontId="0" fillId="2" borderId="20" xfId="0" applyFill="1" applyBorder="1"/>
    <xf numFmtId="0" fontId="0" fillId="2" borderId="34" xfId="0" applyFill="1" applyBorder="1"/>
    <xf numFmtId="0" fontId="0" fillId="2" borderId="29" xfId="0" applyFill="1" applyBorder="1"/>
    <xf numFmtId="0" fontId="0" fillId="2" borderId="1" xfId="0" applyFill="1" applyBorder="1"/>
    <xf numFmtId="0" fontId="0" fillId="2" borderId="30" xfId="0" applyFill="1" applyBorder="1"/>
    <xf numFmtId="0" fontId="0" fillId="4" borderId="35" xfId="0" applyFill="1" applyBorder="1"/>
    <xf numFmtId="0" fontId="0" fillId="4" borderId="21" xfId="0" applyFill="1" applyBorder="1"/>
    <xf numFmtId="0" fontId="0" fillId="4" borderId="22" xfId="0" applyFill="1" applyBorder="1"/>
    <xf numFmtId="0" fontId="0" fillId="4" borderId="20" xfId="0" applyFill="1" applyBorder="1"/>
    <xf numFmtId="0" fontId="0" fillId="4" borderId="31" xfId="0" applyFill="1" applyBorder="1"/>
    <xf numFmtId="0" fontId="0" fillId="4" borderId="23" xfId="0" applyFill="1" applyBorder="1"/>
    <xf numFmtId="0" fontId="9" fillId="2" borderId="9" xfId="0" applyFont="1" applyFill="1" applyBorder="1"/>
    <xf numFmtId="0" fontId="9" fillId="2" borderId="10" xfId="0" applyFont="1" applyFill="1" applyBorder="1"/>
    <xf numFmtId="0" fontId="0" fillId="0" borderId="32" xfId="0" applyBorder="1"/>
    <xf numFmtId="0" fontId="9" fillId="2" borderId="24" xfId="0" applyFont="1" applyFill="1" applyBorder="1"/>
    <xf numFmtId="0" fontId="3" fillId="0" borderId="0" xfId="0" applyFont="1"/>
    <xf numFmtId="0" fontId="0" fillId="2" borderId="37" xfId="0" applyFill="1" applyBorder="1"/>
    <xf numFmtId="0" fontId="0" fillId="2" borderId="0" xfId="0" applyFill="1" applyBorder="1"/>
    <xf numFmtId="0" fontId="0" fillId="2" borderId="38" xfId="0" applyFill="1" applyBorder="1"/>
    <xf numFmtId="0" fontId="0" fillId="0" borderId="0" xfId="0" quotePrefix="1" applyBorder="1" applyAlignment="1">
      <alignment horizontal="right"/>
    </xf>
    <xf numFmtId="0" fontId="0" fillId="0" borderId="0" xfId="0" applyBorder="1"/>
    <xf numFmtId="0" fontId="3" fillId="0" borderId="9" xfId="0" applyFont="1" applyBorder="1"/>
    <xf numFmtId="0" fontId="3" fillId="0" borderId="10" xfId="0" applyFont="1" applyBorder="1"/>
    <xf numFmtId="0" fontId="3" fillId="0" borderId="36" xfId="0" applyFont="1" applyBorder="1"/>
    <xf numFmtId="0" fontId="3" fillId="0" borderId="24" xfId="0" applyFont="1" applyBorder="1"/>
    <xf numFmtId="0" fontId="3" fillId="0" borderId="33" xfId="0" applyFont="1" applyBorder="1"/>
    <xf numFmtId="0" fontId="3" fillId="0" borderId="20" xfId="0" applyFont="1" applyBorder="1"/>
    <xf numFmtId="0" fontId="11" fillId="0" borderId="0" xfId="0" applyFont="1"/>
    <xf numFmtId="164" fontId="0" fillId="0" borderId="19" xfId="0" applyNumberFormat="1" applyBorder="1"/>
    <xf numFmtId="164" fontId="0" fillId="0" borderId="7" xfId="0" applyNumberFormat="1" applyBorder="1"/>
    <xf numFmtId="164" fontId="0" fillId="0" borderId="17" xfId="0" applyNumberFormat="1" applyBorder="1"/>
    <xf numFmtId="164" fontId="0" fillId="0" borderId="6" xfId="0" applyNumberFormat="1" applyBorder="1"/>
    <xf numFmtId="164" fontId="0" fillId="0" borderId="25" xfId="0" applyNumberFormat="1" applyBorder="1"/>
    <xf numFmtId="164" fontId="10" fillId="0" borderId="32" xfId="0" applyNumberFormat="1" applyFont="1" applyBorder="1"/>
    <xf numFmtId="0" fontId="3" fillId="2" borderId="24" xfId="0" applyFont="1" applyFill="1" applyBorder="1"/>
    <xf numFmtId="0" fontId="3" fillId="2" borderId="36" xfId="0" applyFont="1" applyFill="1" applyBorder="1"/>
    <xf numFmtId="0" fontId="3" fillId="2" borderId="9" xfId="0" applyFont="1" applyFill="1" applyBorder="1"/>
    <xf numFmtId="0" fontId="3" fillId="2" borderId="10" xfId="0" applyFont="1" applyFill="1" applyBorder="1"/>
    <xf numFmtId="0" fontId="2" fillId="7" borderId="17" xfId="0" applyFont="1" applyFill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4" fillId="7" borderId="17" xfId="0" applyFont="1" applyFill="1" applyBorder="1" applyAlignment="1">
      <alignment vertical="center"/>
    </xf>
    <xf numFmtId="0" fontId="2" fillId="8" borderId="9" xfId="0" applyFont="1" applyFill="1" applyBorder="1" applyAlignment="1">
      <alignment vertical="center"/>
    </xf>
    <xf numFmtId="0" fontId="2" fillId="7" borderId="9" xfId="0" applyFont="1" applyFill="1" applyBorder="1" applyAlignment="1">
      <alignment vertical="center"/>
    </xf>
    <xf numFmtId="165" fontId="2" fillId="2" borderId="17" xfId="0" applyNumberFormat="1" applyFont="1" applyFill="1" applyBorder="1" applyAlignment="1">
      <alignment vertical="center" wrapText="1"/>
    </xf>
    <xf numFmtId="165" fontId="2" fillId="2" borderId="18" xfId="0" applyNumberFormat="1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165" fontId="0" fillId="0" borderId="19" xfId="0" applyNumberFormat="1" applyBorder="1"/>
    <xf numFmtId="165" fontId="0" fillId="0" borderId="7" xfId="0" applyNumberFormat="1" applyBorder="1"/>
    <xf numFmtId="164" fontId="2" fillId="2" borderId="9" xfId="0" applyNumberFormat="1" applyFont="1" applyFill="1" applyBorder="1" applyAlignment="1">
      <alignment vertical="center"/>
    </xf>
    <xf numFmtId="164" fontId="2" fillId="2" borderId="7" xfId="0" applyNumberFormat="1" applyFont="1" applyFill="1" applyBorder="1"/>
    <xf numFmtId="0" fontId="2" fillId="6" borderId="9" xfId="0" applyFont="1" applyFill="1" applyBorder="1" applyAlignment="1">
      <alignment vertical="center"/>
    </xf>
    <xf numFmtId="2" fontId="2" fillId="2" borderId="18" xfId="0" applyNumberFormat="1" applyFont="1" applyFill="1" applyBorder="1" applyAlignment="1">
      <alignment vertical="center"/>
    </xf>
    <xf numFmtId="2" fontId="2" fillId="2" borderId="15" xfId="0" applyNumberFormat="1" applyFont="1" applyFill="1" applyBorder="1" applyAlignment="1">
      <alignment vertical="center"/>
    </xf>
    <xf numFmtId="0" fontId="2" fillId="2" borderId="9" xfId="0" applyFont="1" applyFill="1" applyBorder="1" applyAlignment="1">
      <alignment vertical="center" wrapText="1"/>
    </xf>
    <xf numFmtId="0" fontId="9" fillId="0" borderId="0" xfId="0" applyFont="1" applyFill="1" applyBorder="1"/>
    <xf numFmtId="0" fontId="0" fillId="0" borderId="0" xfId="0" applyFill="1"/>
    <xf numFmtId="0" fontId="0" fillId="6" borderId="0" xfId="0" applyFill="1"/>
    <xf numFmtId="164" fontId="0" fillId="0" borderId="3" xfId="0" applyNumberFormat="1" applyBorder="1"/>
    <xf numFmtId="0" fontId="0" fillId="0" borderId="0" xfId="0" applyFill="1" applyAlignment="1">
      <alignment horizontal="right"/>
    </xf>
    <xf numFmtId="1" fontId="0" fillId="0" borderId="25" xfId="0" applyNumberFormat="1" applyBorder="1"/>
    <xf numFmtId="164" fontId="0" fillId="0" borderId="25" xfId="0" applyNumberFormat="1" applyBorder="1" applyAlignment="1">
      <alignment horizontal="right"/>
    </xf>
    <xf numFmtId="1" fontId="10" fillId="0" borderId="32" xfId="0" applyNumberFormat="1" applyFont="1" applyBorder="1"/>
    <xf numFmtId="164" fontId="12" fillId="0" borderId="0" xfId="0" applyNumberFormat="1" applyFont="1" applyBorder="1"/>
    <xf numFmtId="1" fontId="0" fillId="0" borderId="0" xfId="0" applyNumberFormat="1" applyBorder="1"/>
    <xf numFmtId="1" fontId="10" fillId="0" borderId="0" xfId="0" applyNumberFormat="1" applyFont="1" applyBorder="1"/>
    <xf numFmtId="0" fontId="13" fillId="0" borderId="0" xfId="0" applyNumberFormat="1" applyFont="1"/>
    <xf numFmtId="0" fontId="9" fillId="0" borderId="39" xfId="0" quotePrefix="1" applyNumberFormat="1" applyFont="1" applyBorder="1"/>
    <xf numFmtId="0" fontId="9" fillId="0" borderId="2" xfId="0" applyNumberFormat="1" applyFont="1" applyBorder="1"/>
    <xf numFmtId="0" fontId="9" fillId="0" borderId="4" xfId="0" applyNumberFormat="1" applyFont="1" applyBorder="1"/>
    <xf numFmtId="0" fontId="9" fillId="0" borderId="7" xfId="0" applyNumberFormat="1" applyFont="1" applyBorder="1"/>
    <xf numFmtId="0" fontId="9" fillId="0" borderId="0" xfId="0" applyNumberFormat="1" applyFont="1"/>
    <xf numFmtId="0" fontId="13" fillId="0" borderId="0" xfId="0" quotePrefix="1" applyNumberFormat="1" applyFont="1"/>
    <xf numFmtId="0" fontId="9" fillId="2" borderId="1" xfId="0" applyNumberFormat="1" applyFont="1" applyFill="1" applyBorder="1"/>
    <xf numFmtId="0" fontId="9" fillId="2" borderId="30" xfId="0" applyNumberFormat="1" applyFont="1" applyFill="1" applyBorder="1"/>
    <xf numFmtId="0" fontId="13" fillId="5" borderId="0" xfId="0" applyNumberFormat="1" applyFont="1" applyFill="1" applyBorder="1"/>
    <xf numFmtId="0" fontId="13" fillId="5" borderId="0" xfId="0" applyNumberFormat="1" applyFont="1" applyFill="1"/>
    <xf numFmtId="0" fontId="9" fillId="0" borderId="21" xfId="0" applyNumberFormat="1" applyFont="1" applyFill="1" applyBorder="1"/>
    <xf numFmtId="0" fontId="9" fillId="4" borderId="35" xfId="0" applyNumberFormat="1" applyFont="1" applyFill="1" applyBorder="1"/>
    <xf numFmtId="0" fontId="9" fillId="4" borderId="22" xfId="0" applyNumberFormat="1" applyFont="1" applyFill="1" applyBorder="1"/>
    <xf numFmtId="0" fontId="9" fillId="6" borderId="0" xfId="0" applyNumberFormat="1" applyFont="1" applyFill="1"/>
    <xf numFmtId="0" fontId="9" fillId="4" borderId="21" xfId="0" applyNumberFormat="1" applyFont="1" applyFill="1" applyBorder="1"/>
    <xf numFmtId="0" fontId="9" fillId="4" borderId="20" xfId="0" applyNumberFormat="1" applyFont="1" applyFill="1" applyBorder="1"/>
    <xf numFmtId="0" fontId="9" fillId="4" borderId="31" xfId="0" applyNumberFormat="1" applyFont="1" applyFill="1" applyBorder="1"/>
    <xf numFmtId="0" fontId="9" fillId="4" borderId="23" xfId="0" applyNumberFormat="1" applyFont="1" applyFill="1" applyBorder="1"/>
    <xf numFmtId="0" fontId="9" fillId="2" borderId="40" xfId="0" applyNumberFormat="1" applyFont="1" applyFill="1" applyBorder="1"/>
    <xf numFmtId="0" fontId="9" fillId="0" borderId="2" xfId="0" applyNumberFormat="1" applyFont="1" applyBorder="1" applyAlignment="1">
      <alignment vertical="center"/>
    </xf>
    <xf numFmtId="0" fontId="9" fillId="2" borderId="26" xfId="0" applyNumberFormat="1" applyFont="1" applyFill="1" applyBorder="1"/>
    <xf numFmtId="0" fontId="9" fillId="2" borderId="39" xfId="0" applyNumberFormat="1" applyFont="1" applyFill="1" applyBorder="1"/>
    <xf numFmtId="0" fontId="9" fillId="2" borderId="27" xfId="0" applyNumberFormat="1" applyFont="1" applyFill="1" applyBorder="1"/>
    <xf numFmtId="0" fontId="9" fillId="2" borderId="3" xfId="0" applyNumberFormat="1" applyFont="1" applyFill="1" applyBorder="1"/>
    <xf numFmtId="0" fontId="9" fillId="2" borderId="5" xfId="0" applyNumberFormat="1" applyFont="1" applyFill="1" applyBorder="1"/>
    <xf numFmtId="0" fontId="9" fillId="0" borderId="6" xfId="0" applyNumberFormat="1" applyFont="1" applyBorder="1" applyAlignment="1">
      <alignment vertical="center"/>
    </xf>
    <xf numFmtId="0" fontId="9" fillId="5" borderId="6" xfId="0" applyNumberFormat="1" applyFont="1" applyFill="1" applyBorder="1"/>
    <xf numFmtId="0" fontId="9" fillId="0" borderId="6" xfId="0" applyNumberFormat="1" applyFont="1" applyBorder="1"/>
    <xf numFmtId="0" fontId="9" fillId="0" borderId="6" xfId="0" applyNumberFormat="1" applyFont="1" applyFill="1" applyBorder="1"/>
    <xf numFmtId="166" fontId="9" fillId="0" borderId="2" xfId="0" applyNumberFormat="1" applyFont="1" applyBorder="1" applyAlignment="1">
      <alignment vertical="center"/>
    </xf>
    <xf numFmtId="166" fontId="9" fillId="0" borderId="39" xfId="0" quotePrefix="1" applyNumberFormat="1" applyFont="1" applyBorder="1"/>
    <xf numFmtId="0" fontId="9" fillId="0" borderId="2" xfId="0" applyNumberFormat="1" applyFont="1" applyBorder="1" applyAlignment="1">
      <alignment horizontal="right" vertical="center"/>
    </xf>
    <xf numFmtId="1" fontId="9" fillId="0" borderId="25" xfId="0" applyNumberFormat="1" applyFont="1" applyBorder="1"/>
    <xf numFmtId="164" fontId="9" fillId="0" borderId="25" xfId="0" applyNumberFormat="1" applyFont="1" applyBorder="1"/>
    <xf numFmtId="164" fontId="9" fillId="0" borderId="0" xfId="0" applyNumberFormat="1" applyFont="1"/>
    <xf numFmtId="0" fontId="0" fillId="0" borderId="0" xfId="0" applyAlignment="1">
      <alignment horizontal="right"/>
    </xf>
    <xf numFmtId="164" fontId="0" fillId="6" borderId="19" xfId="0" applyNumberFormat="1" applyFill="1" applyBorder="1"/>
    <xf numFmtId="164" fontId="0" fillId="6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901700</xdr:colOff>
      <xdr:row>17</xdr:row>
      <xdr:rowOff>0</xdr:rowOff>
    </xdr:from>
    <xdr:to>
      <xdr:col>6</xdr:col>
      <xdr:colOff>355600</xdr:colOff>
      <xdr:row>42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36751D-2E5E-5B42-85C9-6229BF5C7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1700" y="4178300"/>
          <a:ext cx="9563100" cy="5207000"/>
        </a:xfrm>
        <a:prstGeom prst="rect">
          <a:avLst/>
        </a:prstGeom>
      </xdr:spPr>
    </xdr:pic>
    <xdr:clientData/>
  </xdr:twoCellAnchor>
  <xdr:twoCellAnchor editAs="oneCell">
    <xdr:from>
      <xdr:col>7</xdr:col>
      <xdr:colOff>330200</xdr:colOff>
      <xdr:row>6</xdr:row>
      <xdr:rowOff>139700</xdr:rowOff>
    </xdr:from>
    <xdr:to>
      <xdr:col>11</xdr:col>
      <xdr:colOff>520700</xdr:colOff>
      <xdr:row>14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67ADD1-162A-7148-AC87-2D1F88908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64900" y="1422400"/>
          <a:ext cx="3492500" cy="2197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6</xdr:row>
      <xdr:rowOff>203200</xdr:rowOff>
    </xdr:from>
    <xdr:to>
      <xdr:col>12</xdr:col>
      <xdr:colOff>1168400</xdr:colOff>
      <xdr:row>17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BB3817-0C19-5844-B47B-C9723B062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53400" y="1422400"/>
          <a:ext cx="3492500" cy="2197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25"/>
  <sheetViews>
    <sheetView workbookViewId="0">
      <selection activeCell="C7" sqref="C7"/>
    </sheetView>
  </sheetViews>
  <sheetFormatPr defaultColWidth="11.19921875" defaultRowHeight="15.6" x14ac:dyDescent="0.3"/>
  <cols>
    <col min="1" max="1" width="23" bestFit="1" customWidth="1"/>
    <col min="2" max="2" width="24" bestFit="1" customWidth="1"/>
    <col min="3" max="3" width="53.19921875" customWidth="1"/>
  </cols>
  <sheetData>
    <row r="5" spans="2:3" ht="16.2" thickBot="1" x14ac:dyDescent="0.35"/>
    <row r="6" spans="2:3" ht="18.600000000000001" thickBot="1" x14ac:dyDescent="0.4">
      <c r="B6" s="43" t="s">
        <v>57</v>
      </c>
      <c r="C6" s="44" t="s">
        <v>31</v>
      </c>
    </row>
    <row r="7" spans="2:3" ht="18" x14ac:dyDescent="0.35">
      <c r="B7" s="45" t="s">
        <v>41</v>
      </c>
      <c r="C7" s="47" t="s">
        <v>49</v>
      </c>
    </row>
    <row r="8" spans="2:3" ht="18" x14ac:dyDescent="0.35">
      <c r="B8" s="46" t="s">
        <v>42</v>
      </c>
      <c r="C8" s="48" t="s">
        <v>50</v>
      </c>
    </row>
    <row r="9" spans="2:3" ht="18" x14ac:dyDescent="0.35">
      <c r="B9" s="46" t="s">
        <v>43</v>
      </c>
      <c r="C9" s="48" t="s">
        <v>51</v>
      </c>
    </row>
    <row r="10" spans="2:3" ht="54" x14ac:dyDescent="0.35">
      <c r="B10" s="46" t="s">
        <v>44</v>
      </c>
      <c r="C10" s="48" t="s">
        <v>52</v>
      </c>
    </row>
    <row r="11" spans="2:3" ht="18" x14ac:dyDescent="0.35">
      <c r="B11" s="46" t="s">
        <v>45</v>
      </c>
      <c r="C11" s="48" t="s">
        <v>56</v>
      </c>
    </row>
    <row r="12" spans="2:3" ht="36" x14ac:dyDescent="0.35">
      <c r="B12" s="46" t="s">
        <v>46</v>
      </c>
      <c r="C12" s="48" t="s">
        <v>53</v>
      </c>
    </row>
    <row r="13" spans="2:3" ht="18" x14ac:dyDescent="0.35">
      <c r="B13" s="46" t="s">
        <v>47</v>
      </c>
      <c r="C13" s="48" t="s">
        <v>54</v>
      </c>
    </row>
    <row r="14" spans="2:3" ht="18" x14ac:dyDescent="0.35">
      <c r="B14" s="46" t="s">
        <v>48</v>
      </c>
      <c r="C14" s="48" t="s">
        <v>55</v>
      </c>
    </row>
    <row r="15" spans="2:3" x14ac:dyDescent="0.3">
      <c r="C15" s="42"/>
    </row>
    <row r="18" spans="1:1" x14ac:dyDescent="0.3">
      <c r="A18" s="41"/>
    </row>
    <row r="19" spans="1:1" x14ac:dyDescent="0.3">
      <c r="A19" s="41"/>
    </row>
    <row r="20" spans="1:1" x14ac:dyDescent="0.3">
      <c r="A20" s="41"/>
    </row>
    <row r="21" spans="1:1" x14ac:dyDescent="0.3">
      <c r="A21" s="41"/>
    </row>
    <row r="22" spans="1:1" x14ac:dyDescent="0.3">
      <c r="A22" s="41"/>
    </row>
    <row r="23" spans="1:1" x14ac:dyDescent="0.3">
      <c r="A23" s="41"/>
    </row>
    <row r="24" spans="1:1" x14ac:dyDescent="0.3">
      <c r="A24" s="41"/>
    </row>
    <row r="25" spans="1:1" x14ac:dyDescent="0.3">
      <c r="A25" s="4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opLeftCell="A25" zoomScale="85" workbookViewId="0">
      <selection activeCell="G35" sqref="G35"/>
    </sheetView>
  </sheetViews>
  <sheetFormatPr defaultColWidth="10.796875" defaultRowHeight="12" x14ac:dyDescent="0.25"/>
  <cols>
    <col min="1" max="1" width="10.796875" style="31"/>
    <col min="2" max="2" width="10.796875" style="31" customWidth="1"/>
    <col min="3" max="3" width="21.796875" style="31" customWidth="1"/>
    <col min="4" max="4" width="9.69921875" style="31" customWidth="1"/>
    <col min="5" max="5" width="6.5" style="31" customWidth="1"/>
    <col min="6" max="6" width="39.19921875" style="37" customWidth="1"/>
    <col min="7" max="8" width="10.796875" style="31"/>
    <col min="9" max="9" width="13" style="31" bestFit="1" customWidth="1"/>
    <col min="10" max="16384" width="10.796875" style="31"/>
  </cols>
  <sheetData>
    <row r="1" spans="2:6" x14ac:dyDescent="0.25">
      <c r="F1" s="32"/>
    </row>
    <row r="2" spans="2:6" ht="12.6" thickBot="1" x14ac:dyDescent="0.3">
      <c r="B2" s="1"/>
      <c r="C2" s="1"/>
      <c r="D2" s="1"/>
      <c r="E2" s="1"/>
      <c r="F2" s="2"/>
    </row>
    <row r="3" spans="2:6" s="33" customFormat="1" ht="12.6" thickBot="1" x14ac:dyDescent="0.3">
      <c r="B3" s="3" t="s">
        <v>2</v>
      </c>
      <c r="C3" s="4" t="s">
        <v>27</v>
      </c>
      <c r="D3" s="5" t="s">
        <v>31</v>
      </c>
      <c r="E3" s="6" t="s">
        <v>26</v>
      </c>
      <c r="F3" s="7" t="s">
        <v>25</v>
      </c>
    </row>
    <row r="4" spans="2:6" ht="12.6" thickBot="1" x14ac:dyDescent="0.3">
      <c r="B4" s="8" t="s">
        <v>15</v>
      </c>
      <c r="C4" s="9" t="s">
        <v>0</v>
      </c>
      <c r="D4" s="10"/>
      <c r="E4" s="11"/>
      <c r="F4" s="12"/>
    </row>
    <row r="5" spans="2:6" ht="12.6" thickBot="1" x14ac:dyDescent="0.3">
      <c r="B5" s="3" t="s">
        <v>3</v>
      </c>
      <c r="C5" s="4" t="s">
        <v>13</v>
      </c>
      <c r="D5" s="4"/>
      <c r="E5" s="13"/>
      <c r="F5" s="14"/>
    </row>
    <row r="6" spans="2:6" ht="24.6" thickBot="1" x14ac:dyDescent="0.3">
      <c r="B6" s="15" t="s">
        <v>5</v>
      </c>
      <c r="C6" s="30" t="s">
        <v>23</v>
      </c>
      <c r="D6" s="30"/>
      <c r="E6" s="93" t="s">
        <v>125</v>
      </c>
      <c r="F6" s="17" t="s">
        <v>156</v>
      </c>
    </row>
    <row r="7" spans="2:6" ht="12.6" thickBot="1" x14ac:dyDescent="0.3">
      <c r="B7" s="3" t="s">
        <v>4</v>
      </c>
      <c r="C7" s="4" t="s">
        <v>14</v>
      </c>
      <c r="D7" s="4"/>
      <c r="E7" s="13"/>
      <c r="F7" s="14"/>
    </row>
    <row r="8" spans="2:6" x14ac:dyDescent="0.25">
      <c r="B8" s="15" t="s">
        <v>6</v>
      </c>
      <c r="C8" s="16" t="s">
        <v>23</v>
      </c>
      <c r="D8" s="16"/>
      <c r="E8" s="90"/>
      <c r="F8" s="17"/>
    </row>
    <row r="9" spans="2:6" x14ac:dyDescent="0.25">
      <c r="B9" s="15" t="s">
        <v>7</v>
      </c>
      <c r="C9" s="19" t="s">
        <v>32</v>
      </c>
      <c r="D9" s="16"/>
      <c r="E9" s="90" t="s">
        <v>125</v>
      </c>
      <c r="F9" s="17"/>
    </row>
    <row r="10" spans="2:6" x14ac:dyDescent="0.25">
      <c r="B10" s="18" t="s">
        <v>8</v>
      </c>
      <c r="C10" s="19" t="s">
        <v>18</v>
      </c>
      <c r="D10" s="19"/>
      <c r="E10" s="91" t="s">
        <v>125</v>
      </c>
      <c r="F10" s="20"/>
    </row>
    <row r="11" spans="2:6" x14ac:dyDescent="0.25">
      <c r="B11" s="18" t="s">
        <v>9</v>
      </c>
      <c r="C11" s="19" t="s">
        <v>19</v>
      </c>
      <c r="D11" s="19"/>
      <c r="E11" s="91" t="s">
        <v>125</v>
      </c>
      <c r="F11" s="20"/>
    </row>
    <row r="12" spans="2:6" x14ac:dyDescent="0.25">
      <c r="B12" s="18" t="s">
        <v>10</v>
      </c>
      <c r="C12" s="19" t="s">
        <v>20</v>
      </c>
      <c r="D12" s="19"/>
      <c r="E12" s="91" t="s">
        <v>125</v>
      </c>
      <c r="F12" s="20"/>
    </row>
    <row r="13" spans="2:6" x14ac:dyDescent="0.25">
      <c r="B13" s="18" t="s">
        <v>11</v>
      </c>
      <c r="C13" s="19" t="s">
        <v>22</v>
      </c>
      <c r="D13" s="19"/>
      <c r="E13" s="91" t="s">
        <v>125</v>
      </c>
      <c r="F13" s="20"/>
    </row>
    <row r="14" spans="2:6" x14ac:dyDescent="0.25">
      <c r="B14" s="18" t="s">
        <v>12</v>
      </c>
      <c r="C14" s="19" t="s">
        <v>35</v>
      </c>
      <c r="D14" s="19"/>
      <c r="E14" s="91" t="s">
        <v>125</v>
      </c>
      <c r="F14" s="20" t="s">
        <v>126</v>
      </c>
    </row>
    <row r="15" spans="2:6" x14ac:dyDescent="0.25">
      <c r="B15" s="18" t="s">
        <v>21</v>
      </c>
      <c r="C15" s="19" t="s">
        <v>33</v>
      </c>
      <c r="D15" s="19"/>
      <c r="E15" s="91" t="s">
        <v>125</v>
      </c>
      <c r="F15" s="20"/>
    </row>
    <row r="16" spans="2:6" ht="12.6" thickBot="1" x14ac:dyDescent="0.3">
      <c r="B16" s="21" t="s">
        <v>21</v>
      </c>
      <c r="C16" s="22" t="s">
        <v>34</v>
      </c>
      <c r="D16" s="22"/>
      <c r="E16" s="92" t="s">
        <v>125</v>
      </c>
      <c r="F16" s="23"/>
    </row>
    <row r="17" spans="1:18" ht="12.6" thickBot="1" x14ac:dyDescent="0.3"/>
    <row r="18" spans="1:18" ht="12.6" thickBot="1" x14ac:dyDescent="0.3">
      <c r="B18" s="8" t="s">
        <v>16</v>
      </c>
      <c r="C18" s="9" t="s">
        <v>1</v>
      </c>
      <c r="D18" s="10"/>
      <c r="E18" s="11"/>
      <c r="F18" s="12"/>
    </row>
    <row r="19" spans="1:18" x14ac:dyDescent="0.25">
      <c r="A19" s="34" t="s">
        <v>29</v>
      </c>
      <c r="B19" s="15" t="s">
        <v>28</v>
      </c>
      <c r="C19" s="16" t="s">
        <v>144</v>
      </c>
      <c r="D19" s="96">
        <v>-4.4524999999999998E-5</v>
      </c>
      <c r="E19" s="90" t="s">
        <v>125</v>
      </c>
      <c r="F19" s="17"/>
    </row>
    <row r="20" spans="1:18" s="35" customFormat="1" x14ac:dyDescent="0.25">
      <c r="A20" s="36"/>
      <c r="B20" s="15" t="s">
        <v>28</v>
      </c>
      <c r="C20" s="30" t="s">
        <v>143</v>
      </c>
      <c r="D20" s="97">
        <v>8.1062000000000004E-5</v>
      </c>
      <c r="E20" s="91" t="s">
        <v>125</v>
      </c>
      <c r="F20" s="17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</row>
    <row r="21" spans="1:18" s="35" customFormat="1" ht="12.6" thickBot="1" x14ac:dyDescent="0.3">
      <c r="A21" s="36"/>
      <c r="B21" s="15" t="s">
        <v>28</v>
      </c>
      <c r="C21" s="30" t="s">
        <v>142</v>
      </c>
      <c r="D21" s="38">
        <v>0.01</v>
      </c>
      <c r="E21" s="91" t="s">
        <v>125</v>
      </c>
      <c r="F21" s="17" t="s">
        <v>154</v>
      </c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</row>
    <row r="22" spans="1:18" ht="12.6" thickBot="1" x14ac:dyDescent="0.3">
      <c r="B22" s="8"/>
      <c r="C22" s="26" t="s">
        <v>30</v>
      </c>
      <c r="D22" s="10"/>
      <c r="E22" s="11"/>
      <c r="F22" s="12"/>
    </row>
    <row r="23" spans="1:18" ht="16.2" thickBot="1" x14ac:dyDescent="0.35">
      <c r="B23" s="27" t="s">
        <v>17</v>
      </c>
      <c r="C23" s="4" t="s">
        <v>59</v>
      </c>
      <c r="D23" s="4"/>
      <c r="E23" s="4"/>
      <c r="F23" s="28"/>
      <c r="H23" s="76"/>
      <c r="I23" s="75" t="s">
        <v>112</v>
      </c>
      <c r="J23" s="73" t="s">
        <v>109</v>
      </c>
      <c r="K23" s="74" t="s">
        <v>24</v>
      </c>
    </row>
    <row r="24" spans="1:18" s="35" customFormat="1" ht="16.2" thickBot="1" x14ac:dyDescent="0.35">
      <c r="A24" s="36" t="s">
        <v>29</v>
      </c>
      <c r="B24" s="15" t="s">
        <v>63</v>
      </c>
      <c r="C24" s="30" t="s">
        <v>62</v>
      </c>
      <c r="D24" s="38"/>
      <c r="E24" s="94" t="s">
        <v>128</v>
      </c>
      <c r="F24" s="28" t="s">
        <v>129</v>
      </c>
      <c r="G24" s="31"/>
      <c r="H24" s="77" t="s">
        <v>110</v>
      </c>
      <c r="I24" s="65">
        <v>8.1062000000000004E-5</v>
      </c>
      <c r="J24" s="82">
        <v>-1.66E-2</v>
      </c>
      <c r="K24" s="80">
        <v>3.8999999999980162E-3</v>
      </c>
      <c r="L24" s="31"/>
      <c r="M24" s="31"/>
      <c r="N24" s="31"/>
      <c r="O24" s="31"/>
      <c r="P24" s="31"/>
      <c r="Q24" s="31"/>
      <c r="R24" s="31"/>
    </row>
    <row r="25" spans="1:18" s="35" customFormat="1" ht="16.2" thickBot="1" x14ac:dyDescent="0.35">
      <c r="A25" s="36"/>
      <c r="B25" s="15" t="s">
        <v>64</v>
      </c>
      <c r="C25" s="30" t="s">
        <v>131</v>
      </c>
      <c r="D25" s="104">
        <v>-4.6059840325199994</v>
      </c>
      <c r="E25" s="91" t="s">
        <v>125</v>
      </c>
      <c r="F25" s="17"/>
      <c r="G25" s="31"/>
      <c r="H25" s="78" t="s">
        <v>111</v>
      </c>
      <c r="I25" s="40">
        <v>-4.4524999999999998E-5</v>
      </c>
      <c r="J25" s="83">
        <v>30.726199999999999</v>
      </c>
      <c r="K25" s="81">
        <v>6.7000000000003723E-3</v>
      </c>
      <c r="L25" s="31"/>
      <c r="M25" s="31"/>
      <c r="N25" s="31"/>
      <c r="O25" s="31"/>
      <c r="P25" s="31"/>
      <c r="Q25" s="31"/>
      <c r="R25" s="31"/>
    </row>
    <row r="26" spans="1:18" s="35" customFormat="1" ht="16.2" thickBot="1" x14ac:dyDescent="0.35">
      <c r="A26" s="36"/>
      <c r="B26" s="15" t="s">
        <v>64</v>
      </c>
      <c r="C26" s="30" t="s">
        <v>132</v>
      </c>
      <c r="D26" s="104">
        <v>-4.5738378981400007</v>
      </c>
      <c r="E26" s="91" t="s">
        <v>125</v>
      </c>
      <c r="F26" s="17"/>
      <c r="G26" s="31"/>
      <c r="H26" s="78" t="s">
        <v>111</v>
      </c>
      <c r="I26" s="40">
        <v>-4.4524999999999998E-5</v>
      </c>
      <c r="J26" s="83">
        <v>30.726199999999999</v>
      </c>
      <c r="K26" s="81">
        <v>6.7000000000003723E-3</v>
      </c>
      <c r="L26" s="31"/>
      <c r="M26" s="31"/>
      <c r="N26" s="31"/>
      <c r="O26" s="31"/>
      <c r="P26" s="31"/>
      <c r="Q26" s="31"/>
      <c r="R26" s="31"/>
    </row>
    <row r="27" spans="1:18" s="35" customFormat="1" x14ac:dyDescent="0.25">
      <c r="B27" s="24" t="s">
        <v>66</v>
      </c>
      <c r="C27" s="29" t="s">
        <v>133</v>
      </c>
      <c r="D27" s="105">
        <v>-4.2809795807999995</v>
      </c>
      <c r="E27" s="91" t="s">
        <v>125</v>
      </c>
      <c r="F27" s="25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</row>
    <row r="28" spans="1:18" s="35" customFormat="1" x14ac:dyDescent="0.25">
      <c r="B28" s="24" t="s">
        <v>66</v>
      </c>
      <c r="C28" s="29" t="s">
        <v>134</v>
      </c>
      <c r="D28" s="105">
        <v>-4.2534626325599998</v>
      </c>
      <c r="E28" s="91" t="s">
        <v>125</v>
      </c>
      <c r="F28" s="25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</row>
    <row r="29" spans="1:18" s="35" customFormat="1" x14ac:dyDescent="0.25">
      <c r="B29" s="24" t="s">
        <v>65</v>
      </c>
      <c r="C29" s="29" t="s">
        <v>135</v>
      </c>
      <c r="D29" s="105">
        <v>32.862574504000001</v>
      </c>
      <c r="E29" s="91" t="s">
        <v>125</v>
      </c>
      <c r="F29" s="25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</row>
    <row r="30" spans="1:18" s="35" customFormat="1" x14ac:dyDescent="0.25">
      <c r="B30" s="24" t="s">
        <v>65</v>
      </c>
      <c r="C30" s="29" t="s">
        <v>136</v>
      </c>
      <c r="D30" s="105">
        <v>32.831060437799991</v>
      </c>
      <c r="E30" s="91" t="s">
        <v>125</v>
      </c>
      <c r="F30" s="25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</row>
    <row r="31" spans="1:18" s="35" customFormat="1" x14ac:dyDescent="0.25">
      <c r="B31" s="24" t="s">
        <v>67</v>
      </c>
      <c r="C31" s="29" t="s">
        <v>137</v>
      </c>
      <c r="D31" s="105">
        <v>44.965002099999992</v>
      </c>
      <c r="E31" s="91" t="s">
        <v>125</v>
      </c>
      <c r="F31" s="25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</row>
    <row r="32" spans="1:18" s="35" customFormat="1" x14ac:dyDescent="0.25">
      <c r="B32" s="24" t="s">
        <v>67</v>
      </c>
      <c r="C32" s="29" t="s">
        <v>138</v>
      </c>
      <c r="D32" s="105">
        <v>44.922529323399999</v>
      </c>
      <c r="E32" s="91" t="s">
        <v>125</v>
      </c>
      <c r="F32" s="25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</row>
    <row r="33" spans="2:18" s="35" customFormat="1" x14ac:dyDescent="0.25">
      <c r="B33" s="24" t="s">
        <v>68</v>
      </c>
      <c r="C33" s="29" t="s">
        <v>139</v>
      </c>
      <c r="D33" s="105">
        <v>45.349981216800003</v>
      </c>
      <c r="E33" s="91" t="s">
        <v>125</v>
      </c>
      <c r="F33" s="25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</row>
    <row r="34" spans="2:18" s="35" customFormat="1" ht="12.6" thickBot="1" x14ac:dyDescent="0.3">
      <c r="B34" s="24" t="s">
        <v>68</v>
      </c>
      <c r="C34" s="29" t="s">
        <v>140</v>
      </c>
      <c r="D34" s="105">
        <v>45.321137822000004</v>
      </c>
      <c r="E34" s="91" t="s">
        <v>125</v>
      </c>
      <c r="F34" s="25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</row>
    <row r="35" spans="2:18" ht="24.6" thickBot="1" x14ac:dyDescent="0.3">
      <c r="B35" s="49">
        <v>5</v>
      </c>
      <c r="C35" s="4" t="s">
        <v>149</v>
      </c>
      <c r="D35" s="101">
        <v>3.8999999999980162E-3</v>
      </c>
      <c r="E35" s="91" t="s">
        <v>125</v>
      </c>
      <c r="F35" s="28" t="s">
        <v>153</v>
      </c>
    </row>
    <row r="36" spans="2:18" ht="24.6" thickBot="1" x14ac:dyDescent="0.3">
      <c r="B36" s="49">
        <v>5</v>
      </c>
      <c r="C36" s="4" t="s">
        <v>152</v>
      </c>
      <c r="D36" s="101">
        <v>6.7000000000000002E-3</v>
      </c>
      <c r="E36" s="91" t="s">
        <v>125</v>
      </c>
      <c r="F36" s="28" t="s">
        <v>153</v>
      </c>
    </row>
    <row r="37" spans="2:18" ht="24.6" thickBot="1" x14ac:dyDescent="0.3">
      <c r="B37" s="49">
        <v>6</v>
      </c>
      <c r="C37" s="4" t="s">
        <v>141</v>
      </c>
      <c r="D37" s="106">
        <v>8.8000000000008072E-3</v>
      </c>
      <c r="E37" s="95" t="s">
        <v>125</v>
      </c>
      <c r="F37" s="28" t="s">
        <v>153</v>
      </c>
    </row>
    <row r="38" spans="2:18" ht="12.6" thickBot="1" x14ac:dyDescent="0.3"/>
    <row r="39" spans="2:18" ht="12.6" thickBot="1" x14ac:dyDescent="0.3">
      <c r="B39" s="8" t="s">
        <v>16</v>
      </c>
      <c r="C39" s="9" t="s">
        <v>1</v>
      </c>
      <c r="D39" s="10"/>
      <c r="E39" s="11"/>
      <c r="F39" s="12"/>
    </row>
    <row r="40" spans="2:18" ht="16.2" thickBot="1" x14ac:dyDescent="0.35">
      <c r="B40" s="15" t="s">
        <v>28</v>
      </c>
      <c r="C40" s="16" t="s">
        <v>144</v>
      </c>
      <c r="D40" s="96">
        <v>-4.45245207E-5</v>
      </c>
      <c r="E40" s="90" t="s">
        <v>125</v>
      </c>
      <c r="F40" s="17" t="s">
        <v>130</v>
      </c>
      <c r="H40" s="86"/>
      <c r="I40" s="87" t="s">
        <v>112</v>
      </c>
      <c r="J40" s="88" t="s">
        <v>109</v>
      </c>
      <c r="K40" s="89" t="s">
        <v>24</v>
      </c>
    </row>
    <row r="41" spans="2:18" ht="15.6" x14ac:dyDescent="0.3">
      <c r="B41" s="15" t="s">
        <v>28</v>
      </c>
      <c r="C41" s="30" t="s">
        <v>143</v>
      </c>
      <c r="D41" s="97">
        <v>8.1062348299999997E-5</v>
      </c>
      <c r="E41" s="91" t="s">
        <v>125</v>
      </c>
      <c r="F41" s="17"/>
      <c r="H41" s="77" t="s">
        <v>110</v>
      </c>
      <c r="I41" s="65">
        <v>8.1062348299999997E-5</v>
      </c>
      <c r="J41" s="82">
        <v>8.1062348299999997E-5</v>
      </c>
      <c r="K41" s="99">
        <v>1.4659700967420086E-2</v>
      </c>
    </row>
    <row r="42" spans="2:18" ht="25.2" thickBot="1" x14ac:dyDescent="0.35">
      <c r="B42" s="15" t="s">
        <v>28</v>
      </c>
      <c r="C42" s="30" t="s">
        <v>142</v>
      </c>
      <c r="D42" s="38">
        <v>0.02</v>
      </c>
      <c r="E42" s="98" t="s">
        <v>127</v>
      </c>
      <c r="F42" s="17" t="s">
        <v>155</v>
      </c>
      <c r="H42" s="78" t="s">
        <v>111</v>
      </c>
      <c r="I42" s="40">
        <v>-4.45245207E-5</v>
      </c>
      <c r="J42" s="83">
        <v>30.726190200000001</v>
      </c>
      <c r="K42" s="100">
        <v>3.7820644719985808E-3</v>
      </c>
    </row>
    <row r="43" spans="2:18" ht="12.6" thickBot="1" x14ac:dyDescent="0.3">
      <c r="B43" s="8"/>
      <c r="C43" s="26" t="s">
        <v>30</v>
      </c>
      <c r="D43" s="10"/>
      <c r="E43" s="11"/>
      <c r="F43" s="12"/>
    </row>
    <row r="44" spans="2:18" ht="12.6" thickBot="1" x14ac:dyDescent="0.3">
      <c r="B44" s="49">
        <v>4</v>
      </c>
      <c r="C44" s="4" t="s">
        <v>60</v>
      </c>
      <c r="D44" s="4"/>
      <c r="E44" s="91" t="s">
        <v>125</v>
      </c>
      <c r="F44" s="28"/>
    </row>
    <row r="45" spans="2:18" ht="24.6" thickBot="1" x14ac:dyDescent="0.3">
      <c r="B45" s="49" t="s">
        <v>147</v>
      </c>
      <c r="C45" s="4" t="s">
        <v>149</v>
      </c>
      <c r="D45" s="102">
        <v>1.4659700967420086E-2</v>
      </c>
      <c r="E45" s="98" t="s">
        <v>127</v>
      </c>
      <c r="F45" s="28" t="s">
        <v>150</v>
      </c>
    </row>
    <row r="46" spans="2:18" ht="12.6" thickBot="1" x14ac:dyDescent="0.3">
      <c r="B46" s="49" t="s">
        <v>148</v>
      </c>
      <c r="C46" s="4" t="s">
        <v>151</v>
      </c>
      <c r="D46" s="102">
        <v>3.7820644719985808E-3</v>
      </c>
      <c r="E46" s="91" t="s">
        <v>125</v>
      </c>
      <c r="F46" s="28" t="s">
        <v>146</v>
      </c>
    </row>
    <row r="47" spans="2:18" ht="12.6" thickBot="1" x14ac:dyDescent="0.3">
      <c r="B47" s="49">
        <v>6</v>
      </c>
      <c r="C47" s="4" t="s">
        <v>141</v>
      </c>
      <c r="D47" s="50"/>
      <c r="E47" s="103" t="s">
        <v>127</v>
      </c>
      <c r="F47" s="28" t="s">
        <v>145</v>
      </c>
      <c r="I47" s="31" t="s">
        <v>38</v>
      </c>
      <c r="K47" s="31" t="s">
        <v>39</v>
      </c>
    </row>
    <row r="48" spans="2:18" ht="14.4" x14ac:dyDescent="0.3">
      <c r="C48" s="39"/>
      <c r="H48" s="31" t="s">
        <v>36</v>
      </c>
      <c r="I48" s="31" t="s">
        <v>123</v>
      </c>
      <c r="J48" s="31" t="s">
        <v>124</v>
      </c>
      <c r="K48" s="31" t="s">
        <v>123</v>
      </c>
      <c r="L48" s="31" t="s">
        <v>124</v>
      </c>
    </row>
    <row r="49" spans="8:12" x14ac:dyDescent="0.25">
      <c r="H49" s="31" t="s">
        <v>118</v>
      </c>
      <c r="I49" s="31">
        <v>-4.6059840325199994</v>
      </c>
      <c r="J49" s="31">
        <v>7.1218240000003874E-4</v>
      </c>
      <c r="K49" s="31">
        <v>-4.5738378981400007</v>
      </c>
      <c r="L49" s="31">
        <v>3.1157979999996144E-4</v>
      </c>
    </row>
    <row r="50" spans="8:12" x14ac:dyDescent="0.25">
      <c r="H50" s="31" t="s">
        <v>119</v>
      </c>
      <c r="I50" s="31">
        <v>-4.2809795807999995</v>
      </c>
      <c r="J50" s="31">
        <v>8.457159999997188E-4</v>
      </c>
      <c r="K50" s="31">
        <v>-4.2534626325599998</v>
      </c>
      <c r="L50" s="31">
        <v>7.5669383000054324E-4</v>
      </c>
    </row>
    <row r="51" spans="8:12" x14ac:dyDescent="0.25">
      <c r="H51" s="31" t="s">
        <v>120</v>
      </c>
      <c r="I51" s="31">
        <v>32.862574504000001</v>
      </c>
      <c r="J51" s="31">
        <v>3.1158000000175434E-4</v>
      </c>
      <c r="K51" s="31">
        <v>32.831060437799991</v>
      </c>
      <c r="L51" s="31">
        <v>3.5609100000044691E-4</v>
      </c>
    </row>
    <row r="52" spans="8:12" x14ac:dyDescent="0.25">
      <c r="H52" s="31" t="s">
        <v>121</v>
      </c>
      <c r="I52" s="31">
        <v>44.965002099999992</v>
      </c>
      <c r="J52" s="31">
        <v>4.00599999998974E-4</v>
      </c>
      <c r="K52" s="31">
        <v>44.922529323399999</v>
      </c>
      <c r="L52" s="31">
        <v>4.0060199999913948E-4</v>
      </c>
    </row>
    <row r="53" spans="8:12" x14ac:dyDescent="0.25">
      <c r="H53" s="31" t="s">
        <v>122</v>
      </c>
      <c r="I53" s="31">
        <v>45.349981216800003</v>
      </c>
      <c r="J53" s="31">
        <v>3.1158000000175434E-4</v>
      </c>
      <c r="K53" s="31">
        <v>45.321137822000004</v>
      </c>
      <c r="L53" s="31">
        <v>3.5609000000391688E-4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3"/>
  <sheetViews>
    <sheetView topLeftCell="A4" workbookViewId="0">
      <selection activeCell="F28" sqref="F28"/>
    </sheetView>
  </sheetViews>
  <sheetFormatPr defaultColWidth="11.19921875" defaultRowHeight="15.6" x14ac:dyDescent="0.3"/>
  <cols>
    <col min="1" max="1" width="20.19921875" bestFit="1" customWidth="1"/>
    <col min="3" max="3" width="14" customWidth="1"/>
    <col min="4" max="4" width="17" customWidth="1"/>
    <col min="6" max="8" width="12.19921875" bestFit="1" customWidth="1"/>
    <col min="13" max="13" width="18.19921875" bestFit="1" customWidth="1"/>
  </cols>
  <sheetData>
    <row r="2" spans="2:9" x14ac:dyDescent="0.3">
      <c r="B2" t="s">
        <v>77</v>
      </c>
      <c r="D2">
        <v>2</v>
      </c>
    </row>
    <row r="3" spans="2:9" x14ac:dyDescent="0.3">
      <c r="B3" t="s">
        <v>69</v>
      </c>
      <c r="D3" t="s">
        <v>71</v>
      </c>
    </row>
    <row r="4" spans="2:9" x14ac:dyDescent="0.3">
      <c r="B4" t="s">
        <v>70</v>
      </c>
      <c r="D4" t="s">
        <v>72</v>
      </c>
    </row>
    <row r="7" spans="2:9" ht="16.2" thickBot="1" x14ac:dyDescent="0.35"/>
    <row r="8" spans="2:9" x14ac:dyDescent="0.3">
      <c r="B8" s="54" t="s">
        <v>73</v>
      </c>
      <c r="C8" s="55" t="s">
        <v>74</v>
      </c>
      <c r="D8" s="55"/>
      <c r="E8" s="55"/>
      <c r="F8" s="55"/>
      <c r="G8" s="55"/>
      <c r="H8" s="55"/>
      <c r="I8" s="56"/>
    </row>
    <row r="9" spans="2:9" x14ac:dyDescent="0.3">
      <c r="B9" s="58" t="s">
        <v>28</v>
      </c>
      <c r="C9" s="57" t="s">
        <v>92</v>
      </c>
      <c r="D9" s="57"/>
      <c r="E9" s="57"/>
      <c r="F9" s="57"/>
      <c r="G9" s="57"/>
      <c r="H9" s="57"/>
      <c r="I9" s="59"/>
    </row>
    <row r="10" spans="2:9" x14ac:dyDescent="0.3">
      <c r="B10" s="58"/>
      <c r="C10" s="57" t="s">
        <v>93</v>
      </c>
      <c r="D10" s="57"/>
      <c r="E10" s="57"/>
      <c r="F10" s="57"/>
      <c r="G10" s="57"/>
      <c r="H10" s="57"/>
      <c r="I10" s="59"/>
    </row>
    <row r="11" spans="2:9" x14ac:dyDescent="0.3">
      <c r="B11" s="58"/>
      <c r="C11" s="57" t="s">
        <v>94</v>
      </c>
      <c r="D11" s="57"/>
      <c r="E11" s="57"/>
      <c r="F11" s="57"/>
      <c r="G11" s="57"/>
      <c r="H11" s="57"/>
      <c r="I11" s="59"/>
    </row>
    <row r="12" spans="2:9" x14ac:dyDescent="0.3">
      <c r="B12" s="58"/>
      <c r="C12" s="57"/>
      <c r="D12" s="57"/>
      <c r="E12" s="57"/>
      <c r="F12" s="57"/>
      <c r="G12" s="57"/>
      <c r="H12" s="57"/>
      <c r="I12" s="59"/>
    </row>
    <row r="13" spans="2:9" x14ac:dyDescent="0.3">
      <c r="B13" s="58"/>
      <c r="C13" s="57"/>
      <c r="D13" s="57"/>
      <c r="E13" s="57"/>
      <c r="F13" s="57"/>
      <c r="G13" s="57"/>
      <c r="H13" s="57"/>
      <c r="I13" s="59"/>
    </row>
    <row r="14" spans="2:9" x14ac:dyDescent="0.3">
      <c r="B14" s="58"/>
      <c r="C14" s="57"/>
      <c r="D14" s="57"/>
      <c r="E14" s="57"/>
      <c r="F14" s="57"/>
      <c r="G14" s="57"/>
      <c r="H14" s="57"/>
      <c r="I14" s="59"/>
    </row>
    <row r="15" spans="2:9" x14ac:dyDescent="0.3">
      <c r="B15" s="58"/>
      <c r="C15" s="57"/>
      <c r="D15" s="57"/>
      <c r="E15" s="57"/>
      <c r="F15" s="57"/>
      <c r="G15" s="57"/>
      <c r="H15" s="57"/>
      <c r="I15" s="59"/>
    </row>
    <row r="16" spans="2:9" x14ac:dyDescent="0.3">
      <c r="B16" s="58"/>
      <c r="C16" s="57"/>
      <c r="D16" s="57"/>
      <c r="E16" s="57"/>
      <c r="F16" s="57"/>
      <c r="G16" s="57"/>
      <c r="H16" s="57"/>
      <c r="I16" s="59"/>
    </row>
    <row r="17" spans="2:15" x14ac:dyDescent="0.3">
      <c r="B17" s="58"/>
      <c r="C17" s="57"/>
      <c r="D17" s="57"/>
      <c r="E17" s="57"/>
      <c r="F17" s="57"/>
      <c r="G17" s="57"/>
      <c r="H17" s="57"/>
      <c r="I17" s="59"/>
    </row>
    <row r="18" spans="2:15" x14ac:dyDescent="0.3">
      <c r="B18" s="58"/>
      <c r="C18" s="57"/>
      <c r="D18" s="57"/>
      <c r="E18" s="57"/>
      <c r="F18" s="57"/>
      <c r="G18" s="57"/>
      <c r="H18" s="57"/>
      <c r="I18" s="59"/>
    </row>
    <row r="19" spans="2:15" x14ac:dyDescent="0.3">
      <c r="B19" s="58"/>
      <c r="C19" s="57"/>
      <c r="D19" s="57"/>
      <c r="E19" s="57"/>
      <c r="F19" s="57"/>
      <c r="G19" s="57"/>
      <c r="H19" s="57"/>
      <c r="I19" s="59"/>
    </row>
    <row r="20" spans="2:15" x14ac:dyDescent="0.3">
      <c r="B20" s="58"/>
      <c r="C20" s="57"/>
      <c r="D20" s="57"/>
      <c r="E20" s="57"/>
      <c r="F20" s="57"/>
      <c r="G20" s="57"/>
      <c r="H20" s="57"/>
      <c r="I20" s="59"/>
    </row>
    <row r="21" spans="2:15" ht="16.2" thickBot="1" x14ac:dyDescent="0.35">
      <c r="B21" s="60"/>
      <c r="C21" s="61"/>
      <c r="D21" s="61"/>
      <c r="E21" s="61"/>
      <c r="F21" s="61"/>
      <c r="G21" s="61"/>
      <c r="H21" s="61"/>
      <c r="I21" s="62"/>
    </row>
    <row r="23" spans="2:15" x14ac:dyDescent="0.3">
      <c r="M23">
        <f>E29*J24</f>
        <v>12343.166935914553</v>
      </c>
      <c r="N23">
        <f>M23*24</f>
        <v>296236.00646194926</v>
      </c>
    </row>
    <row r="24" spans="2:15" x14ac:dyDescent="0.3">
      <c r="H24">
        <v>44.94</v>
      </c>
      <c r="I24">
        <v>45</v>
      </c>
      <c r="J24">
        <f>I24/H24</f>
        <v>1.0013351134846462</v>
      </c>
      <c r="L24">
        <f>E29*J24*24</f>
        <v>296236.00646194926</v>
      </c>
    </row>
    <row r="26" spans="2:15" x14ac:dyDescent="0.3">
      <c r="B26" t="s">
        <v>58</v>
      </c>
      <c r="L26" t="s">
        <v>90</v>
      </c>
      <c r="N26">
        <v>803488</v>
      </c>
      <c r="O26" t="s">
        <v>91</v>
      </c>
    </row>
    <row r="28" spans="2:15" x14ac:dyDescent="0.3">
      <c r="D28" t="s">
        <v>102</v>
      </c>
      <c r="E28" t="s">
        <v>103</v>
      </c>
      <c r="F28">
        <f>1/E29/E30</f>
        <v>8.1016485087820469E-5</v>
      </c>
    </row>
    <row r="29" spans="2:15" x14ac:dyDescent="0.3">
      <c r="B29" t="s">
        <v>85</v>
      </c>
      <c r="D29">
        <v>12381.9095</v>
      </c>
      <c r="E29">
        <v>12326.70938</v>
      </c>
      <c r="G29">
        <f>1/D29</f>
        <v>8.0762987324370288E-5</v>
      </c>
    </row>
    <row r="30" spans="2:15" x14ac:dyDescent="0.3">
      <c r="B30" t="s">
        <v>86</v>
      </c>
      <c r="D30">
        <v>0.99696921000000005</v>
      </c>
      <c r="E30">
        <v>1.0013351134846462</v>
      </c>
    </row>
    <row r="32" spans="2:15" s="67" customFormat="1" x14ac:dyDescent="0.3">
      <c r="B32" s="67" t="s">
        <v>87</v>
      </c>
      <c r="C32" s="67" t="s">
        <v>104</v>
      </c>
      <c r="D32" s="67" t="s">
        <v>105</v>
      </c>
      <c r="E32" t="s">
        <v>99</v>
      </c>
      <c r="F32" t="s">
        <v>100</v>
      </c>
      <c r="G32" t="s">
        <v>101</v>
      </c>
    </row>
    <row r="33" spans="1:14" x14ac:dyDescent="0.3">
      <c r="B33">
        <v>-10</v>
      </c>
      <c r="C33">
        <f>B33*$D$29</f>
        <v>-123819.095</v>
      </c>
      <c r="D33">
        <f>C33*$D$30</f>
        <v>-123443.82532506496</v>
      </c>
      <c r="G33">
        <f t="shared" ref="G33:G38" si="0">B33*$E$29*$E$30</f>
        <v>-123431.66935914553</v>
      </c>
    </row>
    <row r="34" spans="1:14" x14ac:dyDescent="0.3">
      <c r="B34">
        <v>-5</v>
      </c>
      <c r="C34">
        <f t="shared" ref="C34:C45" si="1">B34*$D$29</f>
        <v>-61909.547500000001</v>
      </c>
      <c r="D34">
        <f t="shared" ref="D34:D45" si="2">C34*$D$30</f>
        <v>-61721.912662532479</v>
      </c>
      <c r="G34">
        <f t="shared" si="0"/>
        <v>-61715.834679572763</v>
      </c>
      <c r="K34">
        <v>360</v>
      </c>
    </row>
    <row r="35" spans="1:14" x14ac:dyDescent="0.3">
      <c r="A35" t="s">
        <v>88</v>
      </c>
      <c r="B35" s="109">
        <v>0</v>
      </c>
      <c r="C35" s="109">
        <f t="shared" si="1"/>
        <v>0</v>
      </c>
      <c r="D35" s="109">
        <f t="shared" si="2"/>
        <v>0</v>
      </c>
      <c r="E35" s="109"/>
      <c r="F35" s="109"/>
      <c r="G35" s="109">
        <f t="shared" si="0"/>
        <v>0</v>
      </c>
      <c r="K35">
        <f>K34/D29</f>
        <v>2.9074675436773303E-2</v>
      </c>
      <c r="L35">
        <f>K35*60</f>
        <v>1.7444805262063983</v>
      </c>
    </row>
    <row r="36" spans="1:14" x14ac:dyDescent="0.3">
      <c r="B36">
        <v>5</v>
      </c>
      <c r="C36">
        <f t="shared" si="1"/>
        <v>61909.547500000001</v>
      </c>
      <c r="D36">
        <f>C36*$D$30</f>
        <v>61721.912662532479</v>
      </c>
      <c r="G36">
        <f t="shared" si="0"/>
        <v>61715.834679572763</v>
      </c>
    </row>
    <row r="37" spans="1:14" x14ac:dyDescent="0.3">
      <c r="B37" s="109">
        <v>10</v>
      </c>
      <c r="C37" s="109">
        <f t="shared" si="1"/>
        <v>123819.095</v>
      </c>
      <c r="D37" s="109">
        <f t="shared" si="2"/>
        <v>123443.82532506496</v>
      </c>
      <c r="E37" s="109"/>
      <c r="F37" s="109"/>
      <c r="G37" s="109">
        <f t="shared" si="0"/>
        <v>123431.66935914553</v>
      </c>
    </row>
    <row r="38" spans="1:14" x14ac:dyDescent="0.3">
      <c r="B38">
        <v>15</v>
      </c>
      <c r="C38">
        <f t="shared" si="1"/>
        <v>185728.64249999999</v>
      </c>
      <c r="D38">
        <f t="shared" si="2"/>
        <v>185165.73798759741</v>
      </c>
      <c r="G38">
        <f t="shared" si="0"/>
        <v>185147.5040387183</v>
      </c>
    </row>
    <row r="39" spans="1:14" x14ac:dyDescent="0.3">
      <c r="B39" s="109">
        <v>20</v>
      </c>
      <c r="C39" s="109">
        <f t="shared" si="1"/>
        <v>247638.19</v>
      </c>
      <c r="D39" s="109">
        <f t="shared" si="2"/>
        <v>246887.65065012992</v>
      </c>
      <c r="E39" s="109"/>
      <c r="F39" s="109"/>
      <c r="G39" s="109">
        <f t="shared" ref="G39:G45" si="3">B39*$E$29*$E$30</f>
        <v>246863.33871829105</v>
      </c>
    </row>
    <row r="40" spans="1:14" x14ac:dyDescent="0.3">
      <c r="B40">
        <v>25</v>
      </c>
      <c r="C40">
        <f t="shared" si="1"/>
        <v>309547.73749999999</v>
      </c>
      <c r="D40">
        <f t="shared" si="2"/>
        <v>308609.56331266236</v>
      </c>
      <c r="G40">
        <f t="shared" si="3"/>
        <v>308579.17339786387</v>
      </c>
    </row>
    <row r="41" spans="1:14" x14ac:dyDescent="0.3">
      <c r="B41" s="109">
        <v>30</v>
      </c>
      <c r="C41" s="109">
        <f t="shared" si="1"/>
        <v>371457.28499999997</v>
      </c>
      <c r="D41" s="109">
        <f t="shared" si="2"/>
        <v>370331.47597519483</v>
      </c>
      <c r="E41" s="109"/>
      <c r="F41" s="109"/>
      <c r="G41" s="109">
        <f t="shared" si="3"/>
        <v>370295.00807743659</v>
      </c>
      <c r="M41" t="s">
        <v>95</v>
      </c>
    </row>
    <row r="42" spans="1:14" x14ac:dyDescent="0.3">
      <c r="B42">
        <v>35</v>
      </c>
      <c r="C42">
        <f t="shared" si="1"/>
        <v>433366.83250000002</v>
      </c>
      <c r="D42">
        <f t="shared" si="2"/>
        <v>432053.38863772736</v>
      </c>
      <c r="G42">
        <f t="shared" si="3"/>
        <v>432010.84275700932</v>
      </c>
      <c r="H42">
        <f>G42+3300.0609</f>
        <v>435310.9036570093</v>
      </c>
      <c r="M42" t="s">
        <v>96</v>
      </c>
      <c r="N42">
        <v>11183</v>
      </c>
    </row>
    <row r="43" spans="1:14" x14ac:dyDescent="0.3">
      <c r="B43" s="109">
        <v>40</v>
      </c>
      <c r="C43" s="109">
        <f t="shared" si="1"/>
        <v>495276.38</v>
      </c>
      <c r="D43" s="109">
        <f t="shared" si="2"/>
        <v>493775.30130025983</v>
      </c>
      <c r="E43" s="109"/>
      <c r="F43" s="109"/>
      <c r="G43" s="109">
        <f t="shared" si="3"/>
        <v>493726.6774365821</v>
      </c>
      <c r="M43" t="s">
        <v>97</v>
      </c>
      <c r="N43">
        <v>62000</v>
      </c>
    </row>
    <row r="44" spans="1:14" x14ac:dyDescent="0.3">
      <c r="B44">
        <v>45</v>
      </c>
      <c r="C44">
        <f t="shared" si="1"/>
        <v>557185.92749999999</v>
      </c>
      <c r="D44">
        <f t="shared" si="2"/>
        <v>555497.2139627923</v>
      </c>
      <c r="G44">
        <f t="shared" si="3"/>
        <v>555442.51211615489</v>
      </c>
      <c r="H44">
        <f>G44+3300.0609</f>
        <v>558742.57301615493</v>
      </c>
      <c r="M44" t="s">
        <v>98</v>
      </c>
      <c r="N44">
        <f>N42+N43</f>
        <v>73183</v>
      </c>
    </row>
    <row r="45" spans="1:14" x14ac:dyDescent="0.3">
      <c r="B45">
        <v>48.5</v>
      </c>
      <c r="C45">
        <f t="shared" si="1"/>
        <v>600522.61074999999</v>
      </c>
      <c r="D45">
        <f t="shared" si="2"/>
        <v>598702.55282656499</v>
      </c>
      <c r="G45">
        <f t="shared" si="3"/>
        <v>598643.59639185574</v>
      </c>
    </row>
    <row r="52" spans="3:8" x14ac:dyDescent="0.3">
      <c r="C52" t="s">
        <v>106</v>
      </c>
      <c r="E52">
        <f>0.1*E29*E30</f>
        <v>1234.3166935914555</v>
      </c>
      <c r="F52" t="s">
        <v>107</v>
      </c>
    </row>
    <row r="53" spans="3:8" x14ac:dyDescent="0.3">
      <c r="H53">
        <f>5/443000</f>
        <v>1.128668171557562E-5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24"/>
  <sheetViews>
    <sheetView workbookViewId="0">
      <selection activeCell="I17" sqref="I17"/>
    </sheetView>
  </sheetViews>
  <sheetFormatPr defaultColWidth="11.19921875" defaultRowHeight="15.6" x14ac:dyDescent="0.3"/>
  <cols>
    <col min="3" max="3" width="12.5" bestFit="1" customWidth="1"/>
    <col min="4" max="4" width="17.296875" bestFit="1" customWidth="1"/>
    <col min="5" max="5" width="17.8984375" customWidth="1"/>
    <col min="6" max="6" width="17.09765625" customWidth="1"/>
    <col min="7" max="7" width="13.796875" bestFit="1" customWidth="1"/>
    <col min="8" max="8" width="18.296875" customWidth="1"/>
    <col min="9" max="11" width="13.69921875" customWidth="1"/>
    <col min="13" max="13" width="13.296875" customWidth="1"/>
    <col min="14" max="14" width="13" bestFit="1" customWidth="1"/>
    <col min="15" max="15" width="11" bestFit="1" customWidth="1"/>
    <col min="16" max="16" width="12.796875" bestFit="1" customWidth="1"/>
    <col min="17" max="18" width="11" bestFit="1" customWidth="1"/>
  </cols>
  <sheetData>
    <row r="2" spans="2:21" x14ac:dyDescent="0.3">
      <c r="B2" t="s">
        <v>77</v>
      </c>
      <c r="C2">
        <v>5</v>
      </c>
    </row>
    <row r="3" spans="2:21" x14ac:dyDescent="0.3">
      <c r="B3" t="s">
        <v>69</v>
      </c>
      <c r="D3" t="s">
        <v>75</v>
      </c>
      <c r="E3" t="s">
        <v>157</v>
      </c>
    </row>
    <row r="5" spans="2:21" ht="16.2" thickBot="1" x14ac:dyDescent="0.35">
      <c r="H5" t="s">
        <v>158</v>
      </c>
    </row>
    <row r="6" spans="2:21" ht="16.2" thickBot="1" x14ac:dyDescent="0.35">
      <c r="B6" t="s">
        <v>89</v>
      </c>
      <c r="C6" s="66" t="s">
        <v>40</v>
      </c>
      <c r="D6" s="63" t="s">
        <v>160</v>
      </c>
      <c r="E6" s="64" t="s">
        <v>76</v>
      </c>
      <c r="F6" s="64" t="s">
        <v>168</v>
      </c>
      <c r="G6" s="107"/>
      <c r="H6" s="86"/>
      <c r="I6" s="87" t="s">
        <v>112</v>
      </c>
      <c r="J6" s="88" t="s">
        <v>109</v>
      </c>
      <c r="L6" s="89" t="s">
        <v>24</v>
      </c>
      <c r="N6" s="54" t="s">
        <v>73</v>
      </c>
      <c r="O6" s="55" t="s">
        <v>74</v>
      </c>
      <c r="P6" s="55"/>
      <c r="Q6" s="55"/>
      <c r="R6" s="55"/>
      <c r="S6" s="55"/>
      <c r="T6" s="55"/>
      <c r="U6" s="56"/>
    </row>
    <row r="7" spans="2:21" x14ac:dyDescent="0.3">
      <c r="C7" s="51">
        <v>0</v>
      </c>
      <c r="D7" s="84">
        <f>$I$7*D18</f>
        <v>-3.4198178189062502E-6</v>
      </c>
      <c r="E7" s="84">
        <f>(ABS($I$8)*E18)-$J$8</f>
        <v>4.9826375650496857E-2</v>
      </c>
      <c r="F7" s="84">
        <f>ABS(D7-E7)</f>
        <v>4.9829795468315764E-2</v>
      </c>
      <c r="G7" s="107"/>
      <c r="H7" s="77" t="s">
        <v>110</v>
      </c>
      <c r="I7" s="65">
        <v>8.1062348299999997E-5</v>
      </c>
      <c r="J7" s="82">
        <v>8.1062348299999997E-5</v>
      </c>
      <c r="K7" s="154" t="s">
        <v>174</v>
      </c>
      <c r="L7" s="155">
        <f>MAX(F7:F11)</f>
        <v>5.6566004136456627E-2</v>
      </c>
      <c r="N7" s="68"/>
      <c r="O7" s="69"/>
      <c r="P7" s="69"/>
      <c r="Q7" s="69"/>
      <c r="R7" s="69"/>
      <c r="S7" s="69"/>
      <c r="T7" s="69"/>
      <c r="U7" s="70"/>
    </row>
    <row r="8" spans="2:21" ht="16.2" thickBot="1" x14ac:dyDescent="0.35">
      <c r="C8" s="51">
        <v>10</v>
      </c>
      <c r="D8" s="84">
        <f>$I$7*D19</f>
        <v>10.005657376984987</v>
      </c>
      <c r="E8" s="84">
        <f>ABS((ABS($I$8)*E19)-$J$8)</f>
        <v>9.9614230547031006</v>
      </c>
      <c r="F8" s="84">
        <f t="shared" ref="F8:F11" si="0">ABS(D8-E8)</f>
        <v>4.4234322281885952E-2</v>
      </c>
      <c r="G8" s="71"/>
      <c r="H8" s="78" t="s">
        <v>111</v>
      </c>
      <c r="I8" s="40">
        <v>-4.45245207E-5</v>
      </c>
      <c r="J8" s="83">
        <v>30.726190200000001</v>
      </c>
      <c r="K8" s="154" t="s">
        <v>175</v>
      </c>
      <c r="L8" s="156">
        <f>AVERAGE(F7:F11)</f>
        <v>4.9680461078188951E-2</v>
      </c>
      <c r="N8" s="58">
        <v>5</v>
      </c>
      <c r="O8" s="57"/>
      <c r="P8" s="57"/>
      <c r="Q8" s="57"/>
      <c r="R8" s="57"/>
      <c r="S8" s="57"/>
      <c r="T8" s="57"/>
      <c r="U8" s="59"/>
    </row>
    <row r="9" spans="2:21" x14ac:dyDescent="0.3">
      <c r="C9" s="51">
        <v>20</v>
      </c>
      <c r="D9" s="84">
        <f>$I$7*D20</f>
        <v>20.01131874223751</v>
      </c>
      <c r="E9" s="84">
        <f>ABS((ABS($I$8)*E20)-$J$8)</f>
        <v>19.966216429555203</v>
      </c>
      <c r="F9" s="84">
        <f t="shared" si="0"/>
        <v>4.5102312682306689E-2</v>
      </c>
      <c r="G9" s="71"/>
      <c r="N9" s="58"/>
      <c r="O9" s="57"/>
      <c r="P9" s="57"/>
      <c r="Q9" s="57"/>
      <c r="R9" s="57"/>
      <c r="S9" s="57"/>
      <c r="T9" s="57"/>
      <c r="U9" s="59"/>
    </row>
    <row r="10" spans="2:21" x14ac:dyDescent="0.3">
      <c r="C10" s="51">
        <v>30</v>
      </c>
      <c r="D10" s="84">
        <f>$I$7*D21</f>
        <v>30.016978972617157</v>
      </c>
      <c r="E10" s="84">
        <f>ABS((ABS($I$8)*E21)-$J$8)</f>
        <v>29.9604129684807</v>
      </c>
      <c r="F10" s="84">
        <f t="shared" si="0"/>
        <v>5.6566004136456627E-2</v>
      </c>
      <c r="G10" s="71"/>
      <c r="H10" t="s">
        <v>159</v>
      </c>
      <c r="N10" s="58"/>
      <c r="O10" s="57"/>
      <c r="P10" s="57"/>
      <c r="Q10" s="57"/>
      <c r="R10" s="57"/>
      <c r="S10" s="57"/>
      <c r="T10" s="57"/>
      <c r="U10" s="59"/>
    </row>
    <row r="11" spans="2:21" x14ac:dyDescent="0.3">
      <c r="C11" s="51">
        <v>40</v>
      </c>
      <c r="D11" s="84">
        <f>$I$7*D22</f>
        <v>40.022640337869682</v>
      </c>
      <c r="E11" s="152">
        <f>ABS((ABS($I$8)*F27)+$J$8)</f>
        <v>39.969970467047702</v>
      </c>
      <c r="F11" s="84">
        <f t="shared" si="0"/>
        <v>5.2669870821979714E-2</v>
      </c>
      <c r="G11" s="71"/>
      <c r="H11" t="s">
        <v>160</v>
      </c>
      <c r="I11">
        <v>0.99954895683835387</v>
      </c>
      <c r="N11" s="58"/>
      <c r="O11" s="57"/>
      <c r="P11" s="57"/>
      <c r="Q11" s="57"/>
      <c r="R11" s="57"/>
      <c r="S11" s="57"/>
      <c r="T11" s="57"/>
      <c r="U11" s="59"/>
    </row>
    <row r="12" spans="2:21" x14ac:dyDescent="0.3">
      <c r="G12" s="71"/>
      <c r="H12" t="s">
        <v>161</v>
      </c>
      <c r="I12">
        <v>1.0001512578738871</v>
      </c>
      <c r="N12" s="58"/>
      <c r="O12" s="57"/>
      <c r="P12" s="57"/>
      <c r="Q12" s="57"/>
      <c r="R12" s="57"/>
      <c r="S12" s="57"/>
      <c r="T12" s="57"/>
      <c r="U12" s="59"/>
    </row>
    <row r="13" spans="2:21" x14ac:dyDescent="0.3">
      <c r="L13" s="72"/>
      <c r="M13" s="72"/>
      <c r="N13" s="58"/>
      <c r="O13" s="57"/>
      <c r="P13" s="57"/>
      <c r="Q13" s="57"/>
      <c r="R13" s="57"/>
      <c r="S13" s="57"/>
      <c r="T13" s="57"/>
      <c r="U13" s="59"/>
    </row>
    <row r="15" spans="2:21" x14ac:dyDescent="0.3">
      <c r="I15" t="s">
        <v>111</v>
      </c>
      <c r="J15" t="s">
        <v>165</v>
      </c>
    </row>
    <row r="16" spans="2:21" ht="16.2" thickBot="1" x14ac:dyDescent="0.35">
      <c r="H16" t="s">
        <v>164</v>
      </c>
      <c r="I16" s="112">
        <v>691207</v>
      </c>
      <c r="J16">
        <v>0</v>
      </c>
    </row>
    <row r="17" spans="1:27" ht="16.2" thickBot="1" x14ac:dyDescent="0.35">
      <c r="C17" s="66" t="s">
        <v>40</v>
      </c>
      <c r="D17" s="63" t="s">
        <v>162</v>
      </c>
      <c r="E17" s="64" t="s">
        <v>163</v>
      </c>
      <c r="F17" s="107"/>
      <c r="H17" s="108" t="s">
        <v>166</v>
      </c>
      <c r="I17" s="108">
        <v>690480</v>
      </c>
      <c r="J17" s="111" t="s">
        <v>167</v>
      </c>
    </row>
    <row r="18" spans="1:27" x14ac:dyDescent="0.3">
      <c r="C18" s="51">
        <v>0</v>
      </c>
      <c r="D18" s="113">
        <v>-4.2187500000000003E-2</v>
      </c>
      <c r="E18" s="112">
        <v>691215</v>
      </c>
      <c r="F18" s="116"/>
    </row>
    <row r="19" spans="1:27" x14ac:dyDescent="0.3">
      <c r="C19" s="51">
        <v>10</v>
      </c>
      <c r="D19" s="84">
        <v>123431.625</v>
      </c>
      <c r="E19" s="112">
        <v>466367</v>
      </c>
      <c r="F19" s="116"/>
    </row>
    <row r="20" spans="1:27" x14ac:dyDescent="0.3">
      <c r="C20" s="51">
        <v>20</v>
      </c>
      <c r="D20" s="85">
        <v>246863.29920000001</v>
      </c>
      <c r="E20" s="114">
        <v>241664</v>
      </c>
      <c r="F20" s="117"/>
    </row>
    <row r="21" spans="1:27" s="108" customFormat="1" x14ac:dyDescent="0.3">
      <c r="C21" s="51">
        <v>30</v>
      </c>
      <c r="D21" s="84">
        <v>370294.95939999999</v>
      </c>
      <c r="E21" s="112">
        <v>17199</v>
      </c>
      <c r="F21" s="116"/>
    </row>
    <row r="22" spans="1:27" x14ac:dyDescent="0.3">
      <c r="C22" s="51">
        <v>40</v>
      </c>
      <c r="D22" s="110">
        <v>493726.6336</v>
      </c>
      <c r="E22" s="151">
        <v>2147276036</v>
      </c>
      <c r="F22" s="115"/>
    </row>
    <row r="23" spans="1:27" s="79" customFormat="1" x14ac:dyDescent="0.3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27" s="79" customFormat="1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1:27" s="79" customFormat="1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1:27" s="79" customFormat="1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1:27" s="79" customFormat="1" x14ac:dyDescent="0.3">
      <c r="A27"/>
      <c r="B27"/>
      <c r="C27"/>
      <c r="D27"/>
      <c r="E27">
        <v>2147483647</v>
      </c>
      <c r="F27" s="153">
        <f>E27-E22</f>
        <v>207611</v>
      </c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1:27" s="79" customFormat="1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1:27" s="79" customFormat="1" x14ac:dyDescent="0.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1:27" s="79" customFormat="1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1:27" s="79" customFormat="1" x14ac:dyDescent="0.3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1:27" s="79" customFormat="1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</row>
    <row r="33" spans="1:27" s="79" customFormat="1" x14ac:dyDescent="0.3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</row>
    <row r="34" spans="1:27" s="79" customFormat="1" x14ac:dyDescent="0.3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</row>
    <row r="35" spans="1:27" s="79" customFormat="1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</row>
    <row r="36" spans="1:27" s="79" customFormat="1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</row>
    <row r="37" spans="1:27" s="79" customFormat="1" x14ac:dyDescent="0.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</row>
    <row r="38" spans="1:27" s="79" customFormat="1" x14ac:dyDescent="0.3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</row>
    <row r="39" spans="1:27" s="79" customFormat="1" x14ac:dyDescent="0.3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</row>
    <row r="66" spans="3:6" x14ac:dyDescent="0.3">
      <c r="C66" s="108"/>
      <c r="D66" s="108"/>
      <c r="E66" s="108"/>
      <c r="F66" s="108"/>
    </row>
    <row r="67" spans="3:6" s="108" customFormat="1" x14ac:dyDescent="0.3">
      <c r="C67"/>
      <c r="D67"/>
      <c r="E67"/>
      <c r="F67"/>
    </row>
    <row r="85" spans="3:6" x14ac:dyDescent="0.3">
      <c r="C85" s="108"/>
      <c r="D85" s="108"/>
      <c r="E85" s="108"/>
      <c r="F85" s="108"/>
    </row>
    <row r="86" spans="3:6" s="108" customFormat="1" x14ac:dyDescent="0.3">
      <c r="C86"/>
      <c r="D86"/>
      <c r="E86"/>
      <c r="F86"/>
    </row>
    <row r="107" spans="3:6" x14ac:dyDescent="0.3">
      <c r="C107" s="108"/>
      <c r="D107" s="108"/>
      <c r="E107" s="108"/>
      <c r="F107" s="108"/>
    </row>
    <row r="108" spans="3:6" s="108" customFormat="1" x14ac:dyDescent="0.3">
      <c r="C108"/>
      <c r="D108"/>
      <c r="E108"/>
      <c r="F108"/>
    </row>
    <row r="120" spans="2:16" x14ac:dyDescent="0.3">
      <c r="B120" s="51"/>
      <c r="J120" s="71"/>
      <c r="K120" s="72"/>
      <c r="L120" s="72"/>
      <c r="M120" s="72"/>
      <c r="N120" s="72"/>
      <c r="O120" s="72"/>
      <c r="P120" s="72"/>
    </row>
    <row r="121" spans="2:16" x14ac:dyDescent="0.3">
      <c r="B121" s="51">
        <v>35</v>
      </c>
      <c r="J121" s="71"/>
      <c r="K121" s="72"/>
      <c r="L121" s="72"/>
      <c r="M121" s="72"/>
      <c r="N121" s="72"/>
      <c r="O121" s="72"/>
      <c r="P121" s="72"/>
    </row>
    <row r="122" spans="2:16" x14ac:dyDescent="0.3">
      <c r="B122" s="53"/>
      <c r="J122" s="71"/>
      <c r="L122" s="72"/>
      <c r="M122" s="72"/>
      <c r="N122" s="72"/>
      <c r="O122" s="72"/>
      <c r="P122" s="72"/>
    </row>
    <row r="123" spans="2:16" x14ac:dyDescent="0.3">
      <c r="B123" s="53">
        <v>45</v>
      </c>
      <c r="J123" s="71"/>
      <c r="K123" s="72"/>
      <c r="L123" s="72"/>
      <c r="M123" s="72"/>
      <c r="N123" s="72"/>
      <c r="O123" s="72"/>
      <c r="P123" s="72"/>
    </row>
    <row r="124" spans="2:16" ht="16.2" thickBot="1" x14ac:dyDescent="0.35">
      <c r="B124" s="52" t="s">
        <v>108</v>
      </c>
      <c r="J124" s="72"/>
      <c r="K124" s="72"/>
      <c r="L124" s="72"/>
      <c r="M124" s="72"/>
      <c r="N124" s="72"/>
      <c r="O124" s="72"/>
      <c r="P124" s="7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31"/>
  <sheetViews>
    <sheetView tabSelected="1" workbookViewId="0">
      <selection activeCell="I20" sqref="I20"/>
    </sheetView>
  </sheetViews>
  <sheetFormatPr defaultColWidth="11.19921875" defaultRowHeight="15.6" x14ac:dyDescent="0.3"/>
  <cols>
    <col min="1" max="1" width="11.19921875" style="123"/>
    <col min="2" max="2" width="11.796875" style="123" customWidth="1"/>
    <col min="3" max="4" width="21.5" style="123" customWidth="1"/>
    <col min="5" max="5" width="18.69921875" style="123" customWidth="1"/>
    <col min="6" max="6" width="16.796875" style="123" customWidth="1"/>
    <col min="7" max="7" width="13.69921875" style="123" bestFit="1" customWidth="1"/>
    <col min="8" max="8" width="11.19921875" style="123" customWidth="1"/>
    <col min="9" max="16384" width="11.19921875" style="123"/>
  </cols>
  <sheetData>
    <row r="2" spans="2:21" x14ac:dyDescent="0.3">
      <c r="B2" s="118" t="s">
        <v>77</v>
      </c>
      <c r="C2" s="118"/>
      <c r="D2" s="118">
        <v>6</v>
      </c>
      <c r="E2" s="118"/>
      <c r="F2" s="118"/>
      <c r="G2" s="118"/>
      <c r="H2" s="118"/>
      <c r="I2" s="118"/>
      <c r="J2" s="118"/>
    </row>
    <row r="3" spans="2:21" x14ac:dyDescent="0.3">
      <c r="B3" s="118" t="s">
        <v>69</v>
      </c>
      <c r="C3" s="118"/>
      <c r="D3" s="118" t="s">
        <v>61</v>
      </c>
      <c r="E3" s="118"/>
      <c r="F3" s="118"/>
      <c r="G3" s="118"/>
      <c r="H3" s="118"/>
      <c r="I3" s="118"/>
      <c r="J3" s="118"/>
    </row>
    <row r="4" spans="2:21" x14ac:dyDescent="0.3">
      <c r="B4" s="118"/>
      <c r="C4" s="118"/>
      <c r="D4" s="118" t="s">
        <v>171</v>
      </c>
      <c r="E4" s="118"/>
      <c r="F4" s="118"/>
      <c r="G4" s="118"/>
      <c r="H4" s="118"/>
      <c r="I4" s="118"/>
      <c r="J4" s="118"/>
    </row>
    <row r="5" spans="2:21" x14ac:dyDescent="0.3">
      <c r="B5" s="118"/>
      <c r="C5" s="118"/>
      <c r="D5" s="118"/>
      <c r="E5" s="118"/>
      <c r="F5" s="118"/>
      <c r="G5" s="118"/>
      <c r="H5" s="118"/>
      <c r="I5" s="118"/>
      <c r="J5" s="118"/>
    </row>
    <row r="6" spans="2:21" x14ac:dyDescent="0.3">
      <c r="B6" s="118" t="s">
        <v>113</v>
      </c>
      <c r="C6" s="118"/>
      <c r="D6" s="118">
        <v>-5</v>
      </c>
      <c r="E6" s="118">
        <v>0</v>
      </c>
      <c r="F6" s="118">
        <v>10</v>
      </c>
      <c r="G6" s="118">
        <v>20</v>
      </c>
      <c r="H6" s="118">
        <v>30</v>
      </c>
      <c r="I6" s="118">
        <v>40</v>
      </c>
    </row>
    <row r="8" spans="2:21" ht="16.2" thickBot="1" x14ac:dyDescent="0.35">
      <c r="M8"/>
    </row>
    <row r="9" spans="2:21" x14ac:dyDescent="0.3">
      <c r="B9" s="118"/>
      <c r="C9" s="124"/>
      <c r="D9" s="124"/>
      <c r="E9" s="118"/>
      <c r="F9" s="118"/>
      <c r="M9"/>
      <c r="N9" s="137" t="s">
        <v>73</v>
      </c>
      <c r="O9" s="125" t="s">
        <v>74</v>
      </c>
      <c r="P9" s="125"/>
      <c r="Q9" s="125"/>
      <c r="R9" s="125"/>
      <c r="S9" s="125"/>
      <c r="T9" s="125"/>
      <c r="U9" s="126"/>
    </row>
    <row r="10" spans="2:21" ht="16.2" thickBot="1" x14ac:dyDescent="0.35">
      <c r="B10" s="118" t="s">
        <v>40</v>
      </c>
      <c r="C10" s="124" t="s">
        <v>80</v>
      </c>
      <c r="D10" s="124"/>
      <c r="E10" s="118" t="s">
        <v>78</v>
      </c>
      <c r="F10" s="118"/>
      <c r="H10" t="s">
        <v>158</v>
      </c>
      <c r="I10"/>
      <c r="J10"/>
      <c r="K10"/>
      <c r="M10"/>
      <c r="N10" s="129"/>
      <c r="O10" s="130"/>
      <c r="P10" s="130"/>
      <c r="Q10" s="130"/>
      <c r="R10" s="130"/>
      <c r="S10" s="130"/>
      <c r="T10" s="130"/>
      <c r="U10" s="131"/>
    </row>
    <row r="11" spans="2:21" ht="16.2" thickBot="1" x14ac:dyDescent="0.35">
      <c r="B11" s="139" t="s">
        <v>77</v>
      </c>
      <c r="C11" s="140" t="s">
        <v>162</v>
      </c>
      <c r="D11" s="140" t="s">
        <v>170</v>
      </c>
      <c r="E11" s="140" t="s">
        <v>169</v>
      </c>
      <c r="F11" s="141" t="s">
        <v>37</v>
      </c>
      <c r="H11" s="86"/>
      <c r="I11" s="87" t="s">
        <v>112</v>
      </c>
      <c r="J11" s="88" t="s">
        <v>109</v>
      </c>
      <c r="K11" s="89" t="s">
        <v>24</v>
      </c>
      <c r="M11"/>
      <c r="N11" s="133"/>
      <c r="O11" s="130"/>
      <c r="P11" s="130"/>
      <c r="Q11" s="130"/>
      <c r="R11" s="130"/>
      <c r="S11" s="130"/>
      <c r="T11" s="131"/>
    </row>
    <row r="12" spans="2:21" x14ac:dyDescent="0.3">
      <c r="B12" s="142">
        <v>1</v>
      </c>
      <c r="C12" s="138">
        <v>-4.2187500000000003E-2</v>
      </c>
      <c r="D12" s="148">
        <f>$I$12*C12</f>
        <v>-3.4198178189062502E-6</v>
      </c>
      <c r="E12" s="120">
        <v>691215</v>
      </c>
      <c r="F12" s="121">
        <f>ABS((ABS($I$13)*E12)-$J$13)</f>
        <v>4.9826375650496857E-2</v>
      </c>
      <c r="H12" s="77" t="s">
        <v>110</v>
      </c>
      <c r="I12" s="65">
        <v>8.1062348299999997E-5</v>
      </c>
      <c r="J12" s="82">
        <v>8.1062348299999997E-5</v>
      </c>
      <c r="K12" s="80"/>
      <c r="M12"/>
      <c r="N12" s="133"/>
      <c r="O12" s="130"/>
      <c r="P12" s="130"/>
      <c r="Q12" s="130"/>
      <c r="R12" s="130"/>
      <c r="S12" s="130"/>
      <c r="T12" s="131"/>
    </row>
    <row r="13" spans="2:21" ht="16.2" thickBot="1" x14ac:dyDescent="0.35">
      <c r="B13" s="142">
        <v>2</v>
      </c>
      <c r="C13" s="138">
        <v>-4.2187500000000003E-2</v>
      </c>
      <c r="D13" s="148">
        <f t="shared" ref="D13:D15" si="0">$I$12*C13</f>
        <v>-3.4198178189062502E-6</v>
      </c>
      <c r="E13" s="138">
        <v>691212</v>
      </c>
      <c r="F13" s="121">
        <f t="shared" ref="F13:F15" si="1">ABS((ABS($I$13)*E13)-$J$13)</f>
        <v>4.9692802088397769E-2</v>
      </c>
      <c r="H13" s="78" t="s">
        <v>111</v>
      </c>
      <c r="I13" s="40">
        <v>-4.45245207E-5</v>
      </c>
      <c r="J13" s="83">
        <v>30.726190200000001</v>
      </c>
      <c r="K13" s="81"/>
      <c r="M13"/>
      <c r="N13" s="133"/>
      <c r="O13" s="130"/>
      <c r="P13" s="130"/>
      <c r="Q13" s="130"/>
      <c r="R13" s="130"/>
      <c r="S13" s="130"/>
      <c r="T13" s="131"/>
    </row>
    <row r="14" spans="2:21" x14ac:dyDescent="0.3">
      <c r="B14" s="142">
        <v>3</v>
      </c>
      <c r="C14" s="138">
        <v>-4.9218749999999999E-2</v>
      </c>
      <c r="D14" s="148">
        <f t="shared" si="0"/>
        <v>-3.9897874553906247E-6</v>
      </c>
      <c r="E14" s="138">
        <v>691212</v>
      </c>
      <c r="F14" s="121">
        <f t="shared" si="1"/>
        <v>4.9692802088397769E-2</v>
      </c>
      <c r="M14"/>
      <c r="N14" s="133"/>
      <c r="O14" s="130"/>
      <c r="P14" s="130"/>
      <c r="Q14" s="130"/>
      <c r="R14" s="130"/>
      <c r="S14" s="130"/>
      <c r="T14" s="131"/>
    </row>
    <row r="15" spans="2:21" ht="16.2" thickBot="1" x14ac:dyDescent="0.35">
      <c r="B15" s="143">
        <v>4</v>
      </c>
      <c r="C15" s="144">
        <v>-4.9218749999999999E-2</v>
      </c>
      <c r="D15" s="148">
        <f t="shared" si="0"/>
        <v>-3.9897874553906247E-6</v>
      </c>
      <c r="E15" s="144">
        <v>691212</v>
      </c>
      <c r="F15" s="121">
        <f t="shared" si="1"/>
        <v>4.9692802088397769E-2</v>
      </c>
      <c r="M15"/>
      <c r="N15" s="133"/>
      <c r="O15" s="130"/>
      <c r="P15" s="130"/>
      <c r="Q15" s="130"/>
      <c r="R15" s="130"/>
      <c r="S15" s="130"/>
      <c r="T15" s="131"/>
    </row>
    <row r="16" spans="2:21" x14ac:dyDescent="0.3">
      <c r="B16" s="139" t="s">
        <v>114</v>
      </c>
      <c r="D16" s="149">
        <f>MAX(D12:D15)-MIN(D12:D15)</f>
        <v>5.6996963648437454E-7</v>
      </c>
      <c r="F16" s="119">
        <f>MAX(F12:F15)-MIN(F12:F15)</f>
        <v>1.3357356209908744E-4</v>
      </c>
      <c r="M16"/>
      <c r="N16" s="133"/>
      <c r="O16" s="130"/>
      <c r="P16" s="130"/>
      <c r="Q16" s="130"/>
      <c r="R16" s="130"/>
      <c r="S16" s="130"/>
      <c r="T16" s="131"/>
    </row>
    <row r="17" spans="2:21" x14ac:dyDescent="0.3">
      <c r="B17" s="142" t="s">
        <v>116</v>
      </c>
      <c r="D17" s="120">
        <f>STDEV(C12:C15)</f>
        <v>4.059494080239554E-3</v>
      </c>
      <c r="F17" s="120">
        <f>STDEV(F12:F15)</f>
        <v>6.678678104954372E-5</v>
      </c>
      <c r="I17" s="127" t="s">
        <v>117</v>
      </c>
      <c r="J17" s="128"/>
      <c r="M17"/>
      <c r="N17" s="133"/>
      <c r="O17" s="130"/>
      <c r="P17" s="130"/>
      <c r="Q17" s="130"/>
      <c r="R17" s="130"/>
      <c r="S17" s="130"/>
      <c r="T17" s="131"/>
    </row>
    <row r="18" spans="2:21" ht="16.2" thickBot="1" x14ac:dyDescent="0.35">
      <c r="B18" s="143" t="s">
        <v>115</v>
      </c>
      <c r="C18" s="145">
        <f>MAX(D16:F16)</f>
        <v>1.3357356209908744E-4</v>
      </c>
      <c r="D18" s="147"/>
      <c r="E18" s="146"/>
      <c r="F18" s="122"/>
      <c r="H18" s="123" t="s">
        <v>172</v>
      </c>
      <c r="I18" s="132">
        <f>MAX(C18,C28,C38,C50,C62,C74,C86,C98,C110,C122)</f>
        <v>9.3501493469716479E-4</v>
      </c>
      <c r="M18"/>
      <c r="N18" s="133"/>
      <c r="O18" s="130"/>
      <c r="P18" s="130"/>
      <c r="Q18" s="130"/>
      <c r="R18" s="130"/>
      <c r="S18" s="130"/>
      <c r="T18" s="130"/>
      <c r="U18" s="131"/>
    </row>
    <row r="19" spans="2:21" x14ac:dyDescent="0.3">
      <c r="H19" t="s">
        <v>173</v>
      </c>
      <c r="I19" s="132">
        <f>AVERAGE(C18,C28,C38,C50,C62,C74,C86,C98,C110,C122)</f>
        <v>6.0108102944944619E-4</v>
      </c>
      <c r="M19"/>
      <c r="N19" s="133"/>
      <c r="O19" s="130"/>
      <c r="P19" s="130"/>
      <c r="Q19" s="130"/>
      <c r="R19" s="130"/>
      <c r="S19" s="130"/>
      <c r="T19" s="130"/>
      <c r="U19" s="131"/>
    </row>
    <row r="20" spans="2:21" ht="16.2" thickBot="1" x14ac:dyDescent="0.35">
      <c r="B20" s="118" t="s">
        <v>40</v>
      </c>
      <c r="C20" s="124" t="s">
        <v>80</v>
      </c>
      <c r="D20" s="124"/>
      <c r="E20" s="118" t="s">
        <v>79</v>
      </c>
      <c r="F20" s="118"/>
      <c r="M20"/>
      <c r="N20" s="133"/>
      <c r="O20" s="130"/>
      <c r="P20" s="130"/>
      <c r="Q20" s="130"/>
      <c r="R20" s="130"/>
      <c r="S20" s="130"/>
      <c r="T20" s="130"/>
      <c r="U20" s="131"/>
    </row>
    <row r="21" spans="2:21" x14ac:dyDescent="0.3">
      <c r="B21" s="139" t="s">
        <v>77</v>
      </c>
      <c r="C21" s="140" t="s">
        <v>162</v>
      </c>
      <c r="D21" s="140" t="s">
        <v>170</v>
      </c>
      <c r="E21" s="140" t="s">
        <v>169</v>
      </c>
      <c r="F21" s="141" t="s">
        <v>37</v>
      </c>
      <c r="M21"/>
      <c r="N21" s="133"/>
      <c r="O21" s="130"/>
      <c r="P21" s="130"/>
      <c r="Q21" s="130"/>
      <c r="R21" s="130"/>
      <c r="S21" s="130"/>
      <c r="T21" s="131"/>
    </row>
    <row r="22" spans="2:21" x14ac:dyDescent="0.3">
      <c r="B22" s="142">
        <v>1</v>
      </c>
      <c r="C22" s="138">
        <v>4.9218749999999999E-2</v>
      </c>
      <c r="D22" s="148">
        <f>$I$12*C22</f>
        <v>3.9897874553906247E-6</v>
      </c>
      <c r="E22" s="120">
        <v>690520</v>
      </c>
      <c r="F22" s="121">
        <f>ABS((ABS($I$13)*E22)-$J$13)</f>
        <v>1.8881833763998657E-2</v>
      </c>
      <c r="M22"/>
      <c r="N22" s="133"/>
      <c r="O22" s="130"/>
      <c r="P22" s="130"/>
      <c r="Q22" s="130"/>
      <c r="R22" s="130"/>
      <c r="S22" s="130"/>
      <c r="T22" s="131"/>
    </row>
    <row r="23" spans="2:21" ht="16.2" thickBot="1" x14ac:dyDescent="0.35">
      <c r="B23" s="142">
        <v>2</v>
      </c>
      <c r="C23" s="138">
        <v>4.2187500000000003E-2</v>
      </c>
      <c r="D23" s="148">
        <f t="shared" ref="D23:D25" si="2">$I$12*C23</f>
        <v>3.4198178189062502E-6</v>
      </c>
      <c r="E23" s="138">
        <v>690512</v>
      </c>
      <c r="F23" s="121">
        <f t="shared" ref="F23:F25" si="3">ABS((ABS($I$13)*E23)-$J$13)</f>
        <v>1.8525637598397537E-2</v>
      </c>
      <c r="M23"/>
      <c r="N23" s="134"/>
      <c r="O23" s="135"/>
      <c r="P23" s="135"/>
      <c r="Q23" s="135"/>
      <c r="R23" s="135"/>
      <c r="S23" s="135"/>
      <c r="T23" s="136"/>
    </row>
    <row r="24" spans="2:21" x14ac:dyDescent="0.3">
      <c r="B24" s="142">
        <v>3</v>
      </c>
      <c r="C24" s="138">
        <v>4.2187500000000003E-2</v>
      </c>
      <c r="D24" s="148">
        <f t="shared" si="2"/>
        <v>3.4198178189062502E-6</v>
      </c>
      <c r="E24" s="138">
        <v>690511</v>
      </c>
      <c r="F24" s="121">
        <f t="shared" si="3"/>
        <v>1.8481113077697842E-2</v>
      </c>
    </row>
    <row r="25" spans="2:21" ht="16.2" thickBot="1" x14ac:dyDescent="0.35">
      <c r="B25" s="143">
        <v>4</v>
      </c>
      <c r="C25" s="144">
        <v>4.2187500000000003E-2</v>
      </c>
      <c r="D25" s="148">
        <f t="shared" si="2"/>
        <v>3.4198178189062502E-6</v>
      </c>
      <c r="E25" s="144">
        <v>690507</v>
      </c>
      <c r="F25" s="121">
        <f t="shared" si="3"/>
        <v>1.8303014994899058E-2</v>
      </c>
    </row>
    <row r="26" spans="2:21" x14ac:dyDescent="0.3">
      <c r="B26" s="139" t="s">
        <v>114</v>
      </c>
      <c r="D26" s="149">
        <f>MAX(D22:D25)-MIN(D22:D25)</f>
        <v>5.6996963648437454E-7</v>
      </c>
      <c r="F26" s="119">
        <f>MAX(F22:F25)-MIN(F22:F25)</f>
        <v>5.7881876909959828E-4</v>
      </c>
    </row>
    <row r="27" spans="2:21" x14ac:dyDescent="0.3">
      <c r="B27" s="142" t="s">
        <v>116</v>
      </c>
      <c r="D27" s="120">
        <f>STDEV(C22:C25)</f>
        <v>3.5156249999999979E-3</v>
      </c>
      <c r="F27" s="120">
        <f>STDEV(F22:F25)</f>
        <v>2.4251222098224437E-4</v>
      </c>
    </row>
    <row r="28" spans="2:21" ht="16.2" thickBot="1" x14ac:dyDescent="0.35">
      <c r="B28" s="143" t="s">
        <v>115</v>
      </c>
      <c r="C28" s="145">
        <f>MAX(D26:F26)</f>
        <v>5.7881876909959828E-4</v>
      </c>
      <c r="D28" s="147"/>
      <c r="E28" s="146"/>
      <c r="F28" s="122"/>
    </row>
    <row r="30" spans="2:21" ht="16.2" thickBot="1" x14ac:dyDescent="0.35">
      <c r="B30" s="118" t="s">
        <v>40</v>
      </c>
      <c r="C30" s="124" t="s">
        <v>81</v>
      </c>
      <c r="D30" s="124"/>
      <c r="E30" s="118" t="s">
        <v>78</v>
      </c>
      <c r="F30" s="118"/>
    </row>
    <row r="31" spans="2:21" x14ac:dyDescent="0.3">
      <c r="B31" s="139" t="s">
        <v>77</v>
      </c>
      <c r="C31" s="140" t="s">
        <v>162</v>
      </c>
      <c r="D31" s="140" t="s">
        <v>170</v>
      </c>
      <c r="E31" s="140" t="s">
        <v>169</v>
      </c>
      <c r="F31" s="141" t="s">
        <v>37</v>
      </c>
    </row>
    <row r="32" spans="2:21" x14ac:dyDescent="0.3">
      <c r="B32" s="142">
        <v>1</v>
      </c>
      <c r="C32" s="138">
        <v>123431.625</v>
      </c>
      <c r="D32" s="148">
        <f>$I$12*C32</f>
        <v>10.005657376984987</v>
      </c>
      <c r="E32" s="120">
        <v>466367</v>
      </c>
      <c r="F32" s="121">
        <f>ABS((ABS($I$13)*E32)-$J$13)</f>
        <v>9.9614230547031006</v>
      </c>
    </row>
    <row r="33" spans="2:12" x14ac:dyDescent="0.3">
      <c r="B33" s="142">
        <v>2</v>
      </c>
      <c r="C33" s="138">
        <v>123431.625</v>
      </c>
      <c r="D33" s="148">
        <f t="shared" ref="D33:D35" si="4">$I$12*C33</f>
        <v>10.005657376984987</v>
      </c>
      <c r="E33" s="138">
        <v>466352</v>
      </c>
      <c r="F33" s="121">
        <f t="shared" ref="F33:F35" si="5">ABS((ABS($I$13)*E33)-$J$13)</f>
        <v>9.9620909225136032</v>
      </c>
      <c r="L33" s="118"/>
    </row>
    <row r="34" spans="2:12" x14ac:dyDescent="0.3">
      <c r="B34" s="142">
        <v>3</v>
      </c>
      <c r="C34" s="138">
        <v>123431.625</v>
      </c>
      <c r="D34" s="148">
        <f t="shared" si="4"/>
        <v>10.005657376984987</v>
      </c>
      <c r="E34" s="138">
        <v>466359</v>
      </c>
      <c r="F34" s="121">
        <f t="shared" si="5"/>
        <v>9.9617792508687018</v>
      </c>
      <c r="L34" s="124"/>
    </row>
    <row r="35" spans="2:12" ht="16.2" thickBot="1" x14ac:dyDescent="0.35">
      <c r="B35" s="143">
        <v>4</v>
      </c>
      <c r="C35" s="144">
        <v>123431.625</v>
      </c>
      <c r="D35" s="148">
        <f t="shared" si="4"/>
        <v>10.005657376984987</v>
      </c>
      <c r="E35" s="144">
        <v>466363</v>
      </c>
      <c r="F35" s="121">
        <f t="shared" si="5"/>
        <v>9.961601152785903</v>
      </c>
      <c r="L35" s="118"/>
    </row>
    <row r="36" spans="2:12" x14ac:dyDescent="0.3">
      <c r="B36" s="139" t="s">
        <v>114</v>
      </c>
      <c r="D36" s="149">
        <f>MAX(D32:D35)-MIN(D32:D35)</f>
        <v>0</v>
      </c>
      <c r="F36" s="119">
        <f>MAX(F32:F35)-MIN(F32:F35)</f>
        <v>6.6786781050254262E-4</v>
      </c>
      <c r="L36" s="118"/>
    </row>
    <row r="37" spans="2:12" x14ac:dyDescent="0.3">
      <c r="B37" s="142" t="s">
        <v>116</v>
      </c>
      <c r="D37" s="120">
        <f>STDEV(C32:C35)</f>
        <v>0</v>
      </c>
      <c r="F37" s="120">
        <f>STDEV(F32:F35)</f>
        <v>2.848061585382772E-4</v>
      </c>
      <c r="L37" s="118"/>
    </row>
    <row r="38" spans="2:12" ht="16.2" thickBot="1" x14ac:dyDescent="0.35">
      <c r="B38" s="143" t="s">
        <v>115</v>
      </c>
      <c r="C38" s="145">
        <f>MAX(D36:F36)</f>
        <v>6.6786781050254262E-4</v>
      </c>
      <c r="D38" s="147"/>
      <c r="E38" s="146"/>
      <c r="F38" s="122"/>
      <c r="L38" s="118"/>
    </row>
    <row r="39" spans="2:12" x14ac:dyDescent="0.3">
      <c r="L39" s="118"/>
    </row>
    <row r="42" spans="2:12" ht="16.2" thickBot="1" x14ac:dyDescent="0.35">
      <c r="B42" s="118" t="s">
        <v>40</v>
      </c>
      <c r="C42" s="124" t="s">
        <v>81</v>
      </c>
      <c r="D42" s="124"/>
      <c r="E42" s="118" t="s">
        <v>79</v>
      </c>
      <c r="F42" s="118"/>
    </row>
    <row r="43" spans="2:12" x14ac:dyDescent="0.3">
      <c r="B43" s="139" t="s">
        <v>77</v>
      </c>
      <c r="C43" s="140" t="s">
        <v>162</v>
      </c>
      <c r="D43" s="140" t="s">
        <v>170</v>
      </c>
      <c r="E43" s="140" t="s">
        <v>169</v>
      </c>
      <c r="F43" s="141" t="s">
        <v>37</v>
      </c>
    </row>
    <row r="44" spans="2:12" x14ac:dyDescent="0.3">
      <c r="B44" s="142">
        <v>1</v>
      </c>
      <c r="C44" s="138">
        <v>123431.70940000001</v>
      </c>
      <c r="D44" s="148">
        <f>$I$12*C44</f>
        <v>10.005664218647185</v>
      </c>
      <c r="E44" s="120">
        <v>465771</v>
      </c>
      <c r="F44" s="121">
        <f>ABS((ABS($I$13)*E44)-$J$13)</f>
        <v>9.9879596690403005</v>
      </c>
    </row>
    <row r="45" spans="2:12" x14ac:dyDescent="0.3">
      <c r="B45" s="142">
        <v>2</v>
      </c>
      <c r="C45" s="138">
        <v>123431.70940000001</v>
      </c>
      <c r="D45" s="148">
        <f t="shared" ref="D45:D47" si="6">$I$12*C45</f>
        <v>10.005664218647185</v>
      </c>
      <c r="E45" s="138">
        <v>465767</v>
      </c>
      <c r="F45" s="121">
        <f t="shared" ref="F45:F47" si="7">ABS((ABS($I$13)*E45)-$J$13)</f>
        <v>9.9881377671231029</v>
      </c>
    </row>
    <row r="46" spans="2:12" x14ac:dyDescent="0.3">
      <c r="B46" s="142">
        <v>3</v>
      </c>
      <c r="C46" s="138">
        <v>123431.70940000001</v>
      </c>
      <c r="D46" s="148">
        <f t="shared" si="6"/>
        <v>10.005664218647185</v>
      </c>
      <c r="E46" s="138">
        <v>465763</v>
      </c>
      <c r="F46" s="121">
        <f t="shared" si="7"/>
        <v>9.9883158652059016</v>
      </c>
    </row>
    <row r="47" spans="2:12" ht="16.2" thickBot="1" x14ac:dyDescent="0.35">
      <c r="B47" s="143">
        <v>4</v>
      </c>
      <c r="C47" s="144">
        <v>123431.7164</v>
      </c>
      <c r="D47" s="148">
        <f t="shared" si="6"/>
        <v>10.005664786083623</v>
      </c>
      <c r="E47" s="144">
        <v>465759</v>
      </c>
      <c r="F47" s="121">
        <f t="shared" si="7"/>
        <v>9.9884939632887004</v>
      </c>
    </row>
    <row r="48" spans="2:12" x14ac:dyDescent="0.3">
      <c r="B48" s="139" t="s">
        <v>114</v>
      </c>
      <c r="D48" s="149">
        <f>MAX(D44:D47)-MIN(D44:D47)</f>
        <v>5.6743643739309846E-7</v>
      </c>
      <c r="F48" s="119">
        <f>MAX(F44:F47)-MIN(F44:F47)</f>
        <v>5.3429424839990247E-4</v>
      </c>
    </row>
    <row r="49" spans="2:19" x14ac:dyDescent="0.3">
      <c r="B49" s="142" t="s">
        <v>116</v>
      </c>
      <c r="D49" s="120">
        <f>STDEV(C44:C47)</f>
        <v>3.4999999988940544E-3</v>
      </c>
      <c r="F49" s="120">
        <f>STDEV(F44:F47)</f>
        <v>2.29923636225095E-4</v>
      </c>
    </row>
    <row r="50" spans="2:19" ht="16.2" thickBot="1" x14ac:dyDescent="0.35">
      <c r="B50" s="143" t="s">
        <v>115</v>
      </c>
      <c r="C50" s="145">
        <f>MAX(D48:F48)</f>
        <v>5.3429424839990247E-4</v>
      </c>
      <c r="D50" s="147"/>
      <c r="E50" s="146"/>
      <c r="F50" s="122"/>
    </row>
    <row r="54" spans="2:19" ht="16.2" thickBot="1" x14ac:dyDescent="0.35">
      <c r="B54" s="118" t="s">
        <v>40</v>
      </c>
      <c r="C54" s="118" t="s">
        <v>82</v>
      </c>
      <c r="D54" s="118"/>
      <c r="E54" s="118" t="s">
        <v>78</v>
      </c>
      <c r="F54" s="118"/>
    </row>
    <row r="55" spans="2:19" x14ac:dyDescent="0.3">
      <c r="B55" s="139" t="s">
        <v>77</v>
      </c>
      <c r="C55" s="140" t="s">
        <v>162</v>
      </c>
      <c r="D55" s="140" t="s">
        <v>170</v>
      </c>
      <c r="E55" s="140" t="s">
        <v>169</v>
      </c>
      <c r="F55" s="141" t="s">
        <v>37</v>
      </c>
    </row>
    <row r="56" spans="2:19" x14ac:dyDescent="0.3">
      <c r="B56" s="142">
        <v>1</v>
      </c>
      <c r="C56" s="138">
        <v>246863.29920000001</v>
      </c>
      <c r="D56" s="148">
        <f>$I$12*C56</f>
        <v>20.01131874223751</v>
      </c>
      <c r="E56" s="120">
        <v>241664</v>
      </c>
      <c r="F56" s="121">
        <f>ABS((ABS($I$13)*E56)-$J$13)</f>
        <v>19.966216429555203</v>
      </c>
    </row>
    <row r="57" spans="2:19" x14ac:dyDescent="0.3">
      <c r="B57" s="142">
        <v>2</v>
      </c>
      <c r="C57" s="150">
        <v>246863.2922</v>
      </c>
      <c r="D57" s="148">
        <f t="shared" ref="D57:D59" si="8">$I$12*C57</f>
        <v>20.011318174801072</v>
      </c>
      <c r="E57" s="138">
        <v>241656</v>
      </c>
      <c r="F57" s="121">
        <f t="shared" ref="F57:F59" si="9">ABS((ABS($I$13)*E57)-$J$13)</f>
        <v>19.966572625720801</v>
      </c>
    </row>
    <row r="58" spans="2:19" x14ac:dyDescent="0.3">
      <c r="B58" s="142">
        <v>3</v>
      </c>
      <c r="C58" s="138">
        <v>246863.29920000001</v>
      </c>
      <c r="D58" s="148">
        <f t="shared" si="8"/>
        <v>20.01131874223751</v>
      </c>
      <c r="E58" s="138">
        <v>241663</v>
      </c>
      <c r="F58" s="121">
        <f t="shared" si="9"/>
        <v>19.966260954075899</v>
      </c>
      <c r="K58" s="118"/>
      <c r="S58" s="118"/>
    </row>
    <row r="59" spans="2:19" ht="16.2" thickBot="1" x14ac:dyDescent="0.35">
      <c r="B59" s="143">
        <v>4</v>
      </c>
      <c r="C59" s="144">
        <v>246863.29920000001</v>
      </c>
      <c r="D59" s="148">
        <f t="shared" si="8"/>
        <v>20.01131874223751</v>
      </c>
      <c r="E59" s="144">
        <v>241668</v>
      </c>
      <c r="F59" s="121">
        <f t="shared" si="9"/>
        <v>19.966038331472401</v>
      </c>
      <c r="K59" s="124"/>
      <c r="S59" s="118"/>
    </row>
    <row r="60" spans="2:19" x14ac:dyDescent="0.3">
      <c r="B60" s="139" t="s">
        <v>114</v>
      </c>
      <c r="D60" s="149">
        <f>MAX(D56:D59)-MIN(D56:D59)</f>
        <v>5.6743643739309846E-7</v>
      </c>
      <c r="F60" s="119">
        <f>MAX(F56:F59)-MIN(F56:F59)</f>
        <v>5.3429424839990247E-4</v>
      </c>
      <c r="K60" s="118"/>
      <c r="S60" s="118"/>
    </row>
    <row r="61" spans="2:19" x14ac:dyDescent="0.3">
      <c r="B61" s="142" t="s">
        <v>116</v>
      </c>
      <c r="D61" s="120">
        <f>STDEV(C56:C59)</f>
        <v>3.5000000061700116E-3</v>
      </c>
      <c r="F61" s="120">
        <f>STDEV(F56:F59)</f>
        <v>2.2225125611281983E-4</v>
      </c>
      <c r="K61" s="118"/>
      <c r="S61" s="118"/>
    </row>
    <row r="62" spans="2:19" ht="16.2" thickBot="1" x14ac:dyDescent="0.35">
      <c r="B62" s="143" t="s">
        <v>115</v>
      </c>
      <c r="C62" s="145">
        <f>MAX(D60:F60)</f>
        <v>5.3429424839990247E-4</v>
      </c>
      <c r="D62" s="147"/>
      <c r="E62" s="146"/>
      <c r="F62" s="122"/>
      <c r="K62" s="118"/>
      <c r="S62" s="118"/>
    </row>
    <row r="63" spans="2:19" x14ac:dyDescent="0.3">
      <c r="K63" s="118"/>
      <c r="S63" s="118"/>
    </row>
    <row r="64" spans="2:19" x14ac:dyDescent="0.3">
      <c r="K64" s="118"/>
      <c r="S64" s="118"/>
    </row>
    <row r="66" spans="2:19" ht="16.2" thickBot="1" x14ac:dyDescent="0.35">
      <c r="B66" s="118" t="s">
        <v>40</v>
      </c>
      <c r="C66" s="118" t="s">
        <v>82</v>
      </c>
      <c r="D66" s="118"/>
      <c r="E66" s="118" t="s">
        <v>79</v>
      </c>
      <c r="F66" s="118"/>
    </row>
    <row r="67" spans="2:19" x14ac:dyDescent="0.3">
      <c r="B67" s="139" t="s">
        <v>77</v>
      </c>
      <c r="C67" s="140" t="s">
        <v>162</v>
      </c>
      <c r="D67" s="140" t="s">
        <v>170</v>
      </c>
      <c r="E67" s="140" t="s">
        <v>169</v>
      </c>
      <c r="F67" s="141" t="s">
        <v>37</v>
      </c>
    </row>
    <row r="68" spans="2:19" x14ac:dyDescent="0.3">
      <c r="B68" s="142">
        <v>1</v>
      </c>
      <c r="C68" s="138">
        <v>246863.3836</v>
      </c>
      <c r="D68" s="148">
        <f>$I$12*C68</f>
        <v>20.011325583899708</v>
      </c>
      <c r="E68" s="120">
        <v>241192</v>
      </c>
      <c r="F68" s="121">
        <f>ABS((ABS($I$13)*E68)-$J$13)</f>
        <v>19.987232003325602</v>
      </c>
    </row>
    <row r="69" spans="2:19" x14ac:dyDescent="0.3">
      <c r="B69" s="142">
        <v>2</v>
      </c>
      <c r="C69" s="138">
        <v>246863.3836</v>
      </c>
      <c r="D69" s="148">
        <f t="shared" ref="D69:D71" si="10">$I$12*C69</f>
        <v>20.011325583899708</v>
      </c>
      <c r="E69" s="138">
        <v>241188</v>
      </c>
      <c r="F69" s="121">
        <f t="shared" ref="F69:F71" si="11">ABS((ABS($I$13)*E69)-$J$13)</f>
        <v>19.9874101014084</v>
      </c>
    </row>
    <row r="70" spans="2:19" x14ac:dyDescent="0.3">
      <c r="B70" s="142">
        <v>3</v>
      </c>
      <c r="C70" s="138">
        <v>246863.3836</v>
      </c>
      <c r="D70" s="148">
        <f t="shared" si="10"/>
        <v>20.011325583899708</v>
      </c>
      <c r="E70" s="138">
        <v>241184</v>
      </c>
      <c r="F70" s="121">
        <f t="shared" si="11"/>
        <v>19.987588199491199</v>
      </c>
    </row>
    <row r="71" spans="2:19" ht="16.2" thickBot="1" x14ac:dyDescent="0.35">
      <c r="B71" s="143">
        <v>4</v>
      </c>
      <c r="C71" s="144">
        <v>246863.3836</v>
      </c>
      <c r="D71" s="148">
        <f t="shared" si="10"/>
        <v>20.011325583899708</v>
      </c>
      <c r="E71" s="144">
        <v>241180</v>
      </c>
      <c r="F71" s="121">
        <f t="shared" si="11"/>
        <v>19.987766297574002</v>
      </c>
    </row>
    <row r="72" spans="2:19" x14ac:dyDescent="0.3">
      <c r="B72" s="139" t="s">
        <v>114</v>
      </c>
      <c r="D72" s="149">
        <f>MAX(D68:D71)-MIN(D68:D71)</f>
        <v>0</v>
      </c>
      <c r="F72" s="119">
        <f>MAX(F68:F71)-MIN(F68:F71)</f>
        <v>5.3429424839990247E-4</v>
      </c>
    </row>
    <row r="73" spans="2:19" x14ac:dyDescent="0.3">
      <c r="B73" s="142" t="s">
        <v>116</v>
      </c>
      <c r="D73" s="120">
        <f>STDEV(C68:C71)</f>
        <v>0</v>
      </c>
      <c r="F73" s="120">
        <f>STDEV(F68:F71)</f>
        <v>2.29923636225095E-4</v>
      </c>
    </row>
    <row r="74" spans="2:19" ht="16.2" thickBot="1" x14ac:dyDescent="0.35">
      <c r="B74" s="143" t="s">
        <v>115</v>
      </c>
      <c r="C74" s="145">
        <f>MAX(D72:F72)</f>
        <v>5.3429424839990247E-4</v>
      </c>
      <c r="D74" s="147"/>
      <c r="E74" s="146"/>
      <c r="F74" s="122"/>
    </row>
    <row r="77" spans="2:19" x14ac:dyDescent="0.3">
      <c r="S77" s="118"/>
    </row>
    <row r="78" spans="2:19" ht="16.2" thickBot="1" x14ac:dyDescent="0.35">
      <c r="B78" s="118" t="s">
        <v>40</v>
      </c>
      <c r="C78" s="118" t="s">
        <v>83</v>
      </c>
      <c r="D78" s="118"/>
      <c r="E78" s="118" t="s">
        <v>78</v>
      </c>
      <c r="F78" s="118"/>
      <c r="S78" s="118"/>
    </row>
    <row r="79" spans="2:19" x14ac:dyDescent="0.3">
      <c r="B79" s="139" t="s">
        <v>77</v>
      </c>
      <c r="C79" s="140" t="s">
        <v>162</v>
      </c>
      <c r="D79" s="140" t="s">
        <v>170</v>
      </c>
      <c r="E79" s="140" t="s">
        <v>169</v>
      </c>
      <c r="F79" s="141" t="s">
        <v>37</v>
      </c>
      <c r="S79" s="118"/>
    </row>
    <row r="80" spans="2:19" x14ac:dyDescent="0.3">
      <c r="B80" s="142">
        <v>1</v>
      </c>
      <c r="C80" s="138">
        <v>370294.95939999999</v>
      </c>
      <c r="D80" s="148">
        <f>$I$12*C80</f>
        <v>30.016978972617157</v>
      </c>
      <c r="E80" s="120">
        <v>17199</v>
      </c>
      <c r="F80" s="121">
        <f>ABS((ABS($I$13)*E80)-$J$13)</f>
        <v>29.9604129684807</v>
      </c>
      <c r="S80" s="118"/>
    </row>
    <row r="81" spans="2:19" x14ac:dyDescent="0.3">
      <c r="B81" s="142">
        <v>2</v>
      </c>
      <c r="C81" s="138">
        <v>370294.95939999999</v>
      </c>
      <c r="D81" s="148">
        <f t="shared" ref="D81:D83" si="12">$I$12*C81</f>
        <v>30.016978972617157</v>
      </c>
      <c r="E81" s="138">
        <v>17180</v>
      </c>
      <c r="F81" s="121">
        <f t="shared" ref="F81:F83" si="13">ABS((ABS($I$13)*E81)-$J$13)</f>
        <v>29.961258934374001</v>
      </c>
      <c r="S81" s="118"/>
    </row>
    <row r="82" spans="2:19" x14ac:dyDescent="0.3">
      <c r="B82" s="142">
        <v>3</v>
      </c>
      <c r="C82" s="138">
        <v>370294.96639999998</v>
      </c>
      <c r="D82" s="148">
        <f t="shared" si="12"/>
        <v>30.016979540053594</v>
      </c>
      <c r="E82" s="138">
        <v>17184</v>
      </c>
      <c r="F82" s="121">
        <f t="shared" si="13"/>
        <v>29.961080836291202</v>
      </c>
      <c r="S82" s="118"/>
    </row>
    <row r="83" spans="2:19" ht="16.2" thickBot="1" x14ac:dyDescent="0.35">
      <c r="B83" s="143">
        <v>4</v>
      </c>
      <c r="C83" s="144">
        <v>370294.96639999998</v>
      </c>
      <c r="D83" s="148">
        <f t="shared" si="12"/>
        <v>30.016979540053594</v>
      </c>
      <c r="E83" s="144">
        <v>17184</v>
      </c>
      <c r="F83" s="121">
        <f t="shared" si="13"/>
        <v>29.961080836291202</v>
      </c>
      <c r="S83" s="118"/>
    </row>
    <row r="84" spans="2:19" x14ac:dyDescent="0.3">
      <c r="B84" s="139" t="s">
        <v>114</v>
      </c>
      <c r="D84" s="149">
        <f>MAX(D80:D83)-MIN(D80:D83)</f>
        <v>5.6743643739309846E-7</v>
      </c>
      <c r="F84" s="119">
        <f>MAX(F80:F83)-MIN(F80:F83)</f>
        <v>8.4596589330132588E-4</v>
      </c>
      <c r="S84" s="118"/>
    </row>
    <row r="85" spans="2:19" x14ac:dyDescent="0.3">
      <c r="B85" s="142" t="s">
        <v>116</v>
      </c>
      <c r="D85" s="120">
        <f>STDEV(C80:C83)</f>
        <v>4.0414518746487924E-3</v>
      </c>
      <c r="F85" s="120">
        <f>STDEV(F80:F83)</f>
        <v>3.7318348608439644E-4</v>
      </c>
    </row>
    <row r="86" spans="2:19" ht="16.2" thickBot="1" x14ac:dyDescent="0.35">
      <c r="B86" s="143" t="s">
        <v>115</v>
      </c>
      <c r="C86" s="145">
        <f>MAX(D84:F84)</f>
        <v>8.4596589330132588E-4</v>
      </c>
      <c r="D86" s="147"/>
      <c r="E86" s="146"/>
      <c r="F86" s="122"/>
    </row>
    <row r="90" spans="2:19" ht="16.2" thickBot="1" x14ac:dyDescent="0.35">
      <c r="B90" s="118" t="s">
        <v>40</v>
      </c>
      <c r="C90" s="118" t="s">
        <v>83</v>
      </c>
      <c r="D90" s="118"/>
      <c r="E90" s="118" t="s">
        <v>79</v>
      </c>
      <c r="F90" s="118"/>
    </row>
    <row r="91" spans="2:19" x14ac:dyDescent="0.3">
      <c r="B91" s="139" t="s">
        <v>77</v>
      </c>
      <c r="C91" s="140" t="s">
        <v>162</v>
      </c>
      <c r="D91" s="140" t="s">
        <v>170</v>
      </c>
      <c r="E91" s="140" t="s">
        <v>169</v>
      </c>
      <c r="F91" s="141" t="s">
        <v>37</v>
      </c>
    </row>
    <row r="92" spans="2:19" x14ac:dyDescent="0.3">
      <c r="B92" s="142">
        <v>1</v>
      </c>
      <c r="C92" s="138">
        <v>370295.05780000001</v>
      </c>
      <c r="D92" s="148">
        <f>$I$12*C92</f>
        <v>30.01698694915223</v>
      </c>
      <c r="E92" s="120">
        <v>16527</v>
      </c>
      <c r="F92" s="121">
        <f>ABS((ABS($I$13)*E92)-$J$13)</f>
        <v>29.990333446391102</v>
      </c>
    </row>
    <row r="93" spans="2:19" x14ac:dyDescent="0.3">
      <c r="B93" s="142">
        <v>2</v>
      </c>
      <c r="C93" s="138">
        <v>370295.05080000003</v>
      </c>
      <c r="D93" s="148">
        <f t="shared" ref="D93:D95" si="14">$I$12*C93</f>
        <v>30.016986381715796</v>
      </c>
      <c r="E93" s="138">
        <v>16523</v>
      </c>
      <c r="F93" s="121">
        <f t="shared" ref="F93:F95" si="15">ABS((ABS($I$13)*E93)-$J$13)</f>
        <v>29.9905115444739</v>
      </c>
    </row>
    <row r="94" spans="2:19" x14ac:dyDescent="0.3">
      <c r="B94" s="142">
        <v>3</v>
      </c>
      <c r="C94" s="138">
        <v>370295.05780000001</v>
      </c>
      <c r="D94" s="148">
        <f t="shared" si="14"/>
        <v>30.01698694915223</v>
      </c>
      <c r="E94" s="138">
        <v>16516</v>
      </c>
      <c r="F94" s="121">
        <f t="shared" si="15"/>
        <v>29.990823216118802</v>
      </c>
    </row>
    <row r="95" spans="2:19" ht="16.2" thickBot="1" x14ac:dyDescent="0.35">
      <c r="B95" s="143">
        <v>4</v>
      </c>
      <c r="C95" s="144">
        <v>370295.05780000001</v>
      </c>
      <c r="D95" s="148">
        <f t="shared" si="14"/>
        <v>30.01698694915223</v>
      </c>
      <c r="E95" s="144">
        <v>16511</v>
      </c>
      <c r="F95" s="121">
        <f t="shared" si="15"/>
        <v>29.9910458387223</v>
      </c>
    </row>
    <row r="96" spans="2:19" x14ac:dyDescent="0.3">
      <c r="B96" s="139" t="s">
        <v>114</v>
      </c>
      <c r="D96" s="149">
        <f>MAX(D92:D95)-MIN(D92:D95)</f>
        <v>5.6743643384038478E-7</v>
      </c>
      <c r="F96" s="119">
        <f>MAX(F92:F95)-MIN(F92:F95)</f>
        <v>7.1239233119868572E-4</v>
      </c>
    </row>
    <row r="97" spans="2:19" x14ac:dyDescent="0.3">
      <c r="B97" s="142" t="s">
        <v>116</v>
      </c>
      <c r="D97" s="120">
        <f>STDEV(C92:C95)</f>
        <v>3.4999999916180968E-3</v>
      </c>
      <c r="F97" s="120">
        <f>STDEV(F92:F95)</f>
        <v>3.1770879335696334E-4</v>
      </c>
    </row>
    <row r="98" spans="2:19" ht="16.2" thickBot="1" x14ac:dyDescent="0.35">
      <c r="B98" s="143" t="s">
        <v>115</v>
      </c>
      <c r="C98" s="145">
        <f>MAX(D96:F96)</f>
        <v>7.1239233119868572E-4</v>
      </c>
      <c r="D98" s="147"/>
      <c r="E98" s="146"/>
      <c r="F98" s="122"/>
    </row>
    <row r="102" spans="2:19" ht="16.2" thickBot="1" x14ac:dyDescent="0.35">
      <c r="B102" s="118" t="s">
        <v>40</v>
      </c>
      <c r="C102" s="118" t="s">
        <v>84</v>
      </c>
      <c r="D102" s="118"/>
      <c r="E102" s="118" t="s">
        <v>78</v>
      </c>
      <c r="F102" s="118"/>
    </row>
    <row r="103" spans="2:19" x14ac:dyDescent="0.3">
      <c r="B103" s="139" t="s">
        <v>77</v>
      </c>
      <c r="C103" s="140" t="s">
        <v>162</v>
      </c>
      <c r="D103" s="140" t="s">
        <v>170</v>
      </c>
      <c r="E103" s="140" t="s">
        <v>169</v>
      </c>
      <c r="F103" s="141" t="s">
        <v>37</v>
      </c>
    </row>
    <row r="104" spans="2:19" x14ac:dyDescent="0.3">
      <c r="B104" s="142">
        <v>1</v>
      </c>
      <c r="C104" s="138">
        <v>493726.6336</v>
      </c>
      <c r="D104" s="148">
        <f>$I$12*C104</f>
        <v>40.022640337869682</v>
      </c>
      <c r="E104" s="120">
        <v>2147276036</v>
      </c>
      <c r="F104" s="121">
        <f>ABS((ABS($I$13)*(2147483647-E104)+$J$13))</f>
        <v>39.969970467047702</v>
      </c>
    </row>
    <row r="105" spans="2:19" x14ac:dyDescent="0.3">
      <c r="B105" s="142">
        <v>2</v>
      </c>
      <c r="C105" s="138">
        <v>493726.64059999998</v>
      </c>
      <c r="D105" s="148">
        <f t="shared" ref="D105:D107" si="16">$I$12*C105</f>
        <v>40.022640905306119</v>
      </c>
      <c r="E105" s="138">
        <v>2147276015</v>
      </c>
      <c r="F105" s="121">
        <f t="shared" ref="F105:F107" si="17">ABS((ABS($I$13)*(2147483647-E105)+$J$13))</f>
        <v>39.970905481982399</v>
      </c>
    </row>
    <row r="106" spans="2:19" x14ac:dyDescent="0.3">
      <c r="B106" s="142">
        <v>3</v>
      </c>
      <c r="C106" s="138">
        <v>493726.6336</v>
      </c>
      <c r="D106" s="148">
        <f t="shared" si="16"/>
        <v>40.022640337869682</v>
      </c>
      <c r="E106" s="138">
        <v>2147276023</v>
      </c>
      <c r="F106" s="121">
        <f t="shared" si="17"/>
        <v>39.970549285816801</v>
      </c>
      <c r="K106" s="118"/>
      <c r="S106" s="118"/>
    </row>
    <row r="107" spans="2:19" ht="16.2" thickBot="1" x14ac:dyDescent="0.35">
      <c r="B107" s="143">
        <v>4</v>
      </c>
      <c r="C107" s="144">
        <v>493726.64059999998</v>
      </c>
      <c r="D107" s="148">
        <f t="shared" si="16"/>
        <v>40.022640905306119</v>
      </c>
      <c r="E107" s="144">
        <v>2147276027</v>
      </c>
      <c r="F107" s="121">
        <f t="shared" si="17"/>
        <v>39.970371187734003</v>
      </c>
      <c r="K107" s="118"/>
      <c r="S107" s="118"/>
    </row>
    <row r="108" spans="2:19" x14ac:dyDescent="0.3">
      <c r="B108" s="139" t="s">
        <v>114</v>
      </c>
      <c r="D108" s="149">
        <f>MAX(D104:D107)-MIN(D104:D107)</f>
        <v>5.6743643739309846E-7</v>
      </c>
      <c r="F108" s="119">
        <f>MAX(F104:F107)-MIN(F104:F107)</f>
        <v>9.3501493469716479E-4</v>
      </c>
      <c r="K108" s="118"/>
      <c r="S108" s="118"/>
    </row>
    <row r="109" spans="2:19" x14ac:dyDescent="0.3">
      <c r="B109" s="142" t="s">
        <v>116</v>
      </c>
      <c r="D109" s="120">
        <f>STDEV(C104:C107)</f>
        <v>4.0414518746487924E-3</v>
      </c>
      <c r="F109" s="120">
        <f>STDEV(F104:F107)</f>
        <v>3.8879366243018771E-4</v>
      </c>
      <c r="K109" s="118"/>
      <c r="S109" s="118"/>
    </row>
    <row r="110" spans="2:19" ht="16.2" thickBot="1" x14ac:dyDescent="0.35">
      <c r="B110" s="143" t="s">
        <v>115</v>
      </c>
      <c r="C110" s="145">
        <f>MAX(D108:F108)</f>
        <v>9.3501493469716479E-4</v>
      </c>
      <c r="D110" s="147"/>
      <c r="E110" s="146"/>
      <c r="F110" s="122"/>
      <c r="K110" s="118"/>
      <c r="S110" s="118"/>
    </row>
    <row r="111" spans="2:19" x14ac:dyDescent="0.3">
      <c r="K111" s="118"/>
      <c r="S111" s="118"/>
    </row>
    <row r="112" spans="2:19" x14ac:dyDescent="0.3">
      <c r="K112" s="118"/>
      <c r="S112" s="118"/>
    </row>
    <row r="114" spans="2:13" ht="16.2" thickBot="1" x14ac:dyDescent="0.35">
      <c r="B114" s="118" t="s">
        <v>40</v>
      </c>
      <c r="C114" s="118" t="s">
        <v>84</v>
      </c>
      <c r="D114" s="118"/>
      <c r="E114" s="118" t="s">
        <v>79</v>
      </c>
      <c r="F114" s="118"/>
    </row>
    <row r="115" spans="2:13" x14ac:dyDescent="0.3">
      <c r="B115" s="139" t="s">
        <v>77</v>
      </c>
      <c r="C115" s="140" t="s">
        <v>162</v>
      </c>
      <c r="D115" s="140" t="s">
        <v>170</v>
      </c>
      <c r="E115" s="140" t="s">
        <v>169</v>
      </c>
      <c r="F115" s="141" t="s">
        <v>37</v>
      </c>
    </row>
    <row r="116" spans="2:13" x14ac:dyDescent="0.3">
      <c r="B116" s="142">
        <v>1</v>
      </c>
      <c r="C116" s="138">
        <v>493726.71799999999</v>
      </c>
      <c r="D116" s="148">
        <f>$I$12*C116</f>
        <v>40.02264717953188</v>
      </c>
      <c r="E116" s="120">
        <v>2147275436</v>
      </c>
      <c r="F116" s="121">
        <f>ABS((ABS($I$13)*(2147483647-E116)+$J$13))</f>
        <v>39.996685179467704</v>
      </c>
    </row>
    <row r="117" spans="2:13" x14ac:dyDescent="0.3">
      <c r="B117" s="142">
        <v>2</v>
      </c>
      <c r="C117" s="138">
        <v>493726.71799999999</v>
      </c>
      <c r="D117" s="148">
        <f t="shared" ref="D117:D119" si="18">$I$12*C117</f>
        <v>40.02264717953188</v>
      </c>
      <c r="E117" s="138">
        <v>2147275431</v>
      </c>
      <c r="F117" s="121">
        <f t="shared" ref="F117:F119" si="19">ABS((ABS($I$13)*(2147483647-E117)+$J$13))</f>
        <v>39.996907802071199</v>
      </c>
    </row>
    <row r="118" spans="2:13" x14ac:dyDescent="0.3">
      <c r="B118" s="142">
        <v>3</v>
      </c>
      <c r="C118" s="138">
        <v>493726.71799999999</v>
      </c>
      <c r="D118" s="148">
        <f t="shared" si="18"/>
        <v>40.02264717953188</v>
      </c>
      <c r="E118" s="138">
        <v>2147275428</v>
      </c>
      <c r="F118" s="121">
        <f t="shared" si="19"/>
        <v>39.997041375633302</v>
      </c>
    </row>
    <row r="119" spans="2:13" ht="16.2" thickBot="1" x14ac:dyDescent="0.35">
      <c r="B119" s="143">
        <v>4</v>
      </c>
      <c r="C119" s="144">
        <v>493726.71799999999</v>
      </c>
      <c r="D119" s="148">
        <f t="shared" si="18"/>
        <v>40.02264717953188</v>
      </c>
      <c r="E119" s="144">
        <v>2147275424</v>
      </c>
      <c r="F119" s="121">
        <f t="shared" si="19"/>
        <v>39.9972194737161</v>
      </c>
    </row>
    <row r="120" spans="2:13" x14ac:dyDescent="0.3">
      <c r="B120" s="139" t="s">
        <v>114</v>
      </c>
      <c r="D120" s="149">
        <f>MAX(D116:D119)-MIN(D116:D119)</f>
        <v>0</v>
      </c>
      <c r="F120" s="119">
        <f>MAX(F116:F119)-MIN(F116:F119)</f>
        <v>5.3429424839634976E-4</v>
      </c>
    </row>
    <row r="121" spans="2:13" x14ac:dyDescent="0.3">
      <c r="B121" s="142" t="s">
        <v>116</v>
      </c>
      <c r="D121" s="120">
        <f>STDEV(C116:C119)</f>
        <v>0</v>
      </c>
      <c r="F121" s="120">
        <f>STDEV(F116:F119)</f>
        <v>2.2520489072317337E-4</v>
      </c>
    </row>
    <row r="122" spans="2:13" ht="16.2" thickBot="1" x14ac:dyDescent="0.35">
      <c r="B122" s="143" t="s">
        <v>115</v>
      </c>
      <c r="C122" s="145">
        <f>MAX(D120:F120)</f>
        <v>5.3429424839634976E-4</v>
      </c>
      <c r="D122" s="147"/>
      <c r="E122" s="146"/>
      <c r="F122" s="122"/>
    </row>
    <row r="124" spans="2:13" x14ac:dyDescent="0.3">
      <c r="M124" s="118"/>
    </row>
    <row r="125" spans="2:13" x14ac:dyDescent="0.3">
      <c r="M125" s="118"/>
    </row>
    <row r="126" spans="2:13" x14ac:dyDescent="0.3">
      <c r="M126" s="118"/>
    </row>
    <row r="127" spans="2:13" x14ac:dyDescent="0.3">
      <c r="M127" s="118"/>
    </row>
    <row r="128" spans="2:13" x14ac:dyDescent="0.3">
      <c r="M128" s="118"/>
    </row>
    <row r="129" spans="13:13" x14ac:dyDescent="0.3">
      <c r="M129" s="118"/>
    </row>
    <row r="130" spans="13:13" x14ac:dyDescent="0.3">
      <c r="M130" s="118"/>
    </row>
    <row r="131" spans="13:13" x14ac:dyDescent="0.3">
      <c r="M131" s="11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Requirements</vt:lpstr>
      <vt:lpstr>Vaccum Tank Summary</vt:lpstr>
      <vt:lpstr>Initial motion test</vt:lpstr>
      <vt:lpstr>Accuracy</vt:lpstr>
      <vt:lpstr>Repeatability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Sandström</dc:creator>
  <cp:lastModifiedBy>Federico Rojas</cp:lastModifiedBy>
  <dcterms:created xsi:type="dcterms:W3CDTF">2020-12-15T14:36:27Z</dcterms:created>
  <dcterms:modified xsi:type="dcterms:W3CDTF">2021-07-12T09:09:49Z</dcterms:modified>
</cp:coreProperties>
</file>