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ownCloud\Proyectos\N056 - BIFROST detector  vessel (ESS-DTU)\04-GESTION\TESTING\MOTION\"/>
    </mc:Choice>
  </mc:AlternateContent>
  <xr:revisionPtr revIDLastSave="0" documentId="13_ncr:1_{2297C48F-DDCA-4C34-A412-233B2D02AC32}" xr6:coauthVersionLast="36" xr6:coauthVersionMax="45" xr10:uidLastSave="{00000000-0000-0000-0000-000000000000}"/>
  <bookViews>
    <workbookView xWindow="0" yWindow="0" windowWidth="23040" windowHeight="9012" activeTab="6" xr2:uid="{6B4D8DA4-E2C7-4A54-97EC-B9EFCAC87C7D}"/>
  </bookViews>
  <sheets>
    <sheet name="CONVERSION" sheetId="7" r:id="rId1"/>
    <sheet name="PRECISION" sheetId="2" r:id="rId2"/>
    <sheet name="REP_P1" sheetId="1" r:id="rId3"/>
    <sheet name="REP_P2" sheetId="3" r:id="rId4"/>
    <sheet name="REP_P3" sheetId="4" r:id="rId5"/>
    <sheet name="REP_P4" sheetId="5" r:id="rId6"/>
    <sheet name="REP_P5" sheetId="6" r:id="rId7"/>
    <sheet name="RED_TORQUE" sheetId="8" r:id="rId8"/>
    <sheet name="RED_SPEED" sheetId="9" r:id="rId9"/>
  </sheets>
  <definedNames>
    <definedName name="correctionEncoder">PRECISION!$B$10</definedName>
    <definedName name="correctionMotor">PRECISION!$B$6</definedName>
    <definedName name="i_Encoder">CONVERSION!$B$12</definedName>
    <definedName name="i_Motorization">CONVERSION!$B$7</definedName>
    <definedName name="offset_Encoder">PRECISION!$B$11</definedName>
    <definedName name="offset_Motor">PRECISION!$B$7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5" l="1"/>
  <c r="F35" i="5"/>
  <c r="F34" i="5"/>
  <c r="B17" i="2" l="1"/>
  <c r="B18" i="2"/>
  <c r="J7" i="9"/>
  <c r="C13" i="9" l="1"/>
  <c r="C16" i="9"/>
  <c r="C14" i="9"/>
  <c r="J9" i="9"/>
  <c r="I9" i="9"/>
  <c r="H9" i="9"/>
  <c r="G9" i="9"/>
  <c r="J8" i="9"/>
  <c r="I8" i="9"/>
  <c r="H8" i="9"/>
  <c r="G8" i="9"/>
  <c r="I7" i="9"/>
  <c r="H7" i="9"/>
  <c r="G7" i="9"/>
  <c r="H11" i="9" l="1"/>
  <c r="H14" i="9" s="1"/>
  <c r="J12" i="9"/>
  <c r="J15" i="9" s="1"/>
  <c r="F12" i="9"/>
  <c r="F15" i="9" s="1"/>
  <c r="G12" i="9"/>
  <c r="G15" i="9" s="1"/>
  <c r="F11" i="9"/>
  <c r="F14" i="9" s="1"/>
  <c r="H12" i="9"/>
  <c r="H15" i="9" s="1"/>
  <c r="I11" i="9"/>
  <c r="I14" i="9" s="1"/>
  <c r="J11" i="9"/>
  <c r="J14" i="9" s="1"/>
  <c r="C15" i="9"/>
  <c r="G11" i="9"/>
  <c r="G14" i="9" s="1"/>
  <c r="I12" i="9"/>
  <c r="I15" i="9" s="1"/>
  <c r="F36" i="6" l="1"/>
  <c r="F35" i="6"/>
  <c r="F34" i="6"/>
  <c r="F36" i="4"/>
  <c r="F35" i="4"/>
  <c r="F34" i="4"/>
  <c r="F36" i="3"/>
  <c r="F35" i="3"/>
  <c r="F34" i="3"/>
  <c r="F36" i="1"/>
  <c r="F35" i="1"/>
  <c r="F34" i="1"/>
  <c r="B6" i="2" l="1"/>
  <c r="G3" i="6" l="1"/>
  <c r="G3" i="5"/>
  <c r="G3" i="4"/>
  <c r="G3" i="3"/>
  <c r="G3" i="1"/>
  <c r="Q20" i="6"/>
  <c r="P20" i="6"/>
  <c r="O20" i="6"/>
  <c r="N20" i="6"/>
  <c r="M20" i="6"/>
  <c r="L20" i="6"/>
  <c r="K20" i="6"/>
  <c r="J20" i="6"/>
  <c r="I20" i="6"/>
  <c r="H20" i="6"/>
  <c r="Q5" i="6"/>
  <c r="P5" i="6"/>
  <c r="O5" i="6"/>
  <c r="N5" i="6"/>
  <c r="M5" i="6"/>
  <c r="L5" i="6"/>
  <c r="K5" i="6"/>
  <c r="J5" i="6"/>
  <c r="I5" i="6"/>
  <c r="H5" i="6"/>
  <c r="Q20" i="5"/>
  <c r="P20" i="5"/>
  <c r="O20" i="5"/>
  <c r="N20" i="5"/>
  <c r="M20" i="5"/>
  <c r="L20" i="5"/>
  <c r="K20" i="5"/>
  <c r="J20" i="5"/>
  <c r="I20" i="5"/>
  <c r="H20" i="5"/>
  <c r="Q5" i="5"/>
  <c r="P5" i="5"/>
  <c r="O5" i="5"/>
  <c r="N5" i="5"/>
  <c r="M5" i="5"/>
  <c r="L5" i="5"/>
  <c r="K5" i="5"/>
  <c r="J5" i="5"/>
  <c r="I5" i="5"/>
  <c r="H5" i="5"/>
  <c r="Q20" i="4"/>
  <c r="P20" i="4"/>
  <c r="O20" i="4"/>
  <c r="N20" i="4"/>
  <c r="M20" i="4"/>
  <c r="L20" i="4"/>
  <c r="K20" i="4"/>
  <c r="J20" i="4"/>
  <c r="I20" i="4"/>
  <c r="H20" i="4"/>
  <c r="Q5" i="4"/>
  <c r="P5" i="4"/>
  <c r="O5" i="4"/>
  <c r="N5" i="4"/>
  <c r="M5" i="4"/>
  <c r="L5" i="4"/>
  <c r="K5" i="4"/>
  <c r="J5" i="4"/>
  <c r="I5" i="4"/>
  <c r="H5" i="4"/>
  <c r="Q20" i="3"/>
  <c r="P20" i="3"/>
  <c r="O20" i="3"/>
  <c r="N20" i="3"/>
  <c r="M20" i="3"/>
  <c r="L20" i="3"/>
  <c r="K20" i="3"/>
  <c r="J20" i="3"/>
  <c r="I20" i="3"/>
  <c r="H20" i="3"/>
  <c r="Q5" i="3"/>
  <c r="P5" i="3"/>
  <c r="O5" i="3"/>
  <c r="N5" i="3"/>
  <c r="M5" i="3"/>
  <c r="L5" i="3"/>
  <c r="K5" i="3"/>
  <c r="J5" i="3"/>
  <c r="I5" i="3"/>
  <c r="H5" i="3"/>
  <c r="Q20" i="1"/>
  <c r="P20" i="1"/>
  <c r="O20" i="1"/>
  <c r="N20" i="1"/>
  <c r="M20" i="1"/>
  <c r="L20" i="1"/>
  <c r="K20" i="1"/>
  <c r="J20" i="1"/>
  <c r="I20" i="1"/>
  <c r="H20" i="1"/>
  <c r="I5" i="1"/>
  <c r="J5" i="1"/>
  <c r="K5" i="1"/>
  <c r="L5" i="1"/>
  <c r="M5" i="1"/>
  <c r="N5" i="1"/>
  <c r="O5" i="1"/>
  <c r="P5" i="1"/>
  <c r="Q5" i="1"/>
  <c r="H5" i="1"/>
  <c r="B6" i="8"/>
  <c r="B9" i="8"/>
  <c r="B8" i="8"/>
  <c r="B7" i="8"/>
  <c r="B8" i="6"/>
  <c r="B7" i="6"/>
  <c r="B6" i="6"/>
  <c r="B5" i="6"/>
  <c r="B4" i="6"/>
  <c r="B8" i="5"/>
  <c r="B7" i="5"/>
  <c r="B6" i="5"/>
  <c r="B5" i="5"/>
  <c r="B4" i="5"/>
  <c r="B8" i="4"/>
  <c r="B7" i="4"/>
  <c r="B6" i="4"/>
  <c r="B5" i="4"/>
  <c r="B4" i="4"/>
  <c r="B8" i="3"/>
  <c r="B7" i="3"/>
  <c r="B6" i="3"/>
  <c r="B5" i="3"/>
  <c r="B4" i="3"/>
  <c r="Q22" i="6"/>
  <c r="P22" i="6"/>
  <c r="O22" i="6"/>
  <c r="N22" i="6"/>
  <c r="M22" i="6"/>
  <c r="L22" i="6"/>
  <c r="K22" i="6"/>
  <c r="J22" i="6"/>
  <c r="I22" i="6"/>
  <c r="H22" i="6"/>
  <c r="Q7" i="6"/>
  <c r="P7" i="6"/>
  <c r="O7" i="6"/>
  <c r="N7" i="6"/>
  <c r="M7" i="6"/>
  <c r="L7" i="6"/>
  <c r="K7" i="6"/>
  <c r="J7" i="6"/>
  <c r="I7" i="6"/>
  <c r="H7" i="6"/>
  <c r="Q22" i="5"/>
  <c r="P22" i="5"/>
  <c r="O22" i="5"/>
  <c r="N22" i="5"/>
  <c r="M22" i="5"/>
  <c r="L22" i="5"/>
  <c r="K22" i="5"/>
  <c r="J22" i="5"/>
  <c r="I22" i="5"/>
  <c r="H22" i="5"/>
  <c r="Q7" i="5"/>
  <c r="P7" i="5"/>
  <c r="O7" i="5"/>
  <c r="N7" i="5"/>
  <c r="M7" i="5"/>
  <c r="L7" i="5"/>
  <c r="K7" i="5"/>
  <c r="J7" i="5"/>
  <c r="I7" i="5"/>
  <c r="H7" i="5"/>
  <c r="Q22" i="4"/>
  <c r="P22" i="4"/>
  <c r="O22" i="4"/>
  <c r="N22" i="4"/>
  <c r="M22" i="4"/>
  <c r="L22" i="4"/>
  <c r="K22" i="4"/>
  <c r="J22" i="4"/>
  <c r="I22" i="4"/>
  <c r="H22" i="4"/>
  <c r="Q7" i="4"/>
  <c r="P7" i="4"/>
  <c r="O7" i="4"/>
  <c r="N7" i="4"/>
  <c r="M7" i="4"/>
  <c r="L7" i="4"/>
  <c r="K7" i="4"/>
  <c r="J7" i="4"/>
  <c r="I7" i="4"/>
  <c r="H7" i="4"/>
  <c r="Q22" i="3"/>
  <c r="P22" i="3"/>
  <c r="O22" i="3"/>
  <c r="N22" i="3"/>
  <c r="M22" i="3"/>
  <c r="L22" i="3"/>
  <c r="K22" i="3"/>
  <c r="J22" i="3"/>
  <c r="I22" i="3"/>
  <c r="H22" i="3"/>
  <c r="Q7" i="3"/>
  <c r="P7" i="3"/>
  <c r="O7" i="3"/>
  <c r="N7" i="3"/>
  <c r="M7" i="3"/>
  <c r="L7" i="3"/>
  <c r="K7" i="3"/>
  <c r="J7" i="3"/>
  <c r="I7" i="3"/>
  <c r="H7" i="3"/>
  <c r="Q22" i="1"/>
  <c r="P22" i="1"/>
  <c r="O22" i="1"/>
  <c r="N22" i="1"/>
  <c r="M22" i="1"/>
  <c r="L22" i="1"/>
  <c r="K22" i="1"/>
  <c r="J22" i="1"/>
  <c r="I22" i="1"/>
  <c r="H22" i="1"/>
  <c r="Q7" i="1"/>
  <c r="P7" i="1"/>
  <c r="O7" i="1"/>
  <c r="N7" i="1"/>
  <c r="M7" i="1"/>
  <c r="L7" i="1"/>
  <c r="K7" i="1"/>
  <c r="J7" i="1"/>
  <c r="I7" i="1"/>
  <c r="H7" i="1"/>
  <c r="B8" i="1"/>
  <c r="B7" i="1"/>
  <c r="B4" i="1"/>
  <c r="B6" i="1"/>
  <c r="B5" i="1"/>
  <c r="E2" i="2"/>
  <c r="F8" i="2"/>
  <c r="G8" i="2"/>
  <c r="H8" i="2"/>
  <c r="I8" i="2"/>
  <c r="J8" i="2"/>
  <c r="K8" i="2"/>
  <c r="L8" i="2"/>
  <c r="M8" i="2"/>
  <c r="E8" i="2"/>
  <c r="B10" i="2"/>
  <c r="F3" i="2"/>
  <c r="F6" i="2"/>
  <c r="F18" i="2" s="1"/>
  <c r="G6" i="2"/>
  <c r="G18" i="2" s="1"/>
  <c r="H6" i="2"/>
  <c r="H18" i="2" s="1"/>
  <c r="I6" i="2"/>
  <c r="I18" i="2" s="1"/>
  <c r="J6" i="2"/>
  <c r="J18" i="2" s="1"/>
  <c r="K6" i="2"/>
  <c r="K18" i="2" s="1"/>
  <c r="L6" i="2"/>
  <c r="L18" i="2" s="1"/>
  <c r="M6" i="2"/>
  <c r="M18" i="2" s="1"/>
  <c r="E6" i="2"/>
  <c r="E18" i="2" s="1"/>
  <c r="B10" i="7"/>
  <c r="F5" i="8" l="1"/>
  <c r="E7" i="8"/>
  <c r="E5" i="8"/>
  <c r="F7" i="8"/>
  <c r="G3" i="2"/>
  <c r="F2" i="2"/>
  <c r="F17" i="2" s="1"/>
  <c r="B5" i="2"/>
  <c r="B8" i="7"/>
  <c r="B7" i="7"/>
  <c r="N16" i="7"/>
  <c r="L16" i="7"/>
  <c r="H16" i="7"/>
  <c r="N13" i="7"/>
  <c r="L13" i="7"/>
  <c r="L9" i="7"/>
  <c r="H9" i="7"/>
  <c r="P6" i="7"/>
  <c r="L6" i="7"/>
  <c r="J6" i="7"/>
  <c r="B6" i="7"/>
  <c r="J20" i="7" s="1"/>
  <c r="B4" i="7"/>
  <c r="H19" i="7" s="1"/>
  <c r="P3" i="7"/>
  <c r="L3" i="7"/>
  <c r="J3" i="7"/>
  <c r="N2" i="7"/>
  <c r="S2" i="7" s="1"/>
  <c r="G2" i="2" l="1"/>
  <c r="H3" i="2"/>
  <c r="S16" i="7"/>
  <c r="H13" i="7"/>
  <c r="J17" i="7"/>
  <c r="J8" i="7"/>
  <c r="O8" i="7" s="1"/>
  <c r="N5" i="7"/>
  <c r="S5" i="7" s="1"/>
  <c r="B11" i="7"/>
  <c r="L19" i="7"/>
  <c r="O19" i="7" s="1"/>
  <c r="J14" i="7"/>
  <c r="I3" i="2" l="1"/>
  <c r="H2" i="2"/>
  <c r="B12" i="7"/>
  <c r="B13" i="7"/>
  <c r="S13" i="7"/>
  <c r="J3" i="2" l="1"/>
  <c r="I2" i="2"/>
  <c r="K3" i="2" l="1"/>
  <c r="J2" i="2"/>
  <c r="L3" i="2" l="1"/>
  <c r="K2" i="2"/>
  <c r="M3" i="2" l="1"/>
  <c r="M2" i="2" s="1"/>
  <c r="L2" i="2"/>
  <c r="E17" i="2" l="1"/>
  <c r="F10" i="2"/>
  <c r="G17" i="2" l="1"/>
  <c r="G10" i="2"/>
  <c r="H17" i="2"/>
  <c r="H10" i="2"/>
  <c r="I10" i="2" l="1"/>
  <c r="I17" i="2"/>
  <c r="J17" i="2" l="1"/>
  <c r="J10" i="2"/>
  <c r="K10" i="2" l="1"/>
  <c r="K17" i="2"/>
  <c r="L17" i="2" l="1"/>
  <c r="L10" i="2"/>
  <c r="M17" i="2" l="1"/>
  <c r="M10" i="2"/>
  <c r="F12" i="2" l="1"/>
  <c r="F11" i="2"/>
  <c r="F12" i="8" l="1"/>
  <c r="F10" i="8"/>
  <c r="F9" i="8"/>
  <c r="F13" i="8" l="1"/>
  <c r="F11" i="8"/>
  <c r="K12" i="6"/>
  <c r="Q27" i="6"/>
  <c r="P27" i="6"/>
  <c r="O27" i="6"/>
  <c r="N27" i="6"/>
  <c r="M27" i="6"/>
  <c r="L27" i="6"/>
  <c r="K27" i="6"/>
  <c r="J27" i="6"/>
  <c r="I27" i="6"/>
  <c r="Q25" i="6"/>
  <c r="P25" i="6"/>
  <c r="O25" i="6"/>
  <c r="N25" i="6"/>
  <c r="M25" i="6"/>
  <c r="L25" i="6"/>
  <c r="K25" i="6"/>
  <c r="J25" i="6"/>
  <c r="I25" i="6"/>
  <c r="Q24" i="6"/>
  <c r="P24" i="6"/>
  <c r="O24" i="6"/>
  <c r="N24" i="6"/>
  <c r="M24" i="6"/>
  <c r="L24" i="6"/>
  <c r="K24" i="6"/>
  <c r="J24" i="6"/>
  <c r="I24" i="6"/>
  <c r="P28" i="6"/>
  <c r="J28" i="6"/>
  <c r="Q12" i="6"/>
  <c r="P12" i="6"/>
  <c r="O12" i="6"/>
  <c r="N12" i="6"/>
  <c r="M12" i="6"/>
  <c r="L12" i="6"/>
  <c r="J12" i="6"/>
  <c r="I12" i="6"/>
  <c r="Q10" i="6"/>
  <c r="P10" i="6"/>
  <c r="O10" i="6"/>
  <c r="N10" i="6"/>
  <c r="M10" i="6"/>
  <c r="L10" i="6"/>
  <c r="K10" i="6"/>
  <c r="J10" i="6"/>
  <c r="I10" i="6"/>
  <c r="Q9" i="6"/>
  <c r="P9" i="6"/>
  <c r="O9" i="6"/>
  <c r="N9" i="6"/>
  <c r="M9" i="6"/>
  <c r="L9" i="6"/>
  <c r="K9" i="6"/>
  <c r="J9" i="6"/>
  <c r="I9" i="6"/>
  <c r="N13" i="6"/>
  <c r="E5" i="6"/>
  <c r="K11" i="6"/>
  <c r="Q27" i="5"/>
  <c r="P27" i="5"/>
  <c r="O27" i="5"/>
  <c r="N27" i="5"/>
  <c r="M27" i="5"/>
  <c r="L27" i="5"/>
  <c r="K27" i="5"/>
  <c r="J27" i="5"/>
  <c r="I27" i="5"/>
  <c r="Q25" i="5"/>
  <c r="P25" i="5"/>
  <c r="O25" i="5"/>
  <c r="N25" i="5"/>
  <c r="M25" i="5"/>
  <c r="L25" i="5"/>
  <c r="K25" i="5"/>
  <c r="J25" i="5"/>
  <c r="I25" i="5"/>
  <c r="Q24" i="5"/>
  <c r="P24" i="5"/>
  <c r="O24" i="5"/>
  <c r="N24" i="5"/>
  <c r="M24" i="5"/>
  <c r="L24" i="5"/>
  <c r="K24" i="5"/>
  <c r="J24" i="5"/>
  <c r="I24" i="5"/>
  <c r="Q28" i="5"/>
  <c r="P28" i="5"/>
  <c r="N28" i="5"/>
  <c r="M28" i="5"/>
  <c r="L28" i="5"/>
  <c r="K28" i="5"/>
  <c r="J28" i="5"/>
  <c r="Q12" i="5"/>
  <c r="P12" i="5"/>
  <c r="O12" i="5"/>
  <c r="N12" i="5"/>
  <c r="M12" i="5"/>
  <c r="L12" i="5"/>
  <c r="K12" i="5"/>
  <c r="J12" i="5"/>
  <c r="I12" i="5"/>
  <c r="Q10" i="5"/>
  <c r="P10" i="5"/>
  <c r="O10" i="5"/>
  <c r="N10" i="5"/>
  <c r="M10" i="5"/>
  <c r="L10" i="5"/>
  <c r="K10" i="5"/>
  <c r="J10" i="5"/>
  <c r="I10" i="5"/>
  <c r="Q9" i="5"/>
  <c r="P9" i="5"/>
  <c r="O9" i="5"/>
  <c r="N9" i="5"/>
  <c r="H8" i="5"/>
  <c r="F8" i="5"/>
  <c r="E8" i="5"/>
  <c r="D8" i="5"/>
  <c r="Q13" i="5"/>
  <c r="I13" i="5"/>
  <c r="E5" i="5"/>
  <c r="P11" i="5"/>
  <c r="Q27" i="4"/>
  <c r="P27" i="4"/>
  <c r="O27" i="4"/>
  <c r="N27" i="4"/>
  <c r="M27" i="4"/>
  <c r="L27" i="4"/>
  <c r="K27" i="4"/>
  <c r="J27" i="4"/>
  <c r="I27" i="4"/>
  <c r="Q25" i="4"/>
  <c r="P25" i="4"/>
  <c r="O25" i="4"/>
  <c r="N25" i="4"/>
  <c r="M25" i="4"/>
  <c r="L25" i="4"/>
  <c r="K25" i="4"/>
  <c r="J25" i="4"/>
  <c r="I25" i="4"/>
  <c r="Q24" i="4"/>
  <c r="P24" i="4"/>
  <c r="O24" i="4"/>
  <c r="N24" i="4"/>
  <c r="M24" i="4"/>
  <c r="L24" i="4"/>
  <c r="K24" i="4"/>
  <c r="J24" i="4"/>
  <c r="I24" i="4"/>
  <c r="Q28" i="4"/>
  <c r="P28" i="4"/>
  <c r="J28" i="4"/>
  <c r="O26" i="4"/>
  <c r="L26" i="4"/>
  <c r="Q12" i="4"/>
  <c r="P12" i="4"/>
  <c r="O12" i="4"/>
  <c r="N12" i="4"/>
  <c r="M12" i="4"/>
  <c r="L12" i="4"/>
  <c r="K12" i="4"/>
  <c r="J12" i="4"/>
  <c r="I12" i="4"/>
  <c r="Q10" i="4"/>
  <c r="P10" i="4"/>
  <c r="O10" i="4"/>
  <c r="N10" i="4"/>
  <c r="M10" i="4"/>
  <c r="L10" i="4"/>
  <c r="K10" i="4"/>
  <c r="J10" i="4"/>
  <c r="I10" i="4"/>
  <c r="Q9" i="4"/>
  <c r="P9" i="4"/>
  <c r="O9" i="4"/>
  <c r="N9" i="4"/>
  <c r="M9" i="4"/>
  <c r="L9" i="4"/>
  <c r="K9" i="4"/>
  <c r="J9" i="4"/>
  <c r="I9" i="4"/>
  <c r="Q13" i="4"/>
  <c r="N13" i="4"/>
  <c r="L13" i="4"/>
  <c r="K13" i="4"/>
  <c r="I13" i="4"/>
  <c r="E20" i="4"/>
  <c r="L11" i="4"/>
  <c r="Q27" i="3"/>
  <c r="P27" i="3"/>
  <c r="O27" i="3"/>
  <c r="N27" i="3"/>
  <c r="M27" i="3"/>
  <c r="L27" i="3"/>
  <c r="K27" i="3"/>
  <c r="J27" i="3"/>
  <c r="I27" i="3"/>
  <c r="Q25" i="3"/>
  <c r="P25" i="3"/>
  <c r="O25" i="3"/>
  <c r="N25" i="3"/>
  <c r="M25" i="3"/>
  <c r="L25" i="3"/>
  <c r="K25" i="3"/>
  <c r="J25" i="3"/>
  <c r="I25" i="3"/>
  <c r="Q24" i="3"/>
  <c r="P24" i="3"/>
  <c r="O24" i="3"/>
  <c r="N24" i="3"/>
  <c r="M24" i="3"/>
  <c r="L24" i="3"/>
  <c r="K24" i="3"/>
  <c r="J24" i="3"/>
  <c r="I24" i="3"/>
  <c r="M28" i="3"/>
  <c r="N26" i="3"/>
  <c r="Q12" i="3"/>
  <c r="P12" i="3"/>
  <c r="O12" i="3"/>
  <c r="N12" i="3"/>
  <c r="M12" i="3"/>
  <c r="L12" i="3"/>
  <c r="K12" i="3"/>
  <c r="J12" i="3"/>
  <c r="I12" i="3"/>
  <c r="Q10" i="3"/>
  <c r="P10" i="3"/>
  <c r="O10" i="3"/>
  <c r="N10" i="3"/>
  <c r="M10" i="3"/>
  <c r="L10" i="3"/>
  <c r="K10" i="3"/>
  <c r="J10" i="3"/>
  <c r="I10" i="3"/>
  <c r="Q9" i="3"/>
  <c r="P9" i="3"/>
  <c r="O9" i="3"/>
  <c r="N9" i="3"/>
  <c r="M9" i="3"/>
  <c r="L9" i="3"/>
  <c r="K9" i="3"/>
  <c r="J9" i="3"/>
  <c r="I9" i="3"/>
  <c r="E20" i="3"/>
  <c r="Q11" i="3"/>
  <c r="E5" i="3"/>
  <c r="E20" i="1"/>
  <c r="E5" i="1"/>
  <c r="I9" i="1"/>
  <c r="I10" i="1"/>
  <c r="I12" i="1"/>
  <c r="Q27" i="1"/>
  <c r="P27" i="1"/>
  <c r="O27" i="1"/>
  <c r="N27" i="1"/>
  <c r="M27" i="1"/>
  <c r="L27" i="1"/>
  <c r="K27" i="1"/>
  <c r="J27" i="1"/>
  <c r="I27" i="1"/>
  <c r="Q25" i="1"/>
  <c r="P25" i="1"/>
  <c r="O25" i="1"/>
  <c r="N25" i="1"/>
  <c r="M25" i="1"/>
  <c r="L25" i="1"/>
  <c r="K25" i="1"/>
  <c r="J25" i="1"/>
  <c r="I25" i="1"/>
  <c r="Q24" i="1"/>
  <c r="P24" i="1"/>
  <c r="O24" i="1"/>
  <c r="N24" i="1"/>
  <c r="M24" i="1"/>
  <c r="L24" i="1"/>
  <c r="K24" i="1"/>
  <c r="J24" i="1"/>
  <c r="I24" i="1"/>
  <c r="Q12" i="1"/>
  <c r="P12" i="1"/>
  <c r="O12" i="1"/>
  <c r="N12" i="1"/>
  <c r="M12" i="1"/>
  <c r="L12" i="1"/>
  <c r="K12" i="1"/>
  <c r="J12" i="1"/>
  <c r="Q10" i="1"/>
  <c r="P10" i="1"/>
  <c r="O10" i="1"/>
  <c r="N10" i="1"/>
  <c r="M10" i="1"/>
  <c r="L10" i="1"/>
  <c r="K10" i="1"/>
  <c r="J10" i="1"/>
  <c r="Q9" i="1"/>
  <c r="P9" i="1"/>
  <c r="O9" i="1"/>
  <c r="N9" i="1"/>
  <c r="M9" i="1"/>
  <c r="L9" i="1"/>
  <c r="K9" i="1"/>
  <c r="J9" i="1"/>
  <c r="F14" i="2"/>
  <c r="G11" i="2"/>
  <c r="H11" i="2"/>
  <c r="I11" i="2"/>
  <c r="J11" i="2"/>
  <c r="K11" i="2"/>
  <c r="L11" i="2"/>
  <c r="M11" i="2"/>
  <c r="G12" i="2"/>
  <c r="H12" i="2"/>
  <c r="I12" i="2"/>
  <c r="J12" i="2"/>
  <c r="K12" i="2"/>
  <c r="L12" i="2"/>
  <c r="M12" i="2"/>
  <c r="G14" i="2"/>
  <c r="H14" i="2"/>
  <c r="I14" i="2"/>
  <c r="J14" i="2"/>
  <c r="K14" i="2"/>
  <c r="L14" i="2"/>
  <c r="M14" i="2"/>
  <c r="I13" i="2"/>
  <c r="L26" i="6" l="1"/>
  <c r="Q26" i="6"/>
  <c r="N11" i="5"/>
  <c r="Q11" i="5"/>
  <c r="O26" i="6"/>
  <c r="N26" i="6"/>
  <c r="J26" i="6"/>
  <c r="P26" i="5"/>
  <c r="J26" i="5"/>
  <c r="P26" i="4"/>
  <c r="M11" i="4"/>
  <c r="N26" i="4"/>
  <c r="J11" i="3"/>
  <c r="J26" i="3"/>
  <c r="M11" i="3"/>
  <c r="I11" i="1"/>
  <c r="I15" i="2"/>
  <c r="J13" i="2"/>
  <c r="M15" i="2"/>
  <c r="G15" i="2"/>
  <c r="M13" i="2"/>
  <c r="H13" i="2"/>
  <c r="J15" i="2"/>
  <c r="F15" i="2"/>
  <c r="L13" i="2"/>
  <c r="G13" i="2"/>
  <c r="K15" i="2"/>
  <c r="N28" i="6"/>
  <c r="O28" i="6"/>
  <c r="L28" i="6"/>
  <c r="Q28" i="6"/>
  <c r="M28" i="6"/>
  <c r="K28" i="6"/>
  <c r="I28" i="6"/>
  <c r="P26" i="6"/>
  <c r="M26" i="6"/>
  <c r="K26" i="6"/>
  <c r="I26" i="6"/>
  <c r="K13" i="6"/>
  <c r="O13" i="6"/>
  <c r="Q13" i="6"/>
  <c r="P13" i="6"/>
  <c r="M13" i="6"/>
  <c r="L13" i="6"/>
  <c r="I13" i="6"/>
  <c r="Q11" i="6"/>
  <c r="O11" i="6"/>
  <c r="P11" i="6"/>
  <c r="N11" i="6"/>
  <c r="M11" i="6"/>
  <c r="L11" i="6"/>
  <c r="J11" i="6"/>
  <c r="I11" i="6"/>
  <c r="O28" i="5"/>
  <c r="I28" i="5"/>
  <c r="Q26" i="5"/>
  <c r="O26" i="5"/>
  <c r="N26" i="5"/>
  <c r="M26" i="5"/>
  <c r="L26" i="5"/>
  <c r="K26" i="5"/>
  <c r="I26" i="5"/>
  <c r="O13" i="5"/>
  <c r="N13" i="5"/>
  <c r="P13" i="5"/>
  <c r="M13" i="5"/>
  <c r="L13" i="5"/>
  <c r="K13" i="5"/>
  <c r="J13" i="5"/>
  <c r="O11" i="5"/>
  <c r="M11" i="5"/>
  <c r="L11" i="5"/>
  <c r="K11" i="5"/>
  <c r="J11" i="5"/>
  <c r="I11" i="5"/>
  <c r="N28" i="4"/>
  <c r="M28" i="4"/>
  <c r="L28" i="4"/>
  <c r="I28" i="4"/>
  <c r="Q26" i="4"/>
  <c r="M26" i="4"/>
  <c r="K26" i="4"/>
  <c r="J26" i="4"/>
  <c r="I26" i="4"/>
  <c r="P13" i="4"/>
  <c r="O13" i="4"/>
  <c r="M13" i="4"/>
  <c r="J13" i="4"/>
  <c r="Q11" i="4"/>
  <c r="P11" i="4"/>
  <c r="N11" i="4"/>
  <c r="I11" i="4"/>
  <c r="J11" i="4"/>
  <c r="Q28" i="3"/>
  <c r="N28" i="3"/>
  <c r="J28" i="3"/>
  <c r="I28" i="3"/>
  <c r="P26" i="3"/>
  <c r="O26" i="3"/>
  <c r="L26" i="3"/>
  <c r="N11" i="3"/>
  <c r="I11" i="3"/>
  <c r="K13" i="3"/>
  <c r="O13" i="3"/>
  <c r="E20" i="6"/>
  <c r="E20" i="5"/>
  <c r="E5" i="4"/>
  <c r="K11" i="4"/>
  <c r="O11" i="4"/>
  <c r="K28" i="4"/>
  <c r="O28" i="4"/>
  <c r="K28" i="3"/>
  <c r="O28" i="3"/>
  <c r="L28" i="3"/>
  <c r="P28" i="3"/>
  <c r="K26" i="3"/>
  <c r="I26" i="3"/>
  <c r="M26" i="3"/>
  <c r="Q26" i="3"/>
  <c r="L13" i="3"/>
  <c r="P13" i="3"/>
  <c r="I13" i="3"/>
  <c r="M13" i="3"/>
  <c r="Q13" i="3"/>
  <c r="J13" i="3"/>
  <c r="N13" i="3"/>
  <c r="K11" i="3"/>
  <c r="O11" i="3"/>
  <c r="L11" i="3"/>
  <c r="P11" i="3"/>
  <c r="J11" i="1"/>
  <c r="N11" i="1"/>
  <c r="J28" i="1"/>
  <c r="P13" i="1"/>
  <c r="L11" i="1"/>
  <c r="I13" i="1"/>
  <c r="M13" i="1"/>
  <c r="Q13" i="1"/>
  <c r="P26" i="1"/>
  <c r="L13" i="1"/>
  <c r="Q11" i="1"/>
  <c r="J13" i="1"/>
  <c r="L15" i="2"/>
  <c r="H15" i="2"/>
  <c r="K13" i="2"/>
  <c r="M26" i="1" l="1"/>
  <c r="I28" i="1"/>
  <c r="J13" i="6"/>
  <c r="K28" i="1"/>
  <c r="L26" i="1"/>
  <c r="K26" i="1"/>
  <c r="I26" i="1"/>
  <c r="P28" i="1"/>
  <c r="M28" i="1"/>
  <c r="N28" i="1"/>
  <c r="M11" i="1"/>
  <c r="N26" i="1"/>
  <c r="O28" i="1"/>
  <c r="O13" i="1"/>
  <c r="O26" i="1"/>
  <c r="L28" i="1"/>
  <c r="N13" i="1"/>
  <c r="O11" i="1"/>
  <c r="J26" i="1"/>
  <c r="P11" i="1"/>
  <c r="Q26" i="1"/>
  <c r="K11" i="1"/>
  <c r="K13" i="1"/>
  <c r="Q28" i="1"/>
  <c r="B9" i="2"/>
  <c r="F13" i="2"/>
</calcChain>
</file>

<file path=xl/sharedStrings.xml><?xml version="1.0" encoding="utf-8"?>
<sst xmlns="http://schemas.openxmlformats.org/spreadsheetml/2006/main" count="360" uniqueCount="109">
  <si>
    <t>Laser (deg)</t>
  </si>
  <si>
    <t>Encoder (cts)</t>
  </si>
  <si>
    <t>Encoder (deg)</t>
  </si>
  <si>
    <t>Current (A)</t>
  </si>
  <si>
    <t>Correction Factor</t>
  </si>
  <si>
    <t>INC Laser (deg)</t>
  </si>
  <si>
    <t>INC Encoder (cts)</t>
  </si>
  <si>
    <t>INC Encoder (deg)</t>
  </si>
  <si>
    <t>Starting Pos (deg)</t>
  </si>
  <si>
    <t>Increment (deg)</t>
  </si>
  <si>
    <t>Pos. Ini</t>
  </si>
  <si>
    <t>Pos. Final</t>
  </si>
  <si>
    <t>From</t>
  </si>
  <si>
    <t>To</t>
  </si>
  <si>
    <t>Motor (cts)</t>
  </si>
  <si>
    <t>INC Motor (deg)</t>
  </si>
  <si>
    <t>Motor (deg)</t>
  </si>
  <si>
    <t>Pos Act (deg_M)</t>
  </si>
  <si>
    <t>Speed (deg_m/s)</t>
  </si>
  <si>
    <t>degMotor /  degBifrost</t>
  </si>
  <si>
    <t>degBifrost / degMotor</t>
  </si>
  <si>
    <t>Correction Factor Motor</t>
  </si>
  <si>
    <t>Correction Factor Encoder</t>
  </si>
  <si>
    <t>GearBox Reduction</t>
  </si>
  <si>
    <t>-</t>
  </si>
  <si>
    <t>Pinion Reduction</t>
  </si>
  <si>
    <t>º_motor</t>
  </si>
  <si>
    <t>motor_turn</t>
  </si>
  <si>
    <t>gearbox_turn</t>
  </si>
  <si>
    <t>pinion_turn</t>
  </si>
  <si>
    <t>mm</t>
  </si>
  <si>
    <t>º_bif</t>
  </si>
  <si>
    <t>=</t>
  </si>
  <si>
    <t>º_bifrost</t>
  </si>
  <si>
    <t>Chain Radius</t>
  </si>
  <si>
    <t>º_m</t>
  </si>
  <si>
    <t>Perimeter</t>
  </si>
  <si>
    <t>Pinion Diameter</t>
  </si>
  <si>
    <t>º_motor / s</t>
  </si>
  <si>
    <t>º_bifrost / s</t>
  </si>
  <si>
    <t>Pinion Displacement</t>
  </si>
  <si>
    <t>mm/turn</t>
  </si>
  <si>
    <t>Encoder Resolution</t>
  </si>
  <si>
    <t>bits</t>
  </si>
  <si>
    <t>Counts</t>
  </si>
  <si>
    <t>Counts/turn</t>
  </si>
  <si>
    <t>encoder_counts</t>
  </si>
  <si>
    <t>Angular Resolution</t>
  </si>
  <si>
    <t>deg</t>
  </si>
  <si>
    <t>countEncoder /  degBifrost</t>
  </si>
  <si>
    <t>degBifrost / countEncoder</t>
  </si>
  <si>
    <t>offset_Encoder</t>
  </si>
  <si>
    <t>DESV motor  (deg)</t>
  </si>
  <si>
    <t>DESV encoder  (deg)</t>
  </si>
  <si>
    <t>offset_Motor</t>
  </si>
  <si>
    <t>Pos Act (deg)</t>
  </si>
  <si>
    <t>INC Pos Act (deg_M)</t>
  </si>
  <si>
    <t>INC Pos Act (deg)</t>
  </si>
  <si>
    <t>i_Motor (deg_M/deg)</t>
  </si>
  <si>
    <t>i_Encoder (cts/deg)</t>
  </si>
  <si>
    <t>Speed (deg_M/s)</t>
  </si>
  <si>
    <t xml:space="preserve"> (deg/deg_M)</t>
  </si>
  <si>
    <t>Increment (deg_M)</t>
  </si>
  <si>
    <t>Encoder Res (deg)</t>
  </si>
  <si>
    <t xml:space="preserve"> -0,5 to 0deg</t>
  </si>
  <si>
    <t>0,5 to 0deg</t>
  </si>
  <si>
    <t xml:space="preserve"> -9,5 to 10deg</t>
  </si>
  <si>
    <t>10,5 to 10deg</t>
  </si>
  <si>
    <t>19,5 to 20deg</t>
  </si>
  <si>
    <t>Increment (deg_m)</t>
  </si>
  <si>
    <t>20,5 to 20deg</t>
  </si>
  <si>
    <t>29,5 to 30deg</t>
  </si>
  <si>
    <t>30,5 to 30deg</t>
  </si>
  <si>
    <t>39,5 to 40deg</t>
  </si>
  <si>
    <t>40,5 to 40deg</t>
  </si>
  <si>
    <t>← Laser (deg)</t>
  </si>
  <si>
    <t>← Encoder (cts)</t>
  </si>
  <si>
    <t>← Encoder (deg)</t>
  </si>
  <si>
    <t>← Pos Act (deg_M)</t>
  </si>
  <si>
    <t>← Pos Act (deg)</t>
  </si>
  <si>
    <t>→ Laser (deg)</t>
  </si>
  <si>
    <t>→ Encoder (cts)</t>
  </si>
  <si>
    <t>→ Encoder (deg)</t>
  </si>
  <si>
    <t>→ Pos Act (deg_M)</t>
  </si>
  <si>
    <t>→ Pos Act (deg)</t>
  </si>
  <si>
    <t>Unidirectional repeatability (deg)</t>
  </si>
  <si>
    <t>Bidirectional repeatability (deg)</t>
  </si>
  <si>
    <t>Backlash (deg)</t>
  </si>
  <si>
    <t>deg_M/s</t>
  </si>
  <si>
    <t>Inicio</t>
  </si>
  <si>
    <t>Inc1</t>
  </si>
  <si>
    <t>Inc2</t>
  </si>
  <si>
    <t>Inc3</t>
  </si>
  <si>
    <t>Inc4</t>
  </si>
  <si>
    <t>A</t>
  </si>
  <si>
    <t>kg</t>
  </si>
  <si>
    <t>Encoder (counts)</t>
  </si>
  <si>
    <t>Inc</t>
  </si>
  <si>
    <t>deg_M</t>
  </si>
  <si>
    <t>without correction</t>
  </si>
  <si>
    <t>Medida laser (deg)</t>
  </si>
  <si>
    <t>Inc (deg)</t>
  </si>
  <si>
    <t>Inc (deg_M)</t>
  </si>
  <si>
    <t>Speed</t>
  </si>
  <si>
    <t>Current</t>
  </si>
  <si>
    <t>Load</t>
  </si>
  <si>
    <t>Inc enc (cts)</t>
  </si>
  <si>
    <t>accuracy motor (deg)</t>
  </si>
  <si>
    <t>accuracy encoder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</si>
</sst>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CC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0" fontId="3" fillId="4" borderId="1"/>
    <xf numFmtId="0" fontId="7" fillId="9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right"/>
    </xf>
    <xf numFmtId="0" fontId="0" fillId="3" borderId="2" xfId="0" applyFill="1" applyBorder="1"/>
    <xf numFmtId="0" fontId="0" fillId="4" borderId="2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right"/>
    </xf>
    <xf numFmtId="165" fontId="0" fillId="0" borderId="2" xfId="0" applyNumberFormat="1" applyBorder="1" applyAlignment="1">
      <alignment horizontal="center"/>
    </xf>
    <xf numFmtId="0" fontId="0" fillId="0" borderId="2" xfId="0" applyBorder="1"/>
    <xf numFmtId="164" fontId="0" fillId="0" borderId="2" xfId="0" applyNumberForma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165" fontId="0" fillId="0" borderId="2" xfId="0" applyNumberFormat="1" applyBorder="1"/>
    <xf numFmtId="0" fontId="2" fillId="0" borderId="3" xfId="0" applyFont="1" applyBorder="1" applyAlignment="1">
      <alignment horizontal="right"/>
    </xf>
    <xf numFmtId="164" fontId="0" fillId="0" borderId="2" xfId="0" applyNumberFormat="1" applyBorder="1" applyAlignment="1">
      <alignment horizontal="center"/>
    </xf>
    <xf numFmtId="0" fontId="0" fillId="2" borderId="2" xfId="0" applyFill="1" applyBorder="1"/>
    <xf numFmtId="0" fontId="0" fillId="5" borderId="0" xfId="0" applyFill="1"/>
    <xf numFmtId="0" fontId="4" fillId="0" borderId="2" xfId="0" applyFont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0" fillId="5" borderId="2" xfId="0" applyFill="1" applyBorder="1"/>
    <xf numFmtId="0" fontId="4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5" xfId="0" applyBorder="1" applyAlignment="1">
      <alignment horizontal="right"/>
    </xf>
    <xf numFmtId="0" fontId="0" fillId="7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right"/>
    </xf>
    <xf numFmtId="0" fontId="0" fillId="0" borderId="5" xfId="0" applyBorder="1"/>
    <xf numFmtId="0" fontId="0" fillId="0" borderId="0" xfId="0" applyFill="1"/>
    <xf numFmtId="0" fontId="0" fillId="0" borderId="0" xfId="0" applyFill="1" applyAlignment="1">
      <alignment horizontal="center"/>
    </xf>
    <xf numFmtId="11" fontId="0" fillId="7" borderId="0" xfId="0" applyNumberFormat="1" applyFill="1" applyAlignment="1">
      <alignment horizontal="center"/>
    </xf>
    <xf numFmtId="11" fontId="0" fillId="8" borderId="0" xfId="0" applyNumberFormat="1" applyFill="1" applyAlignment="1">
      <alignment horizontal="center"/>
    </xf>
    <xf numFmtId="0" fontId="1" fillId="0" borderId="2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left"/>
    </xf>
    <xf numFmtId="11" fontId="2" fillId="0" borderId="2" xfId="0" applyNumberFormat="1" applyFont="1" applyBorder="1" applyAlignment="1">
      <alignment horizontal="right"/>
    </xf>
    <xf numFmtId="0" fontId="7" fillId="9" borderId="2" xfId="2" applyBorder="1" applyAlignment="1">
      <alignment horizontal="center"/>
    </xf>
    <xf numFmtId="0" fontId="7" fillId="9" borderId="2" xfId="2" applyBorder="1"/>
    <xf numFmtId="0" fontId="1" fillId="0" borderId="2" xfId="0" applyFont="1" applyBorder="1"/>
    <xf numFmtId="165" fontId="0" fillId="0" borderId="2" xfId="0" applyNumberFormat="1" applyBorder="1" applyAlignment="1">
      <alignment horizontal="right"/>
    </xf>
    <xf numFmtId="164" fontId="0" fillId="0" borderId="2" xfId="0" applyNumberFormat="1" applyBorder="1"/>
    <xf numFmtId="0" fontId="7" fillId="9" borderId="2" xfId="2" applyBorder="1" applyAlignment="1">
      <alignment horizontal="left"/>
    </xf>
    <xf numFmtId="11" fontId="2" fillId="10" borderId="2" xfId="0" applyNumberFormat="1" applyFont="1" applyFill="1" applyBorder="1" applyAlignment="1">
      <alignment horizontal="right"/>
    </xf>
  </cellXfs>
  <cellStyles count="3">
    <cellStyle name="Excel Built-in Note" xfId="1" xr:uid="{60666B14-117C-41A5-866D-2440DB6C2E76}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INCREMENTS</a:t>
            </a:r>
          </a:p>
        </c:rich>
      </c:tx>
      <c:layout>
        <c:manualLayout>
          <c:xMode val="edge"/>
          <c:yMode val="edge"/>
          <c:x val="0.35968044619422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057105585722058E-2"/>
          <c:y val="0.23106949553092646"/>
          <c:w val="0.89553395260066304"/>
          <c:h val="0.72569696754869473"/>
        </c:manualLayout>
      </c:layout>
      <c:lineChart>
        <c:grouping val="standard"/>
        <c:varyColors val="0"/>
        <c:ser>
          <c:idx val="0"/>
          <c:order val="0"/>
          <c:tx>
            <c:strRef>
              <c:f>PRECISION!$E$10</c:f>
              <c:strCache>
                <c:ptCount val="1"/>
                <c:pt idx="0">
                  <c:v>INC Motor (deg)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PRECISION!$F$10:$M$10</c:f>
              <c:numCache>
                <c:formatCode>General</c:formatCode>
                <c:ptCount val="8"/>
                <c:pt idx="0">
                  <c:v>-5.0009971680427583</c:v>
                </c:pt>
                <c:pt idx="1">
                  <c:v>-5.0009971680427654</c:v>
                </c:pt>
                <c:pt idx="2">
                  <c:v>-5.0009971680427618</c:v>
                </c:pt>
                <c:pt idx="3">
                  <c:v>-5.0009971680427618</c:v>
                </c:pt>
                <c:pt idx="4">
                  <c:v>-5.0009971680427618</c:v>
                </c:pt>
                <c:pt idx="5">
                  <c:v>-5.0009971680427618</c:v>
                </c:pt>
                <c:pt idx="6">
                  <c:v>-5.0009971680427583</c:v>
                </c:pt>
                <c:pt idx="7">
                  <c:v>-5.0009971680427654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20-41A6-A959-66B7E9252660}"/>
            </c:ext>
          </c:extLst>
        </c:ser>
        <c:ser>
          <c:idx val="1"/>
          <c:order val="1"/>
          <c:tx>
            <c:strRef>
              <c:f>PRECISION!$E$11</c:f>
              <c:strCache>
                <c:ptCount val="1"/>
                <c:pt idx="0">
                  <c:v>INC Laser (deg)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PRECISION!$F$11:$M$11</c:f>
              <c:numCache>
                <c:formatCode>General</c:formatCode>
                <c:ptCount val="8"/>
                <c:pt idx="0">
                  <c:v>-5.0027999999999935</c:v>
                </c:pt>
                <c:pt idx="1">
                  <c:v>-4.998300000000004</c:v>
                </c:pt>
                <c:pt idx="2">
                  <c:v>-5.0022999999999982</c:v>
                </c:pt>
                <c:pt idx="3">
                  <c:v>-4.9993000000000016</c:v>
                </c:pt>
                <c:pt idx="4">
                  <c:v>-5.0029999999999983</c:v>
                </c:pt>
                <c:pt idx="5">
                  <c:v>-4.9983000000000004</c:v>
                </c:pt>
                <c:pt idx="6">
                  <c:v>-5.0049000000000001</c:v>
                </c:pt>
                <c:pt idx="7">
                  <c:v>-5.0031000000000008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20-41A6-A959-66B7E9252660}"/>
            </c:ext>
          </c:extLst>
        </c:ser>
        <c:ser>
          <c:idx val="2"/>
          <c:order val="2"/>
          <c:tx>
            <c:strRef>
              <c:f>PRECISION!$E$13</c:f>
              <c:strCache>
                <c:ptCount val="1"/>
                <c:pt idx="0">
                  <c:v>INC Encoder (deg)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PRECISION!$F$13:$M$13</c:f>
              <c:numCache>
                <c:formatCode>General</c:formatCode>
                <c:ptCount val="8"/>
                <c:pt idx="0">
                  <c:v>-5.0028339894282325</c:v>
                </c:pt>
                <c:pt idx="1">
                  <c:v>-4.9924211528391709</c:v>
                </c:pt>
                <c:pt idx="2">
                  <c:v>-5.0006535236467613</c:v>
                </c:pt>
                <c:pt idx="3">
                  <c:v>-5.0045694621930821</c:v>
                </c:pt>
                <c:pt idx="4">
                  <c:v>-5.0038574733664731</c:v>
                </c:pt>
                <c:pt idx="5">
                  <c:v>-5.0018995040933163</c:v>
                </c:pt>
                <c:pt idx="6">
                  <c:v>-5.0017215068866818</c:v>
                </c:pt>
                <c:pt idx="7">
                  <c:v>-5.0056374454329813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20-41A6-A959-66B7E9252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3632448"/>
        <c:axId val="1174191120"/>
      </c:lineChart>
      <c:catAx>
        <c:axId val="173363244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74191120"/>
        <c:crosses val="max"/>
        <c:auto val="1"/>
        <c:lblAlgn val="ctr"/>
        <c:lblOffset val="100"/>
        <c:noMultiLvlLbl val="0"/>
      </c:catAx>
      <c:valAx>
        <c:axId val="1174191120"/>
        <c:scaling>
          <c:orientation val="minMax"/>
          <c:max val="-4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363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802190252530031"/>
          <c:y val="0.84147876039134706"/>
          <c:w val="0.64395602738360247"/>
          <c:h val="9.2642552358210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9279935865052"/>
          <c:y val="0.10502974126153394"/>
          <c:w val="0.85432971118032353"/>
          <c:h val="0.83352185694253733"/>
        </c:manualLayout>
      </c:layout>
      <c:lineChart>
        <c:grouping val="standard"/>
        <c:varyColors val="0"/>
        <c:ser>
          <c:idx val="0"/>
          <c:order val="0"/>
          <c:tx>
            <c:strRef>
              <c:f>PRECISION!$D$17</c:f>
              <c:strCache>
                <c:ptCount val="1"/>
                <c:pt idx="0">
                  <c:v>DESV motor  (deg)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PRECISION!$E$17:$M$17</c:f>
              <c:numCache>
                <c:formatCode>General</c:formatCode>
                <c:ptCount val="9"/>
                <c:pt idx="0">
                  <c:v>0</c:v>
                </c:pt>
                <c:pt idx="1">
                  <c:v>1.8028319572351847E-3</c:v>
                </c:pt>
                <c:pt idx="2">
                  <c:v>-8.9433608552624833E-4</c:v>
                </c:pt>
                <c:pt idx="3">
                  <c:v>4.0849587171010171E-4</c:v>
                </c:pt>
                <c:pt idx="4">
                  <c:v>-1.2886721710501092E-3</c:v>
                </c:pt>
                <c:pt idx="5">
                  <c:v>7.1415978618638576E-4</c:v>
                </c:pt>
                <c:pt idx="6">
                  <c:v>-1.9830082565750473E-3</c:v>
                </c:pt>
                <c:pt idx="7">
                  <c:v>1.9198237006667895E-3</c:v>
                </c:pt>
                <c:pt idx="8">
                  <c:v>4.0226556579017365E-3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AF-4D3C-8F6D-946A99BC0A01}"/>
            </c:ext>
          </c:extLst>
        </c:ser>
        <c:ser>
          <c:idx val="1"/>
          <c:order val="1"/>
          <c:tx>
            <c:strRef>
              <c:f>PRECISION!$D$18</c:f>
              <c:strCache>
                <c:ptCount val="1"/>
                <c:pt idx="0">
                  <c:v>DESV encoder  (deg)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PRECISION!$E$18:$M$18</c:f>
              <c:numCache>
                <c:formatCode>General</c:formatCode>
                <c:ptCount val="9"/>
                <c:pt idx="0">
                  <c:v>-1.2113082238514039E-3</c:v>
                </c:pt>
                <c:pt idx="1">
                  <c:v>-1.2452976520904713E-3</c:v>
                </c:pt>
                <c:pt idx="2">
                  <c:v>4.6335495087426182E-3</c:v>
                </c:pt>
                <c:pt idx="3">
                  <c:v>6.2800258619795102E-3</c:v>
                </c:pt>
                <c:pt idx="4">
                  <c:v>1.0105636688990671E-3</c:v>
                </c:pt>
                <c:pt idx="5">
                  <c:v>1.5309030242427468E-4</c:v>
                </c:pt>
                <c:pt idx="6">
                  <c:v>-3.4464137908916115E-3</c:v>
                </c:pt>
                <c:pt idx="7">
                  <c:v>-2.6792067757330784E-4</c:v>
                </c:pt>
                <c:pt idx="8">
                  <c:v>-2.8053661105542464E-3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AF-4D3C-8F6D-946A99BC0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981472"/>
        <c:axId val="970534048"/>
      </c:lineChart>
      <c:catAx>
        <c:axId val="17399814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0534048"/>
        <c:crosses val="max"/>
        <c:auto val="1"/>
        <c:lblAlgn val="ctr"/>
        <c:lblOffset val="100"/>
        <c:noMultiLvlLbl val="0"/>
      </c:catAx>
      <c:valAx>
        <c:axId val="97053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998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4588129822904063"/>
          <c:y val="0.2213864391123623"/>
          <c:w val="0.29003676898082847"/>
          <c:h val="0.188536365435791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Repeatability P1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548526493667806"/>
          <c:y val="0.2263896343254109"/>
          <c:w val="0.8673081855490572"/>
          <c:h val="0.73284539590274334"/>
        </c:manualLayout>
      </c:layout>
      <c:lineChart>
        <c:grouping val="standard"/>
        <c:varyColors val="0"/>
        <c:ser>
          <c:idx val="0"/>
          <c:order val="0"/>
          <c:tx>
            <c:strRef>
              <c:f>REP_P1!$F$3</c:f>
              <c:strCache>
                <c:ptCount val="1"/>
                <c:pt idx="0">
                  <c:v>→ Laser (deg)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REP_P1!$G$3:$Q$3</c:f>
              <c:numCache>
                <c:formatCode>General</c:formatCode>
                <c:ptCount val="11"/>
                <c:pt idx="0" formatCode="0.0000">
                  <c:v>1E-4</c:v>
                </c:pt>
                <c:pt idx="1">
                  <c:v>-2.9999999999999997E-4</c:v>
                </c:pt>
                <c:pt idx="2">
                  <c:v>-6.9999999999999999E-4</c:v>
                </c:pt>
                <c:pt idx="3">
                  <c:v>-5.0000000000000001E-4</c:v>
                </c:pt>
                <c:pt idx="4">
                  <c:v>-5.9999999999999995E-4</c:v>
                </c:pt>
                <c:pt idx="5">
                  <c:v>-5.0000000000000001E-4</c:v>
                </c:pt>
                <c:pt idx="6">
                  <c:v>-1E-3</c:v>
                </c:pt>
                <c:pt idx="7">
                  <c:v>-8.0000000000000004E-4</c:v>
                </c:pt>
                <c:pt idx="8">
                  <c:v>-5.0000000000000001E-4</c:v>
                </c:pt>
                <c:pt idx="9">
                  <c:v>-8.0000000000000004E-4</c:v>
                </c:pt>
                <c:pt idx="10">
                  <c:v>-6.9999999999999999E-4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1C-45F3-ABC8-3A2CFF93DE2A}"/>
            </c:ext>
          </c:extLst>
        </c:ser>
        <c:ser>
          <c:idx val="1"/>
          <c:order val="1"/>
          <c:tx>
            <c:strRef>
              <c:f>REP_P1!$F$5</c:f>
              <c:strCache>
                <c:ptCount val="1"/>
                <c:pt idx="0">
                  <c:v>→ Encoder (deg)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REP_P1!$G$5:$Q$5</c:f>
              <c:numCache>
                <c:formatCode>General</c:formatCode>
                <c:ptCount val="11"/>
                <c:pt idx="1">
                  <c:v>3.1328545640434413E-3</c:v>
                </c:pt>
                <c:pt idx="2">
                  <c:v>3.0883552623919286E-3</c:v>
                </c:pt>
                <c:pt idx="3">
                  <c:v>3.0883552623919286E-3</c:v>
                </c:pt>
                <c:pt idx="4">
                  <c:v>2.9548573573947579E-3</c:v>
                </c:pt>
                <c:pt idx="5">
                  <c:v>2.7768601507460744E-3</c:v>
                </c:pt>
                <c:pt idx="6">
                  <c:v>2.7768601507460744E-3</c:v>
                </c:pt>
                <c:pt idx="7">
                  <c:v>2.7323608490803508E-3</c:v>
                </c:pt>
                <c:pt idx="8">
                  <c:v>2.5988629440973909E-3</c:v>
                </c:pt>
                <c:pt idx="9">
                  <c:v>2.5543636424316674E-3</c:v>
                </c:pt>
                <c:pt idx="10">
                  <c:v>2.4208657374487075E-3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1C-45F3-ABC8-3A2CFF93DE2A}"/>
            </c:ext>
          </c:extLst>
        </c:ser>
        <c:ser>
          <c:idx val="2"/>
          <c:order val="2"/>
          <c:tx>
            <c:strRef>
              <c:f>REP_P1!$F$18</c:f>
              <c:strCache>
                <c:ptCount val="1"/>
                <c:pt idx="0">
                  <c:v>← Laser (deg)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REP_P1!$G$18:$Q$18</c:f>
              <c:numCache>
                <c:formatCode>General</c:formatCode>
                <c:ptCount val="11"/>
                <c:pt idx="1">
                  <c:v>2.6200000000000001E-2</c:v>
                </c:pt>
                <c:pt idx="2">
                  <c:v>2.63E-2</c:v>
                </c:pt>
                <c:pt idx="3">
                  <c:v>2.63E-2</c:v>
                </c:pt>
                <c:pt idx="4">
                  <c:v>2.6100000000000002E-2</c:v>
                </c:pt>
                <c:pt idx="5">
                  <c:v>2.64E-2</c:v>
                </c:pt>
                <c:pt idx="6">
                  <c:v>2.6700000000000002E-2</c:v>
                </c:pt>
                <c:pt idx="7">
                  <c:v>2.6100000000000002E-2</c:v>
                </c:pt>
                <c:pt idx="8">
                  <c:v>2.5999999999999999E-2</c:v>
                </c:pt>
                <c:pt idx="9">
                  <c:v>2.64E-2</c:v>
                </c:pt>
                <c:pt idx="10">
                  <c:v>2.6200000000000001E-2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1C-45F3-ABC8-3A2CFF93DE2A}"/>
            </c:ext>
          </c:extLst>
        </c:ser>
        <c:ser>
          <c:idx val="3"/>
          <c:order val="3"/>
          <c:tx>
            <c:strRef>
              <c:f>REP_P1!$F$20</c:f>
              <c:strCache>
                <c:ptCount val="1"/>
                <c:pt idx="0">
                  <c:v>← Encoder (deg)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REP_P1!$G$20:$Q$20</c:f>
              <c:numCache>
                <c:formatCode>General</c:formatCode>
                <c:ptCount val="11"/>
                <c:pt idx="1">
                  <c:v>2.3246538915586257E-2</c:v>
                </c:pt>
                <c:pt idx="2">
                  <c:v>2.3246538915586257E-2</c:v>
                </c:pt>
                <c:pt idx="3">
                  <c:v>2.3380036820569217E-2</c:v>
                </c:pt>
                <c:pt idx="4">
                  <c:v>2.3380036820569217E-2</c:v>
                </c:pt>
                <c:pt idx="5">
                  <c:v>2.342453612223494E-2</c:v>
                </c:pt>
                <c:pt idx="6">
                  <c:v>2.342453612223494E-2</c:v>
                </c:pt>
                <c:pt idx="7">
                  <c:v>2.342453612223494E-2</c:v>
                </c:pt>
                <c:pt idx="8">
                  <c:v>2.342453612223494E-2</c:v>
                </c:pt>
                <c:pt idx="9">
                  <c:v>2.3380036820569217E-2</c:v>
                </c:pt>
                <c:pt idx="10">
                  <c:v>2.3380036820569217E-2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1C-45F3-ABC8-3A2CFF93D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467872"/>
        <c:axId val="1020401248"/>
      </c:lineChart>
      <c:catAx>
        <c:axId val="173946787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0401248"/>
        <c:crosses val="max"/>
        <c:auto val="1"/>
        <c:lblAlgn val="ctr"/>
        <c:lblOffset val="100"/>
        <c:noMultiLvlLbl val="0"/>
      </c:catAx>
      <c:valAx>
        <c:axId val="1020401248"/>
        <c:scaling>
          <c:orientation val="minMax"/>
          <c:max val="5.000000000000001E-2"/>
          <c:min val="-5.000000000000001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946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00007789992702"/>
          <c:y val="0.80503997870502852"/>
          <c:w val="0.67500000000000004"/>
          <c:h val="9.20144356955380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Repeatability P2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435251931536726"/>
          <c:y val="0.26389219712565049"/>
          <c:w val="0.86982588444050124"/>
          <c:h val="0.68800354719693591"/>
        </c:manualLayout>
      </c:layout>
      <c:lineChart>
        <c:grouping val="standard"/>
        <c:varyColors val="0"/>
        <c:ser>
          <c:idx val="0"/>
          <c:order val="0"/>
          <c:tx>
            <c:strRef>
              <c:f>REP_P2!$F$3</c:f>
              <c:strCache>
                <c:ptCount val="1"/>
                <c:pt idx="0">
                  <c:v>Laser (deg)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REP_P2!$G$3:$Q$3</c:f>
              <c:numCache>
                <c:formatCode>General</c:formatCode>
                <c:ptCount val="11"/>
                <c:pt idx="0" formatCode="0.0000">
                  <c:v>9.9998000000000005</c:v>
                </c:pt>
                <c:pt idx="1">
                  <c:v>9.9943000000000008</c:v>
                </c:pt>
                <c:pt idx="2">
                  <c:v>9.9936000000000007</c:v>
                </c:pt>
                <c:pt idx="3">
                  <c:v>9.9934999999999992</c:v>
                </c:pt>
                <c:pt idx="4">
                  <c:v>9.9931000000000001</c:v>
                </c:pt>
                <c:pt idx="5">
                  <c:v>9.9932999999999996</c:v>
                </c:pt>
                <c:pt idx="6">
                  <c:v>9.9931999999999999</c:v>
                </c:pt>
                <c:pt idx="7">
                  <c:v>9.9931999999999999</c:v>
                </c:pt>
                <c:pt idx="8">
                  <c:v>9.9931999999999999</c:v>
                </c:pt>
                <c:pt idx="9">
                  <c:v>9.9928000000000008</c:v>
                </c:pt>
                <c:pt idx="10">
                  <c:v>9.9925999999999995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F-4687-A8F6-792D9D750F12}"/>
            </c:ext>
          </c:extLst>
        </c:ser>
        <c:ser>
          <c:idx val="1"/>
          <c:order val="1"/>
          <c:tx>
            <c:strRef>
              <c:f>REP_P2!$F$5</c:f>
              <c:strCache>
                <c:ptCount val="1"/>
                <c:pt idx="0">
                  <c:v>Encoder (deg)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REP_P2!$G$5:$Q$5</c:f>
              <c:numCache>
                <c:formatCode>General</c:formatCode>
                <c:ptCount val="11"/>
                <c:pt idx="1">
                  <c:v>9.9935820722518685</c:v>
                </c:pt>
                <c:pt idx="2">
                  <c:v>9.9933595757435683</c:v>
                </c:pt>
                <c:pt idx="3">
                  <c:v>9.9930480806319224</c:v>
                </c:pt>
                <c:pt idx="4">
                  <c:v>9.9928700834252737</c:v>
                </c:pt>
                <c:pt idx="5">
                  <c:v>9.992692086218625</c:v>
                </c:pt>
                <c:pt idx="6">
                  <c:v>9.9925140890119621</c:v>
                </c:pt>
                <c:pt idx="7">
                  <c:v>9.9924695897103106</c:v>
                </c:pt>
                <c:pt idx="8">
                  <c:v>9.9922915925036619</c:v>
                </c:pt>
                <c:pt idx="9">
                  <c:v>9.9921580945986648</c:v>
                </c:pt>
                <c:pt idx="10">
                  <c:v>9.9921580945986648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F-4687-A8F6-792D9D750F12}"/>
            </c:ext>
          </c:extLst>
        </c:ser>
        <c:ser>
          <c:idx val="2"/>
          <c:order val="2"/>
          <c:tx>
            <c:strRef>
              <c:f>REP_P2!$F$18</c:f>
              <c:strCache>
                <c:ptCount val="1"/>
                <c:pt idx="0">
                  <c:v>Laser (deg)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REP_P2!$G$18:$Q$18</c:f>
              <c:numCache>
                <c:formatCode>General</c:formatCode>
                <c:ptCount val="11"/>
                <c:pt idx="1">
                  <c:v>10.031000000000001</c:v>
                </c:pt>
                <c:pt idx="2">
                  <c:v>10.031700000000001</c:v>
                </c:pt>
                <c:pt idx="3">
                  <c:v>10.0318</c:v>
                </c:pt>
                <c:pt idx="4">
                  <c:v>10.032299999999999</c:v>
                </c:pt>
                <c:pt idx="5">
                  <c:v>10.0326</c:v>
                </c:pt>
                <c:pt idx="6">
                  <c:v>10.0326</c:v>
                </c:pt>
                <c:pt idx="7">
                  <c:v>10.0327</c:v>
                </c:pt>
                <c:pt idx="8">
                  <c:v>10.032299999999999</c:v>
                </c:pt>
                <c:pt idx="9">
                  <c:v>10.0327</c:v>
                </c:pt>
                <c:pt idx="10">
                  <c:v>10.032400000000001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F-4687-A8F6-792D9D750F12}"/>
            </c:ext>
          </c:extLst>
        </c:ser>
        <c:ser>
          <c:idx val="3"/>
          <c:order val="3"/>
          <c:tx>
            <c:strRef>
              <c:f>REP_P2!$F$20</c:f>
              <c:strCache>
                <c:ptCount val="1"/>
                <c:pt idx="0">
                  <c:v>Encoder (deg)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REP_P2!$G$20:$Q$20</c:f>
              <c:numCache>
                <c:formatCode>General</c:formatCode>
                <c:ptCount val="11"/>
                <c:pt idx="1">
                  <c:v>10.028425025453757</c:v>
                </c:pt>
                <c:pt idx="2">
                  <c:v>10.028959017073717</c:v>
                </c:pt>
                <c:pt idx="3">
                  <c:v>10.029181513582017</c:v>
                </c:pt>
                <c:pt idx="4">
                  <c:v>10.029493008693663</c:v>
                </c:pt>
                <c:pt idx="5">
                  <c:v>10.029671005900312</c:v>
                </c:pt>
                <c:pt idx="6">
                  <c:v>10.029715505201992</c:v>
                </c:pt>
                <c:pt idx="7">
                  <c:v>10.02984900310696</c:v>
                </c:pt>
                <c:pt idx="8">
                  <c:v>10.029315011487014</c:v>
                </c:pt>
                <c:pt idx="9">
                  <c:v>10.029359510788666</c:v>
                </c:pt>
                <c:pt idx="10">
                  <c:v>10.029315011487014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FF-4687-A8F6-792D9D75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686528"/>
        <c:axId val="1018246240"/>
      </c:lineChart>
      <c:catAx>
        <c:axId val="17406865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8246240"/>
        <c:crosses val="max"/>
        <c:auto val="1"/>
        <c:lblAlgn val="ctr"/>
        <c:lblOffset val="100"/>
        <c:noMultiLvlLbl val="0"/>
      </c:catAx>
      <c:valAx>
        <c:axId val="1018246240"/>
        <c:scaling>
          <c:orientation val="minMax"/>
          <c:max val="10.050000000000001"/>
          <c:min val="9.95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068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400632139292446"/>
          <c:y val="0.79828539362647566"/>
          <c:w val="0.60043029832538541"/>
          <c:h val="0.138310731991834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Repeatability P3</a:t>
            </a:r>
            <a:endParaRPr lang="es-ES">
              <a:effectLst/>
            </a:endParaRPr>
          </a:p>
        </c:rich>
      </c:tx>
      <c:layout>
        <c:manualLayout>
          <c:xMode val="edge"/>
          <c:yMode val="edge"/>
          <c:x val="0.3274652230971128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REP_P3!$F$3</c:f>
              <c:strCache>
                <c:ptCount val="1"/>
                <c:pt idx="0">
                  <c:v>Laser (deg)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REP_P3!$G$3:$Q$3</c:f>
              <c:numCache>
                <c:formatCode>General</c:formatCode>
                <c:ptCount val="11"/>
                <c:pt idx="0" formatCode="0.0000">
                  <c:v>20</c:v>
                </c:pt>
                <c:pt idx="1">
                  <c:v>20.000499999999999</c:v>
                </c:pt>
                <c:pt idx="2">
                  <c:v>20.000499999999999</c:v>
                </c:pt>
                <c:pt idx="3">
                  <c:v>20</c:v>
                </c:pt>
                <c:pt idx="4">
                  <c:v>20.000699999999998</c:v>
                </c:pt>
                <c:pt idx="5">
                  <c:v>20.000399999999999</c:v>
                </c:pt>
                <c:pt idx="6">
                  <c:v>20.0002</c:v>
                </c:pt>
                <c:pt idx="7">
                  <c:v>20.000299999999999</c:v>
                </c:pt>
                <c:pt idx="8">
                  <c:v>20.000399999999999</c:v>
                </c:pt>
                <c:pt idx="9">
                  <c:v>20.0002</c:v>
                </c:pt>
                <c:pt idx="10">
                  <c:v>20.000299999999999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A-4AF1-A07C-A2564FE81C28}"/>
            </c:ext>
          </c:extLst>
        </c:ser>
        <c:ser>
          <c:idx val="1"/>
          <c:order val="1"/>
          <c:tx>
            <c:strRef>
              <c:f>REP_P3!$F$5</c:f>
              <c:strCache>
                <c:ptCount val="1"/>
                <c:pt idx="0">
                  <c:v>Encoder (deg)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REP_P3!$G$5:$Q$5</c:f>
              <c:numCache>
                <c:formatCode>General</c:formatCode>
                <c:ptCount val="11"/>
                <c:pt idx="1">
                  <c:v>20.005034960324487</c:v>
                </c:pt>
                <c:pt idx="2">
                  <c:v>20.004500968704541</c:v>
                </c:pt>
                <c:pt idx="3">
                  <c:v>20.004144974291236</c:v>
                </c:pt>
                <c:pt idx="4">
                  <c:v>20.004990461022828</c:v>
                </c:pt>
                <c:pt idx="5">
                  <c:v>20.004678965911189</c:v>
                </c:pt>
                <c:pt idx="6">
                  <c:v>20.004634466609531</c:v>
                </c:pt>
                <c:pt idx="7">
                  <c:v>20.004500968704541</c:v>
                </c:pt>
                <c:pt idx="8">
                  <c:v>20.004500968704541</c:v>
                </c:pt>
                <c:pt idx="9">
                  <c:v>20.004456469402882</c:v>
                </c:pt>
                <c:pt idx="10">
                  <c:v>20.004322971497885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A-4AF1-A07C-A2564FE81C28}"/>
            </c:ext>
          </c:extLst>
        </c:ser>
        <c:ser>
          <c:idx val="2"/>
          <c:order val="2"/>
          <c:tx>
            <c:strRef>
              <c:f>REP_P3!$F$18</c:f>
              <c:strCache>
                <c:ptCount val="1"/>
                <c:pt idx="0">
                  <c:v>Laser (deg)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REP_P3!$G$18:$Q$18</c:f>
              <c:numCache>
                <c:formatCode>General</c:formatCode>
                <c:ptCount val="11"/>
                <c:pt idx="1">
                  <c:v>20.037800000000001</c:v>
                </c:pt>
                <c:pt idx="2">
                  <c:v>20.038399999999999</c:v>
                </c:pt>
                <c:pt idx="3">
                  <c:v>20.038900000000002</c:v>
                </c:pt>
                <c:pt idx="4">
                  <c:v>20.039200000000001</c:v>
                </c:pt>
                <c:pt idx="5">
                  <c:v>20.0395</c:v>
                </c:pt>
                <c:pt idx="6">
                  <c:v>20.0396</c:v>
                </c:pt>
                <c:pt idx="7">
                  <c:v>20.0398</c:v>
                </c:pt>
                <c:pt idx="8">
                  <c:v>20.040099999999999</c:v>
                </c:pt>
                <c:pt idx="9">
                  <c:v>20.040199999999999</c:v>
                </c:pt>
                <c:pt idx="10">
                  <c:v>20.040400000000002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CA-4AF1-A07C-A2564FE81C28}"/>
            </c:ext>
          </c:extLst>
        </c:ser>
        <c:ser>
          <c:idx val="3"/>
          <c:order val="3"/>
          <c:tx>
            <c:strRef>
              <c:f>REP_P3!$F$20</c:f>
              <c:strCache>
                <c:ptCount val="1"/>
                <c:pt idx="0">
                  <c:v>Encoder (deg)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REP_P3!$G$20:$Q$20</c:f>
              <c:numCache>
                <c:formatCode>General</c:formatCode>
                <c:ptCount val="11"/>
                <c:pt idx="1">
                  <c:v>20.039388421208088</c:v>
                </c:pt>
                <c:pt idx="2">
                  <c:v>20.040233907939687</c:v>
                </c:pt>
                <c:pt idx="3">
                  <c:v>20.040767899559633</c:v>
                </c:pt>
                <c:pt idx="4">
                  <c:v>20.040990396067947</c:v>
                </c:pt>
                <c:pt idx="5">
                  <c:v>20.041346390481245</c:v>
                </c:pt>
                <c:pt idx="6">
                  <c:v>20.04165788559289</c:v>
                </c:pt>
                <c:pt idx="7">
                  <c:v>20.041835882799539</c:v>
                </c:pt>
                <c:pt idx="8">
                  <c:v>20.042058379307853</c:v>
                </c:pt>
                <c:pt idx="9">
                  <c:v>20.042191877212844</c:v>
                </c:pt>
                <c:pt idx="10">
                  <c:v>20.042369874419492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CA-4AF1-A07C-A2564FE81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672928"/>
        <c:axId val="1827268800"/>
      </c:lineChart>
      <c:catAx>
        <c:axId val="1740672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7268800"/>
        <c:crosses val="max"/>
        <c:auto val="1"/>
        <c:lblAlgn val="ctr"/>
        <c:lblOffset val="100"/>
        <c:noMultiLvlLbl val="0"/>
      </c:catAx>
      <c:valAx>
        <c:axId val="1827268800"/>
        <c:scaling>
          <c:orientation val="minMax"/>
          <c:max val="20.05"/>
          <c:min val="19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06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22222222222221"/>
          <c:y val="0.66261519393409152"/>
          <c:w val="0.68611111111111112"/>
          <c:h val="0.124421843102945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Repeatability P4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47741373227707"/>
          <c:y val="0.25080234762321374"/>
          <c:w val="0.869299938813335"/>
          <c:h val="0.70810914260717406"/>
        </c:manualLayout>
      </c:layout>
      <c:lineChart>
        <c:grouping val="standard"/>
        <c:varyColors val="0"/>
        <c:ser>
          <c:idx val="0"/>
          <c:order val="0"/>
          <c:tx>
            <c:strRef>
              <c:f>REP_P4!$F$3</c:f>
              <c:strCache>
                <c:ptCount val="1"/>
                <c:pt idx="0">
                  <c:v>Laser (deg)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REP_P4!$G$3:$Q$3</c:f>
              <c:numCache>
                <c:formatCode>General</c:formatCode>
                <c:ptCount val="11"/>
                <c:pt idx="0" formatCode="0.0000">
                  <c:v>29.9999</c:v>
                </c:pt>
                <c:pt idx="1">
                  <c:v>29.9786</c:v>
                </c:pt>
                <c:pt idx="2">
                  <c:v>29.9786</c:v>
                </c:pt>
                <c:pt idx="3">
                  <c:v>29.978300000000001</c:v>
                </c:pt>
                <c:pt idx="4">
                  <c:v>29.978200000000001</c:v>
                </c:pt>
                <c:pt idx="5">
                  <c:v>29.977799999999998</c:v>
                </c:pt>
                <c:pt idx="6">
                  <c:v>29.977599999999999</c:v>
                </c:pt>
                <c:pt idx="7">
                  <c:v>29.977599999999999</c:v>
                </c:pt>
                <c:pt idx="8">
                  <c:v>29.977399999999999</c:v>
                </c:pt>
                <c:pt idx="9">
                  <c:v>29.9772</c:v>
                </c:pt>
                <c:pt idx="10">
                  <c:v>29.977599999999999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3-48BF-9EDF-BF49AAE6E3C8}"/>
            </c:ext>
          </c:extLst>
        </c:ser>
        <c:ser>
          <c:idx val="1"/>
          <c:order val="1"/>
          <c:tx>
            <c:strRef>
              <c:f>REP_P4!$F$5</c:f>
              <c:strCache>
                <c:ptCount val="1"/>
                <c:pt idx="0">
                  <c:v>Encoder (deg)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REP_P4!$G$5:$Q$5</c:f>
              <c:numCache>
                <c:formatCode>General</c:formatCode>
                <c:ptCount val="11"/>
                <c:pt idx="1">
                  <c:v>29.988186292539638</c:v>
                </c:pt>
                <c:pt idx="2">
                  <c:v>29.988008295332989</c:v>
                </c:pt>
                <c:pt idx="3">
                  <c:v>29.987785798824675</c:v>
                </c:pt>
                <c:pt idx="4">
                  <c:v>29.987652300919684</c:v>
                </c:pt>
                <c:pt idx="5">
                  <c:v>29.987474303713036</c:v>
                </c:pt>
                <c:pt idx="6">
                  <c:v>29.987296306506387</c:v>
                </c:pt>
                <c:pt idx="7">
                  <c:v>29.987251807204728</c:v>
                </c:pt>
                <c:pt idx="8">
                  <c:v>29.987118309299731</c:v>
                </c:pt>
                <c:pt idx="9">
                  <c:v>29.987073809998073</c:v>
                </c:pt>
                <c:pt idx="10">
                  <c:v>29.987118309299731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3-48BF-9EDF-BF49AAE6E3C8}"/>
            </c:ext>
          </c:extLst>
        </c:ser>
        <c:ser>
          <c:idx val="2"/>
          <c:order val="2"/>
          <c:tx>
            <c:strRef>
              <c:f>REP_P4!$F$18</c:f>
              <c:strCache>
                <c:ptCount val="1"/>
                <c:pt idx="0">
                  <c:v>Laser (deg)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REP_P4!$G$18:$Q$18</c:f>
              <c:numCache>
                <c:formatCode>General</c:formatCode>
                <c:ptCount val="11"/>
                <c:pt idx="1">
                  <c:v>30.014700000000001</c:v>
                </c:pt>
                <c:pt idx="2">
                  <c:v>30.013999999999999</c:v>
                </c:pt>
                <c:pt idx="3">
                  <c:v>30.014700000000001</c:v>
                </c:pt>
                <c:pt idx="4">
                  <c:v>30.014800000000001</c:v>
                </c:pt>
                <c:pt idx="5">
                  <c:v>30.0153</c:v>
                </c:pt>
                <c:pt idx="6">
                  <c:v>30.015899999999998</c:v>
                </c:pt>
                <c:pt idx="7">
                  <c:v>30.015499999999999</c:v>
                </c:pt>
                <c:pt idx="8">
                  <c:v>30.015999999999998</c:v>
                </c:pt>
                <c:pt idx="9">
                  <c:v>30.015999999999998</c:v>
                </c:pt>
                <c:pt idx="10">
                  <c:v>30.016200000000001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13-48BF-9EDF-BF49AAE6E3C8}"/>
            </c:ext>
          </c:extLst>
        </c:ser>
        <c:ser>
          <c:idx val="3"/>
          <c:order val="3"/>
          <c:tx>
            <c:strRef>
              <c:f>REP_P4!$F$20</c:f>
              <c:strCache>
                <c:ptCount val="1"/>
                <c:pt idx="0">
                  <c:v>Encoder (deg)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REP_P4!$G$20:$Q$20</c:f>
              <c:numCache>
                <c:formatCode>General</c:formatCode>
                <c:ptCount val="11"/>
                <c:pt idx="1">
                  <c:v>30.01933580370352</c:v>
                </c:pt>
                <c:pt idx="2">
                  <c:v>30.019825296021814</c:v>
                </c:pt>
                <c:pt idx="3">
                  <c:v>30.020225789736784</c:v>
                </c:pt>
                <c:pt idx="4">
                  <c:v>30.020581784150082</c:v>
                </c:pt>
                <c:pt idx="5">
                  <c:v>30.02089327926172</c:v>
                </c:pt>
                <c:pt idx="6">
                  <c:v>30.021115775770035</c:v>
                </c:pt>
                <c:pt idx="7">
                  <c:v>30.021293772976684</c:v>
                </c:pt>
                <c:pt idx="8">
                  <c:v>30.021471770183339</c:v>
                </c:pt>
                <c:pt idx="9">
                  <c:v>30.021649767389988</c:v>
                </c:pt>
                <c:pt idx="10">
                  <c:v>30.021649767389988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13-48BF-9EDF-BF49AAE6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524832"/>
        <c:axId val="1827267136"/>
      </c:lineChart>
      <c:catAx>
        <c:axId val="174452483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7267136"/>
        <c:crosses val="max"/>
        <c:auto val="1"/>
        <c:lblAlgn val="ctr"/>
        <c:lblOffset val="100"/>
        <c:noMultiLvlLbl val="0"/>
      </c:catAx>
      <c:valAx>
        <c:axId val="1827267136"/>
        <c:scaling>
          <c:orientation val="minMax"/>
          <c:max val="30.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52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651510301054349"/>
          <c:y val="0.80613371245261012"/>
          <c:w val="0.56944444444444442"/>
          <c:h val="0.11516258384368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Repeatability P5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0993212348022242"/>
          <c:y val="0.25080234762321374"/>
          <c:w val="0.86876970151064248"/>
          <c:h val="0.59236840186643336"/>
        </c:manualLayout>
      </c:layout>
      <c:lineChart>
        <c:grouping val="standard"/>
        <c:varyColors val="0"/>
        <c:ser>
          <c:idx val="0"/>
          <c:order val="0"/>
          <c:tx>
            <c:strRef>
              <c:f>REP_P5!$F$3</c:f>
              <c:strCache>
                <c:ptCount val="1"/>
                <c:pt idx="0">
                  <c:v>Laser (deg)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REP_P5!$G$3:$Q$3</c:f>
              <c:numCache>
                <c:formatCode>General</c:formatCode>
                <c:ptCount val="11"/>
                <c:pt idx="0" formatCode="0.0000">
                  <c:v>39.999899999999997</c:v>
                </c:pt>
                <c:pt idx="1">
                  <c:v>40.001100000000001</c:v>
                </c:pt>
                <c:pt idx="2">
                  <c:v>40.000500000000002</c:v>
                </c:pt>
                <c:pt idx="3">
                  <c:v>40.0002</c:v>
                </c:pt>
                <c:pt idx="4">
                  <c:v>40</c:v>
                </c:pt>
                <c:pt idx="5">
                  <c:v>40</c:v>
                </c:pt>
                <c:pt idx="6">
                  <c:v>39.999699999999997</c:v>
                </c:pt>
                <c:pt idx="7">
                  <c:v>39.999499999999998</c:v>
                </c:pt>
                <c:pt idx="8">
                  <c:v>39.999099999999999</c:v>
                </c:pt>
                <c:pt idx="9">
                  <c:v>39.999200000000002</c:v>
                </c:pt>
                <c:pt idx="10">
                  <c:v>39.999000000000002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A-48AC-809C-E18BC4924D16}"/>
            </c:ext>
          </c:extLst>
        </c:ser>
        <c:ser>
          <c:idx val="1"/>
          <c:order val="1"/>
          <c:tx>
            <c:strRef>
              <c:f>REP_P5!$F$5</c:f>
              <c:strCache>
                <c:ptCount val="1"/>
                <c:pt idx="0">
                  <c:v>Encoder (deg)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REP_P5!$G$5:$Q$5</c:f>
              <c:numCache>
                <c:formatCode>General</c:formatCode>
                <c:ptCount val="11"/>
                <c:pt idx="1">
                  <c:v>40.001775147092069</c:v>
                </c:pt>
                <c:pt idx="2">
                  <c:v>40.001374653377106</c:v>
                </c:pt>
                <c:pt idx="3">
                  <c:v>40.001018658963808</c:v>
                </c:pt>
                <c:pt idx="4">
                  <c:v>40.000707163852162</c:v>
                </c:pt>
                <c:pt idx="5">
                  <c:v>40.000484667343848</c:v>
                </c:pt>
                <c:pt idx="6">
                  <c:v>40.000173172232216</c:v>
                </c:pt>
                <c:pt idx="7">
                  <c:v>40.000128672930551</c:v>
                </c:pt>
                <c:pt idx="8">
                  <c:v>39.999817177818912</c:v>
                </c:pt>
                <c:pt idx="9">
                  <c:v>39.999639180612263</c:v>
                </c:pt>
                <c:pt idx="10">
                  <c:v>39.999639180612263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A-48AC-809C-E18BC4924D16}"/>
            </c:ext>
          </c:extLst>
        </c:ser>
        <c:ser>
          <c:idx val="2"/>
          <c:order val="2"/>
          <c:tx>
            <c:strRef>
              <c:f>REP_P5!$F$18</c:f>
              <c:strCache>
                <c:ptCount val="1"/>
                <c:pt idx="0">
                  <c:v>Laser (deg)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REP_P5!$G$18:$Q$18</c:f>
              <c:numCache>
                <c:formatCode>General</c:formatCode>
                <c:ptCount val="11"/>
                <c:pt idx="1">
                  <c:v>40.029000000000003</c:v>
                </c:pt>
                <c:pt idx="2">
                  <c:v>40.03</c:v>
                </c:pt>
                <c:pt idx="3">
                  <c:v>40.030500000000004</c:v>
                </c:pt>
                <c:pt idx="4">
                  <c:v>40.030799999999999</c:v>
                </c:pt>
                <c:pt idx="5">
                  <c:v>40.030999999999999</c:v>
                </c:pt>
                <c:pt idx="6">
                  <c:v>40.031500000000001</c:v>
                </c:pt>
                <c:pt idx="7">
                  <c:v>40.031399999999998</c:v>
                </c:pt>
                <c:pt idx="8">
                  <c:v>40.031799999999997</c:v>
                </c:pt>
                <c:pt idx="9">
                  <c:v>40.031799999999997</c:v>
                </c:pt>
                <c:pt idx="10">
                  <c:v>40.032200000000003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3A-48AC-809C-E18BC4924D16}"/>
            </c:ext>
          </c:extLst>
        </c:ser>
        <c:ser>
          <c:idx val="3"/>
          <c:order val="3"/>
          <c:tx>
            <c:strRef>
              <c:f>REP_P5!$F$20</c:f>
              <c:strCache>
                <c:ptCount val="1"/>
                <c:pt idx="0">
                  <c:v>Encoder (deg)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REP_P5!$G$20:$Q$20</c:f>
              <c:numCache>
                <c:formatCode>General</c:formatCode>
                <c:ptCount val="11"/>
                <c:pt idx="1">
                  <c:v>40.028074234374721</c:v>
                </c:pt>
                <c:pt idx="2">
                  <c:v>40.028786223201323</c:v>
                </c:pt>
                <c:pt idx="3">
                  <c:v>40.029320214821276</c:v>
                </c:pt>
                <c:pt idx="4">
                  <c:v>40.02954271132959</c:v>
                </c:pt>
                <c:pt idx="5">
                  <c:v>40.029854206441229</c:v>
                </c:pt>
                <c:pt idx="6">
                  <c:v>40.030032203647878</c:v>
                </c:pt>
                <c:pt idx="7">
                  <c:v>40.030254700156199</c:v>
                </c:pt>
                <c:pt idx="8">
                  <c:v>40.030432697362848</c:v>
                </c:pt>
                <c:pt idx="9">
                  <c:v>40.030610694569496</c:v>
                </c:pt>
                <c:pt idx="10">
                  <c:v>40.030922189681135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3A-48AC-809C-E18BC4924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686928"/>
        <c:axId val="875030624"/>
      </c:lineChart>
      <c:catAx>
        <c:axId val="1740686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75030624"/>
        <c:crosses val="max"/>
        <c:auto val="1"/>
        <c:lblAlgn val="ctr"/>
        <c:lblOffset val="100"/>
        <c:noMultiLvlLbl val="0"/>
      </c:catAx>
      <c:valAx>
        <c:axId val="875030624"/>
        <c:scaling>
          <c:orientation val="minMax"/>
          <c:max val="40.049999999999997"/>
          <c:min val="39.94999999999999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068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222222222222221"/>
          <c:y val="0.66724482356372117"/>
          <c:w val="0.61397905623556703"/>
          <c:h val="0.124421843102945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29583</xdr:colOff>
      <xdr:row>20</xdr:row>
      <xdr:rowOff>8515</xdr:rowOff>
    </xdr:from>
    <xdr:to>
      <xdr:col>7</xdr:col>
      <xdr:colOff>869576</xdr:colOff>
      <xdr:row>32</xdr:row>
      <xdr:rowOff>170328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ABBC0A-0258-4D1D-93D6-602F0C9150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1207994</xdr:colOff>
      <xdr:row>19</xdr:row>
      <xdr:rowOff>178844</xdr:rowOff>
    </xdr:from>
    <xdr:to>
      <xdr:col>13</xdr:col>
      <xdr:colOff>188259</xdr:colOff>
      <xdr:row>32</xdr:row>
      <xdr:rowOff>179293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EE38FAB-9898-49AF-B373-29DF7AD29F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1276893</xdr:colOff>
      <xdr:row>30</xdr:row>
      <xdr:rowOff>0</xdr:rowOff>
    </xdr:from>
    <xdr:to>
      <xdr:col>13</xdr:col>
      <xdr:colOff>10886</xdr:colOff>
      <xdr:row>44</xdr:row>
      <xdr:rowOff>174172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AF4A37-3E1A-49C7-90BD-B79990A13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1066800</xdr:colOff>
      <xdr:row>30</xdr:row>
      <xdr:rowOff>5443</xdr:rowOff>
    </xdr:from>
    <xdr:to>
      <xdr:col>13</xdr:col>
      <xdr:colOff>10885</xdr:colOff>
      <xdr:row>44</xdr:row>
      <xdr:rowOff>21772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42BEAD7-B088-4909-954F-F83F2C43D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-1</xdr:colOff>
      <xdr:row>30</xdr:row>
      <xdr:rowOff>5443</xdr:rowOff>
    </xdr:from>
    <xdr:to>
      <xdr:col>12</xdr:col>
      <xdr:colOff>1066800</xdr:colOff>
      <xdr:row>44</xdr:row>
      <xdr:rowOff>157843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145E43D-1AF6-4AA3-B4EE-3E32A31CA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10884</xdr:colOff>
      <xdr:row>29</xdr:row>
      <xdr:rowOff>179614</xdr:rowOff>
    </xdr:from>
    <xdr:to>
      <xdr:col>13</xdr:col>
      <xdr:colOff>10885</xdr:colOff>
      <xdr:row>44</xdr:row>
      <xdr:rowOff>146957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E41F8D-807B-4C15-922C-C14C652CB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21770</xdr:colOff>
      <xdr:row>30</xdr:row>
      <xdr:rowOff>16328</xdr:rowOff>
    </xdr:from>
    <xdr:to>
      <xdr:col>12</xdr:col>
      <xdr:colOff>1077684</xdr:colOff>
      <xdr:row>44</xdr:row>
      <xdr:rowOff>168728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94BE81-1AFA-4A92-8CD2-02AB879B23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2B077-D875-40C6-8E7C-37E3C82BD391}">
  <dimension ref="A1:X25"/>
  <sheetViews>
    <sheetView zoomScale="85" zoomScaleNormal="85" workbookViewId="0">
      <selection activeCell="C16" sqref="C16"/>
    </sheetView>
  </sheetViews>
  <sheetFormatPr baseColWidth="10" defaultRowHeight="14.4" x14ac:dyDescent="0.3"/>
  <cols>
    <col min="1" max="1" width="23" bestFit="1" customWidth="1"/>
    <col min="2" max="2" width="15.6640625" customWidth="1"/>
    <col min="3" max="4" width="14" customWidth="1"/>
    <col min="5" max="5" width="2.88671875" customWidth="1"/>
    <col min="6" max="20" width="15.6640625" customWidth="1"/>
    <col min="21" max="21" width="2.88671875" customWidth="1"/>
  </cols>
  <sheetData>
    <row r="1" spans="1:24" x14ac:dyDescent="0.3">
      <c r="A1" s="16" t="s">
        <v>23</v>
      </c>
      <c r="B1" s="28">
        <v>100</v>
      </c>
      <c r="C1" s="1" t="s">
        <v>24</v>
      </c>
      <c r="D1" s="1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4" ht="15" thickBot="1" x14ac:dyDescent="0.35">
      <c r="A2" s="29" t="s">
        <v>25</v>
      </c>
      <c r="B2" s="30">
        <v>2</v>
      </c>
      <c r="C2" s="31" t="s">
        <v>24</v>
      </c>
      <c r="D2" s="32"/>
      <c r="E2" s="4"/>
      <c r="F2" s="33">
        <v>360</v>
      </c>
      <c r="G2" s="33" t="s">
        <v>26</v>
      </c>
      <c r="H2" s="1">
        <v>1</v>
      </c>
      <c r="I2" s="1" t="s">
        <v>27</v>
      </c>
      <c r="J2" s="1">
        <v>1</v>
      </c>
      <c r="K2" s="1" t="s">
        <v>28</v>
      </c>
      <c r="L2" s="1">
        <v>1</v>
      </c>
      <c r="M2" s="1" t="s">
        <v>29</v>
      </c>
      <c r="N2" s="1">
        <f>B6</f>
        <v>250.07077522574752</v>
      </c>
      <c r="O2" s="1" t="s">
        <v>30</v>
      </c>
      <c r="P2" s="1">
        <v>360</v>
      </c>
      <c r="Q2" s="1" t="s">
        <v>31</v>
      </c>
      <c r="R2" s="1" t="s">
        <v>32</v>
      </c>
      <c r="S2" s="34">
        <f>F2*H2*J2*L2*N2*P2/H3/J3/L3/N3/P3</f>
        <v>2.9074675324675323E-2</v>
      </c>
      <c r="T2" s="34" t="s">
        <v>33</v>
      </c>
      <c r="U2" s="4"/>
    </row>
    <row r="3" spans="1:24" x14ac:dyDescent="0.3">
      <c r="A3" s="16" t="s">
        <v>34</v>
      </c>
      <c r="B3" s="33">
        <v>2464</v>
      </c>
      <c r="C3" s="1" t="s">
        <v>30</v>
      </c>
      <c r="D3" s="1"/>
      <c r="E3" s="4"/>
      <c r="F3" s="5"/>
      <c r="G3" s="5"/>
      <c r="H3" s="1">
        <v>360</v>
      </c>
      <c r="I3" s="1" t="s">
        <v>35</v>
      </c>
      <c r="J3" s="1">
        <f>B1</f>
        <v>100</v>
      </c>
      <c r="K3" s="1" t="s">
        <v>27</v>
      </c>
      <c r="L3" s="1">
        <f>B2</f>
        <v>2</v>
      </c>
      <c r="M3" s="1" t="s">
        <v>28</v>
      </c>
      <c r="N3" s="1">
        <v>1</v>
      </c>
      <c r="O3" s="1" t="s">
        <v>29</v>
      </c>
      <c r="P3" s="1">
        <f>B4</f>
        <v>15481.768596890501</v>
      </c>
      <c r="Q3" s="1" t="s">
        <v>30</v>
      </c>
      <c r="R3" s="5"/>
      <c r="S3" s="5"/>
      <c r="T3" s="5"/>
      <c r="U3" s="4"/>
    </row>
    <row r="4" spans="1:24" ht="15" thickBot="1" x14ac:dyDescent="0.35">
      <c r="A4" s="29" t="s">
        <v>36</v>
      </c>
      <c r="B4" s="35">
        <f>2*PI()*B3</f>
        <v>15481.768596890501</v>
      </c>
      <c r="C4" s="31" t="s">
        <v>30</v>
      </c>
      <c r="D4" s="32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4"/>
    </row>
    <row r="5" spans="1:24" x14ac:dyDescent="0.3">
      <c r="A5" s="16" t="s">
        <v>37</v>
      </c>
      <c r="B5" s="33">
        <v>79.599999999999994</v>
      </c>
      <c r="C5" s="1" t="s">
        <v>30</v>
      </c>
      <c r="D5" s="1"/>
      <c r="E5" s="4"/>
      <c r="F5" s="33">
        <v>688</v>
      </c>
      <c r="G5" s="33" t="s">
        <v>38</v>
      </c>
      <c r="H5" s="1">
        <v>1</v>
      </c>
      <c r="I5" s="1" t="s">
        <v>27</v>
      </c>
      <c r="J5" s="1">
        <v>1</v>
      </c>
      <c r="K5" s="1" t="s">
        <v>28</v>
      </c>
      <c r="L5" s="1">
        <v>1</v>
      </c>
      <c r="M5" s="1" t="s">
        <v>29</v>
      </c>
      <c r="N5" s="1">
        <f>B6</f>
        <v>250.07077522574752</v>
      </c>
      <c r="O5" s="1" t="s">
        <v>30</v>
      </c>
      <c r="P5" s="1">
        <v>360</v>
      </c>
      <c r="Q5" s="1" t="s">
        <v>31</v>
      </c>
      <c r="R5" s="1" t="s">
        <v>32</v>
      </c>
      <c r="S5" s="34">
        <f>F5*H5*J5*L5*N5*P5/H6/J6/L6/N6/P6</f>
        <v>5.556493506493506E-2</v>
      </c>
      <c r="T5" s="34" t="s">
        <v>39</v>
      </c>
      <c r="U5" s="4"/>
    </row>
    <row r="6" spans="1:24" ht="15" thickBot="1" x14ac:dyDescent="0.35">
      <c r="A6" s="29" t="s">
        <v>40</v>
      </c>
      <c r="B6" s="35">
        <f>PI()*B5</f>
        <v>250.07077522574752</v>
      </c>
      <c r="C6" s="31" t="s">
        <v>41</v>
      </c>
      <c r="D6" s="32"/>
      <c r="E6" s="4"/>
      <c r="F6" s="5"/>
      <c r="G6" s="5"/>
      <c r="H6" s="36">
        <v>360</v>
      </c>
      <c r="I6" s="1" t="s">
        <v>35</v>
      </c>
      <c r="J6" s="1">
        <f>B1</f>
        <v>100</v>
      </c>
      <c r="K6" s="1" t="s">
        <v>27</v>
      </c>
      <c r="L6" s="1">
        <f>B2</f>
        <v>2</v>
      </c>
      <c r="M6" s="1" t="s">
        <v>28</v>
      </c>
      <c r="N6" s="1">
        <v>1</v>
      </c>
      <c r="O6" s="1" t="s">
        <v>29</v>
      </c>
      <c r="P6" s="1">
        <f>B4</f>
        <v>15481.768596890501</v>
      </c>
      <c r="Q6" s="1" t="s">
        <v>30</v>
      </c>
      <c r="R6" s="5"/>
      <c r="S6" s="5"/>
      <c r="T6" s="5"/>
      <c r="U6" s="4"/>
    </row>
    <row r="7" spans="1:24" x14ac:dyDescent="0.3">
      <c r="A7" s="38" t="s">
        <v>19</v>
      </c>
      <c r="B7">
        <f>F2/S2</f>
        <v>12381.909547738695</v>
      </c>
      <c r="C7" s="39" t="s">
        <v>24</v>
      </c>
      <c r="D7" s="16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4"/>
    </row>
    <row r="8" spans="1:24" ht="15" thickBot="1" x14ac:dyDescent="0.35">
      <c r="A8" s="40" t="s">
        <v>20</v>
      </c>
      <c r="B8" s="41">
        <f>F13/S13</f>
        <v>8.0762987012987004E-5</v>
      </c>
      <c r="C8" s="37" t="s">
        <v>24</v>
      </c>
      <c r="D8" s="16"/>
      <c r="E8" s="4"/>
      <c r="F8" s="33">
        <v>1</v>
      </c>
      <c r="G8" s="33" t="s">
        <v>46</v>
      </c>
      <c r="H8" s="1">
        <v>1</v>
      </c>
      <c r="I8" s="1" t="s">
        <v>29</v>
      </c>
      <c r="J8" s="1">
        <f>B6</f>
        <v>250.07077522574752</v>
      </c>
      <c r="K8" s="1" t="s">
        <v>30</v>
      </c>
      <c r="L8" s="1">
        <v>360</v>
      </c>
      <c r="M8" s="1" t="s">
        <v>31</v>
      </c>
      <c r="N8" s="1" t="s">
        <v>32</v>
      </c>
      <c r="O8" s="34">
        <f>F8*H8*J8*L8/H9/J9/L9</f>
        <v>4.4364433783989446E-5</v>
      </c>
      <c r="P8" s="34" t="s">
        <v>33</v>
      </c>
      <c r="Q8" s="5"/>
      <c r="R8" s="5"/>
      <c r="S8" s="5"/>
      <c r="T8" s="5"/>
      <c r="U8" s="5"/>
      <c r="V8" s="1"/>
      <c r="W8" s="1"/>
      <c r="X8" s="1"/>
    </row>
    <row r="9" spans="1:24" x14ac:dyDescent="0.3">
      <c r="A9" s="16" t="s">
        <v>42</v>
      </c>
      <c r="B9" s="33">
        <v>16</v>
      </c>
      <c r="C9" s="1" t="s">
        <v>43</v>
      </c>
      <c r="E9" s="4"/>
      <c r="F9" s="5"/>
      <c r="G9" s="5"/>
      <c r="H9" s="1">
        <f>B10</f>
        <v>131072</v>
      </c>
      <c r="I9" s="1" t="s">
        <v>46</v>
      </c>
      <c r="J9" s="1">
        <v>1</v>
      </c>
      <c r="K9" s="1" t="s">
        <v>29</v>
      </c>
      <c r="L9" s="1">
        <f>B4</f>
        <v>15481.768596890501</v>
      </c>
      <c r="M9" s="1" t="s">
        <v>30</v>
      </c>
      <c r="N9" s="5"/>
      <c r="O9" s="5"/>
      <c r="P9" s="5"/>
      <c r="Q9" s="5"/>
      <c r="R9" s="5"/>
      <c r="S9" s="5"/>
      <c r="T9" s="5"/>
      <c r="U9" s="5"/>
      <c r="V9" s="1"/>
      <c r="W9" s="1"/>
      <c r="X9" s="1"/>
    </row>
    <row r="10" spans="1:24" x14ac:dyDescent="0.3">
      <c r="A10" s="16" t="s">
        <v>44</v>
      </c>
      <c r="B10" s="34">
        <f>POWER(2,B9)*2</f>
        <v>131072</v>
      </c>
      <c r="C10" s="1" t="s">
        <v>45</v>
      </c>
      <c r="E10" s="4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1"/>
      <c r="W10" s="1"/>
      <c r="X10" s="1"/>
    </row>
    <row r="11" spans="1:24" ht="15" thickBot="1" x14ac:dyDescent="0.35">
      <c r="A11" s="29" t="s">
        <v>47</v>
      </c>
      <c r="B11" s="35">
        <f>B6*360/B10/B4</f>
        <v>4.4364433783989446E-5</v>
      </c>
      <c r="C11" s="37" t="s">
        <v>48</v>
      </c>
      <c r="E11" s="42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1"/>
      <c r="X11" s="1"/>
    </row>
    <row r="12" spans="1:24" x14ac:dyDescent="0.3">
      <c r="A12" s="38" t="s">
        <v>49</v>
      </c>
      <c r="B12">
        <f>1/B11</f>
        <v>22540.578447794531</v>
      </c>
      <c r="C12" s="39" t="s">
        <v>24</v>
      </c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4"/>
    </row>
    <row r="13" spans="1:24" ht="15" thickBot="1" x14ac:dyDescent="0.35">
      <c r="A13" s="40" t="s">
        <v>50</v>
      </c>
      <c r="B13" s="41">
        <f>B11</f>
        <v>4.4364433783989446E-5</v>
      </c>
      <c r="C13" s="37" t="s">
        <v>24</v>
      </c>
      <c r="E13" s="5"/>
      <c r="F13" s="33">
        <v>5</v>
      </c>
      <c r="G13" s="33" t="s">
        <v>33</v>
      </c>
      <c r="H13" s="1">
        <f>B4</f>
        <v>15481.768596890501</v>
      </c>
      <c r="I13" s="1" t="s">
        <v>30</v>
      </c>
      <c r="J13" s="1">
        <v>1</v>
      </c>
      <c r="K13" s="1" t="s">
        <v>29</v>
      </c>
      <c r="L13" s="1">
        <f>B2</f>
        <v>2</v>
      </c>
      <c r="M13" s="1" t="s">
        <v>28</v>
      </c>
      <c r="N13" s="1">
        <f>B1</f>
        <v>100</v>
      </c>
      <c r="O13" s="1" t="s">
        <v>27</v>
      </c>
      <c r="P13" s="1">
        <v>360</v>
      </c>
      <c r="Q13" s="1" t="s">
        <v>35</v>
      </c>
      <c r="R13" s="1" t="s">
        <v>32</v>
      </c>
      <c r="S13" s="34">
        <f>F13*H13*J13*L13*N13*P13/H14/J14/L14/N14/P14</f>
        <v>61909.547738693473</v>
      </c>
      <c r="T13" s="34" t="s">
        <v>26</v>
      </c>
      <c r="U13" s="4"/>
    </row>
    <row r="14" spans="1:24" x14ac:dyDescent="0.3">
      <c r="E14" s="4"/>
      <c r="F14" s="5"/>
      <c r="G14" s="5"/>
      <c r="H14" s="1">
        <v>360</v>
      </c>
      <c r="I14" s="1" t="s">
        <v>31</v>
      </c>
      <c r="J14" s="1">
        <f>B6</f>
        <v>250.07077522574752</v>
      </c>
      <c r="K14" s="1" t="s">
        <v>30</v>
      </c>
      <c r="L14" s="1">
        <v>1</v>
      </c>
      <c r="M14" s="1" t="s">
        <v>29</v>
      </c>
      <c r="N14" s="1">
        <v>1</v>
      </c>
      <c r="O14" s="1" t="s">
        <v>28</v>
      </c>
      <c r="P14" s="1">
        <v>1</v>
      </c>
      <c r="Q14" s="1" t="s">
        <v>27</v>
      </c>
      <c r="R14" s="5"/>
      <c r="S14" s="5"/>
      <c r="T14" s="5"/>
      <c r="U14" s="4"/>
    </row>
    <row r="15" spans="1:24" x14ac:dyDescent="0.3"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4"/>
    </row>
    <row r="16" spans="1:24" x14ac:dyDescent="0.3">
      <c r="E16" s="4"/>
      <c r="F16" s="33">
        <v>5.5564935000000003E-2</v>
      </c>
      <c r="G16" s="33" t="s">
        <v>39</v>
      </c>
      <c r="H16" s="1">
        <f>B4</f>
        <v>15481.768596890501</v>
      </c>
      <c r="I16" s="1" t="s">
        <v>30</v>
      </c>
      <c r="J16" s="1">
        <v>1</v>
      </c>
      <c r="K16" s="1" t="s">
        <v>29</v>
      </c>
      <c r="L16" s="1">
        <f>B2</f>
        <v>2</v>
      </c>
      <c r="M16" s="1" t="s">
        <v>28</v>
      </c>
      <c r="N16" s="1">
        <f>B1</f>
        <v>100</v>
      </c>
      <c r="O16" s="1" t="s">
        <v>27</v>
      </c>
      <c r="P16" s="1">
        <v>360</v>
      </c>
      <c r="Q16" s="1" t="s">
        <v>35</v>
      </c>
      <c r="R16" s="1" t="s">
        <v>32</v>
      </c>
      <c r="S16" s="34">
        <f>F16*H16*J16*L16*N16*P16/H17/J17/L17/N17/P17</f>
        <v>687.99999919597985</v>
      </c>
      <c r="T16" s="34" t="s">
        <v>38</v>
      </c>
      <c r="U16" s="4"/>
    </row>
    <row r="17" spans="5:21" x14ac:dyDescent="0.3">
      <c r="E17" s="4"/>
      <c r="F17" s="5"/>
      <c r="G17" s="5"/>
      <c r="H17" s="1">
        <v>360</v>
      </c>
      <c r="I17" s="1" t="s">
        <v>31</v>
      </c>
      <c r="J17" s="1">
        <f>B6</f>
        <v>250.07077522574752</v>
      </c>
      <c r="K17" s="1" t="s">
        <v>30</v>
      </c>
      <c r="L17" s="1">
        <v>1</v>
      </c>
      <c r="M17" s="1" t="s">
        <v>29</v>
      </c>
      <c r="N17" s="1">
        <v>1</v>
      </c>
      <c r="O17" s="1" t="s">
        <v>28</v>
      </c>
      <c r="P17" s="1">
        <v>1</v>
      </c>
      <c r="Q17" s="1" t="s">
        <v>27</v>
      </c>
      <c r="R17" s="5"/>
      <c r="S17" s="5"/>
      <c r="T17" s="5"/>
      <c r="U17" s="4"/>
    </row>
    <row r="18" spans="5:21" x14ac:dyDescent="0.3"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4"/>
    </row>
    <row r="19" spans="5:21" x14ac:dyDescent="0.3">
      <c r="E19" s="4"/>
      <c r="F19" s="44">
        <v>1</v>
      </c>
      <c r="G19" s="33" t="s">
        <v>33</v>
      </c>
      <c r="H19" s="1">
        <f>B4</f>
        <v>15481.768596890501</v>
      </c>
      <c r="I19" s="1" t="s">
        <v>30</v>
      </c>
      <c r="J19" s="1">
        <v>1</v>
      </c>
      <c r="K19" s="1" t="s">
        <v>29</v>
      </c>
      <c r="L19" s="1">
        <f>B10</f>
        <v>131072</v>
      </c>
      <c r="M19" s="1" t="s">
        <v>46</v>
      </c>
      <c r="N19" s="1" t="s">
        <v>32</v>
      </c>
      <c r="O19" s="45">
        <f>F19*H19*J19*L19/H20/J20/L20</f>
        <v>22540.578447794531</v>
      </c>
      <c r="P19" s="34" t="s">
        <v>46</v>
      </c>
      <c r="Q19" s="5"/>
      <c r="R19" s="5"/>
      <c r="S19" s="5"/>
      <c r="T19" s="5"/>
      <c r="U19" s="4"/>
    </row>
    <row r="20" spans="5:21" x14ac:dyDescent="0.3">
      <c r="E20" s="4"/>
      <c r="F20" s="5"/>
      <c r="G20" s="5"/>
      <c r="H20" s="1">
        <v>360</v>
      </c>
      <c r="I20" s="1" t="s">
        <v>31</v>
      </c>
      <c r="J20" s="1">
        <f>B6</f>
        <v>250.07077522574752</v>
      </c>
      <c r="K20" s="1" t="s">
        <v>30</v>
      </c>
      <c r="L20" s="1">
        <v>1</v>
      </c>
      <c r="M20" s="1" t="s">
        <v>29</v>
      </c>
      <c r="N20" s="5"/>
      <c r="O20" s="5"/>
      <c r="P20" s="5"/>
      <c r="Q20" s="5"/>
      <c r="R20" s="5"/>
      <c r="S20" s="5"/>
      <c r="T20" s="5"/>
      <c r="U20" s="4"/>
    </row>
    <row r="21" spans="5:21" x14ac:dyDescent="0.3"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4"/>
    </row>
    <row r="22" spans="5:21" x14ac:dyDescent="0.3"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5:21" x14ac:dyDescent="0.3"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5:21" x14ac:dyDescent="0.3"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5:21" x14ac:dyDescent="0.3"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4AA25-AE44-4DB4-89FA-E58CED3329C0}">
  <dimension ref="A1:R19"/>
  <sheetViews>
    <sheetView topLeftCell="D1" zoomScaleNormal="100" workbookViewId="0">
      <selection activeCell="A22" sqref="A22"/>
    </sheetView>
  </sheetViews>
  <sheetFormatPr baseColWidth="10" defaultRowHeight="14.4" x14ac:dyDescent="0.3"/>
  <cols>
    <col min="1" max="1" width="23" bestFit="1" customWidth="1"/>
    <col min="2" max="2" width="13.33203125" customWidth="1"/>
    <col min="3" max="3" width="2.88671875" customWidth="1"/>
    <col min="4" max="4" width="19" bestFit="1" customWidth="1"/>
    <col min="5" max="13" width="17.6640625" customWidth="1"/>
    <col min="14" max="14" width="2.88671875" customWidth="1"/>
  </cols>
  <sheetData>
    <row r="1" spans="1:18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</row>
    <row r="2" spans="1:18" x14ac:dyDescent="0.3">
      <c r="A2" s="2" t="s">
        <v>18</v>
      </c>
      <c r="B2" s="3">
        <v>688</v>
      </c>
      <c r="C2" s="4"/>
      <c r="D2" s="46" t="s">
        <v>16</v>
      </c>
      <c r="E2" s="26">
        <f>offset_Motor</f>
        <v>40.031999999999996</v>
      </c>
      <c r="F2" s="26">
        <f t="shared" ref="F2:M2" si="0">offset_Motor-F3/i_Motorization/correctionMotor</f>
        <v>35.031002831957238</v>
      </c>
      <c r="G2" s="26">
        <f t="shared" si="0"/>
        <v>30.030005663914473</v>
      </c>
      <c r="H2" s="26">
        <f t="shared" si="0"/>
        <v>25.029008495871711</v>
      </c>
      <c r="I2" s="26">
        <f t="shared" si="0"/>
        <v>20.028011327828949</v>
      </c>
      <c r="J2" s="26">
        <f t="shared" si="0"/>
        <v>15.027014159786187</v>
      </c>
      <c r="K2" s="26">
        <f t="shared" si="0"/>
        <v>10.026016991743425</v>
      </c>
      <c r="L2" s="26">
        <f t="shared" si="0"/>
        <v>5.0250198237006671</v>
      </c>
      <c r="M2" s="26">
        <f t="shared" si="0"/>
        <v>2.4022655657901737E-2</v>
      </c>
      <c r="N2" s="4"/>
    </row>
    <row r="3" spans="1:18" x14ac:dyDescent="0.3">
      <c r="A3" s="2" t="s">
        <v>3</v>
      </c>
      <c r="B3" s="3">
        <v>12</v>
      </c>
      <c r="C3" s="4"/>
      <c r="D3" s="47" t="s">
        <v>14</v>
      </c>
      <c r="E3" s="27">
        <v>0</v>
      </c>
      <c r="F3" s="27">
        <f>E3+61909.5477386935*5/5.0142</f>
        <v>61734.222546660989</v>
      </c>
      <c r="G3" s="27">
        <f t="shared" ref="G3:M3" si="1">F3+61909.5477386935*5/5.0142</f>
        <v>123468.44509332198</v>
      </c>
      <c r="H3" s="27">
        <f t="shared" si="1"/>
        <v>185202.66763998297</v>
      </c>
      <c r="I3" s="27">
        <f t="shared" si="1"/>
        <v>246936.89018664396</v>
      </c>
      <c r="J3" s="27">
        <f t="shared" si="1"/>
        <v>308671.11273330497</v>
      </c>
      <c r="K3" s="27">
        <f t="shared" si="1"/>
        <v>370405.33527996595</v>
      </c>
      <c r="L3" s="27">
        <f t="shared" si="1"/>
        <v>432139.55782662693</v>
      </c>
      <c r="M3" s="27">
        <f t="shared" si="1"/>
        <v>493873.78037328791</v>
      </c>
      <c r="N3" s="5"/>
      <c r="O3" s="1"/>
      <c r="P3" s="1"/>
      <c r="Q3" s="1"/>
      <c r="R3" s="1"/>
    </row>
    <row r="4" spans="1:18" x14ac:dyDescent="0.3">
      <c r="A4" s="4"/>
      <c r="B4" s="4"/>
      <c r="C4" s="4"/>
      <c r="D4" s="18" t="s">
        <v>0</v>
      </c>
      <c r="E4" s="3">
        <v>40.031999999999996</v>
      </c>
      <c r="F4" s="3">
        <v>35.029200000000003</v>
      </c>
      <c r="G4" s="3">
        <v>30.030899999999999</v>
      </c>
      <c r="H4" s="3">
        <v>25.028600000000001</v>
      </c>
      <c r="I4" s="3">
        <v>20.029299999999999</v>
      </c>
      <c r="J4" s="3">
        <v>15.026300000000001</v>
      </c>
      <c r="K4" s="3">
        <v>10.028</v>
      </c>
      <c r="L4" s="3">
        <v>5.0231000000000003</v>
      </c>
      <c r="M4" s="3">
        <v>0.02</v>
      </c>
      <c r="N4" s="4"/>
    </row>
    <row r="5" spans="1:18" x14ac:dyDescent="0.3">
      <c r="A5" s="2" t="s">
        <v>58</v>
      </c>
      <c r="B5" s="3">
        <f>i_Motorization</f>
        <v>12381.909547738695</v>
      </c>
      <c r="C5" s="4"/>
      <c r="D5" s="18" t="s">
        <v>1</v>
      </c>
      <c r="E5" s="3">
        <v>881531</v>
      </c>
      <c r="F5" s="3">
        <v>993956</v>
      </c>
      <c r="G5" s="3">
        <v>1106147</v>
      </c>
      <c r="H5" s="3">
        <v>1218523</v>
      </c>
      <c r="I5" s="3">
        <v>1330987</v>
      </c>
      <c r="J5" s="3">
        <v>1443435</v>
      </c>
      <c r="K5" s="3">
        <v>1555839</v>
      </c>
      <c r="L5" s="3">
        <v>1668239</v>
      </c>
      <c r="M5" s="3">
        <v>1780727</v>
      </c>
      <c r="N5" s="4"/>
    </row>
    <row r="6" spans="1:18" x14ac:dyDescent="0.3">
      <c r="A6" s="23" t="s">
        <v>21</v>
      </c>
      <c r="B6" s="12">
        <f>5/5.0152</f>
        <v>0.99696921359068424</v>
      </c>
      <c r="C6" s="4"/>
      <c r="D6" s="18" t="s">
        <v>2</v>
      </c>
      <c r="E6" s="3">
        <f t="shared" ref="E6:M6" si="2">offset_Encoder-E5/i_Encoder/correctionEncoder</f>
        <v>40.030788691776145</v>
      </c>
      <c r="F6" s="3">
        <f t="shared" si="2"/>
        <v>35.027954702347913</v>
      </c>
      <c r="G6" s="3">
        <f t="shared" si="2"/>
        <v>30.035533549508742</v>
      </c>
      <c r="H6" s="3">
        <f t="shared" si="2"/>
        <v>25.03488002586198</v>
      </c>
      <c r="I6" s="3">
        <f t="shared" si="2"/>
        <v>20.030310563668898</v>
      </c>
      <c r="J6" s="3">
        <f t="shared" si="2"/>
        <v>15.026453090302425</v>
      </c>
      <c r="K6" s="3">
        <f t="shared" si="2"/>
        <v>10.024553586209109</v>
      </c>
      <c r="L6" s="3">
        <f t="shared" si="2"/>
        <v>5.022832079322427</v>
      </c>
      <c r="M6" s="3">
        <f t="shared" si="2"/>
        <v>1.7194633889445754E-2</v>
      </c>
      <c r="N6" s="4"/>
    </row>
    <row r="7" spans="1:18" x14ac:dyDescent="0.3">
      <c r="A7" s="23" t="s">
        <v>54</v>
      </c>
      <c r="B7" s="12">
        <v>40.031999999999996</v>
      </c>
      <c r="C7" s="4"/>
      <c r="D7" s="18" t="s">
        <v>17</v>
      </c>
      <c r="E7" s="19">
        <v>493935.23671899998</v>
      </c>
      <c r="F7" s="19">
        <v>432201.01640600001</v>
      </c>
      <c r="G7" s="19">
        <v>370466.79609399999</v>
      </c>
      <c r="H7" s="19">
        <v>308732.57578100002</v>
      </c>
      <c r="I7" s="19">
        <v>246998.34843799999</v>
      </c>
      <c r="J7" s="19">
        <v>185264.12812499999</v>
      </c>
      <c r="K7" s="19">
        <v>123529.907813</v>
      </c>
      <c r="L7" s="19">
        <v>61795.6875</v>
      </c>
      <c r="M7" s="19">
        <v>61.460155999999998</v>
      </c>
      <c r="N7" s="4"/>
    </row>
    <row r="8" spans="1:18" x14ac:dyDescent="0.3">
      <c r="A8" s="20"/>
      <c r="B8" s="20"/>
      <c r="C8" s="4"/>
      <c r="D8" s="18" t="s">
        <v>55</v>
      </c>
      <c r="E8" s="3">
        <f t="shared" ref="E8:M8" si="3">E7/i_Motorization</f>
        <v>39.891685108393261</v>
      </c>
      <c r="F8" s="3">
        <f t="shared" si="3"/>
        <v>34.905845074997565</v>
      </c>
      <c r="G8" s="3">
        <f t="shared" si="3"/>
        <v>29.920005041682625</v>
      </c>
      <c r="H8" s="3">
        <f t="shared" si="3"/>
        <v>24.934165008286932</v>
      </c>
      <c r="I8" s="3">
        <f t="shared" si="3"/>
        <v>19.948324407127433</v>
      </c>
      <c r="J8" s="3">
        <f t="shared" si="3"/>
        <v>14.962484373731735</v>
      </c>
      <c r="K8" s="3">
        <f t="shared" si="3"/>
        <v>9.9766443404168008</v>
      </c>
      <c r="L8" s="3">
        <f t="shared" si="3"/>
        <v>4.9908043070211034</v>
      </c>
      <c r="M8" s="3">
        <f t="shared" si="3"/>
        <v>4.9637057808441555E-3</v>
      </c>
      <c r="N8" s="4"/>
    </row>
    <row r="9" spans="1:18" x14ac:dyDescent="0.3">
      <c r="A9" s="2" t="s">
        <v>59</v>
      </c>
      <c r="B9" s="3">
        <f>i_Encoder</f>
        <v>22540.578447794531</v>
      </c>
      <c r="C9" s="4"/>
      <c r="D9" s="4"/>
      <c r="E9" s="20"/>
      <c r="F9" s="20"/>
      <c r="G9" s="20"/>
      <c r="H9" s="20"/>
      <c r="I9" s="20"/>
      <c r="J9" s="20"/>
      <c r="K9" s="20"/>
      <c r="L9" s="20"/>
      <c r="M9" s="20"/>
      <c r="N9" s="4"/>
    </row>
    <row r="10" spans="1:18" x14ac:dyDescent="0.3">
      <c r="A10" s="23" t="s">
        <v>22</v>
      </c>
      <c r="B10" s="12">
        <f>5/5.0152</f>
        <v>0.99696921359068424</v>
      </c>
      <c r="C10" s="4"/>
      <c r="D10" s="4"/>
      <c r="E10" s="2" t="s">
        <v>15</v>
      </c>
      <c r="F10" s="12">
        <f t="shared" ref="F10:M10" si="4">F2-E2</f>
        <v>-5.0009971680427583</v>
      </c>
      <c r="G10" s="12">
        <f t="shared" si="4"/>
        <v>-5.0009971680427654</v>
      </c>
      <c r="H10" s="12">
        <f t="shared" si="4"/>
        <v>-5.0009971680427618</v>
      </c>
      <c r="I10" s="12">
        <f t="shared" si="4"/>
        <v>-5.0009971680427618</v>
      </c>
      <c r="J10" s="12">
        <f t="shared" si="4"/>
        <v>-5.0009971680427618</v>
      </c>
      <c r="K10" s="12">
        <f t="shared" si="4"/>
        <v>-5.0009971680427618</v>
      </c>
      <c r="L10" s="12">
        <f t="shared" si="4"/>
        <v>-5.0009971680427583</v>
      </c>
      <c r="M10" s="12">
        <f t="shared" si="4"/>
        <v>-5.0009971680427654</v>
      </c>
      <c r="N10" s="4"/>
    </row>
    <row r="11" spans="1:18" x14ac:dyDescent="0.3">
      <c r="A11" s="23" t="s">
        <v>51</v>
      </c>
      <c r="B11" s="12">
        <v>79.25830258579137</v>
      </c>
      <c r="C11" s="4"/>
      <c r="D11" s="4"/>
      <c r="E11" s="2" t="s">
        <v>5</v>
      </c>
      <c r="F11" s="12">
        <f>F4-E4</f>
        <v>-5.0027999999999935</v>
      </c>
      <c r="G11" s="12">
        <f t="shared" ref="G11:M11" si="5">G4-F4</f>
        <v>-4.998300000000004</v>
      </c>
      <c r="H11" s="12">
        <f t="shared" si="5"/>
        <v>-5.0022999999999982</v>
      </c>
      <c r="I11" s="12">
        <f t="shared" si="5"/>
        <v>-4.9993000000000016</v>
      </c>
      <c r="J11" s="12">
        <f t="shared" si="5"/>
        <v>-5.0029999999999983</v>
      </c>
      <c r="K11" s="12">
        <f t="shared" si="5"/>
        <v>-4.9983000000000004</v>
      </c>
      <c r="L11" s="12">
        <f t="shared" si="5"/>
        <v>-5.0049000000000001</v>
      </c>
      <c r="M11" s="12">
        <f t="shared" si="5"/>
        <v>-5.0031000000000008</v>
      </c>
      <c r="N11" s="4"/>
    </row>
    <row r="12" spans="1:18" x14ac:dyDescent="0.3">
      <c r="A12" s="20"/>
      <c r="B12" s="20"/>
      <c r="C12" s="4"/>
      <c r="D12" s="4"/>
      <c r="E12" s="2" t="s">
        <v>6</v>
      </c>
      <c r="F12" s="12">
        <f>F5-E5</f>
        <v>112425</v>
      </c>
      <c r="G12" s="12">
        <f t="shared" ref="G12:M15" si="6">G5-F5</f>
        <v>112191</v>
      </c>
      <c r="H12" s="12">
        <f t="shared" si="6"/>
        <v>112376</v>
      </c>
      <c r="I12" s="12">
        <f t="shared" si="6"/>
        <v>112464</v>
      </c>
      <c r="J12" s="12">
        <f t="shared" si="6"/>
        <v>112448</v>
      </c>
      <c r="K12" s="12">
        <f t="shared" si="6"/>
        <v>112404</v>
      </c>
      <c r="L12" s="12">
        <f t="shared" si="6"/>
        <v>112400</v>
      </c>
      <c r="M12" s="12">
        <f t="shared" si="6"/>
        <v>112488</v>
      </c>
      <c r="N12" s="4"/>
    </row>
    <row r="13" spans="1:18" x14ac:dyDescent="0.3">
      <c r="C13" s="4"/>
      <c r="D13" s="4"/>
      <c r="E13" s="2" t="s">
        <v>7</v>
      </c>
      <c r="F13" s="12">
        <f>F6-E6</f>
        <v>-5.0028339894282325</v>
      </c>
      <c r="G13" s="12">
        <f t="shared" si="6"/>
        <v>-4.9924211528391709</v>
      </c>
      <c r="H13" s="12">
        <f t="shared" si="6"/>
        <v>-5.0006535236467613</v>
      </c>
      <c r="I13" s="12">
        <f t="shared" si="6"/>
        <v>-5.0045694621930821</v>
      </c>
      <c r="J13" s="12">
        <f t="shared" si="6"/>
        <v>-5.0038574733664731</v>
      </c>
      <c r="K13" s="12">
        <f t="shared" si="6"/>
        <v>-5.0018995040933163</v>
      </c>
      <c r="L13" s="12">
        <f t="shared" si="6"/>
        <v>-5.0017215068866818</v>
      </c>
      <c r="M13" s="12">
        <f t="shared" si="6"/>
        <v>-5.0056374454329813</v>
      </c>
      <c r="N13" s="4"/>
    </row>
    <row r="14" spans="1:18" x14ac:dyDescent="0.3">
      <c r="C14" s="4"/>
      <c r="D14" s="4"/>
      <c r="E14" s="2" t="s">
        <v>56</v>
      </c>
      <c r="F14" s="12">
        <f>F7-E7</f>
        <v>-61734.220312999969</v>
      </c>
      <c r="G14" s="12">
        <f t="shared" si="6"/>
        <v>-61734.220312000019</v>
      </c>
      <c r="H14" s="12">
        <f t="shared" si="6"/>
        <v>-61734.220312999969</v>
      </c>
      <c r="I14" s="12">
        <f t="shared" si="6"/>
        <v>-61734.227343000035</v>
      </c>
      <c r="J14" s="12">
        <f t="shared" si="6"/>
        <v>-61734.220312999998</v>
      </c>
      <c r="K14" s="12">
        <f t="shared" si="6"/>
        <v>-61734.22031199999</v>
      </c>
      <c r="L14" s="12">
        <f t="shared" si="6"/>
        <v>-61734.220312999998</v>
      </c>
      <c r="M14" s="12">
        <f t="shared" si="6"/>
        <v>-61734.227343999999</v>
      </c>
      <c r="N14" s="4"/>
    </row>
    <row r="15" spans="1:18" x14ac:dyDescent="0.3">
      <c r="C15" s="4"/>
      <c r="D15" s="4"/>
      <c r="E15" s="2" t="s">
        <v>57</v>
      </c>
      <c r="F15" s="12">
        <f>F8-E8</f>
        <v>-4.9858400333956965</v>
      </c>
      <c r="G15" s="12">
        <f t="shared" si="6"/>
        <v>-4.9858400333149397</v>
      </c>
      <c r="H15" s="12">
        <f t="shared" si="6"/>
        <v>-4.9858400333956929</v>
      </c>
      <c r="I15" s="12">
        <f t="shared" si="6"/>
        <v>-4.9858406011594987</v>
      </c>
      <c r="J15" s="12">
        <f t="shared" si="6"/>
        <v>-4.9858400333956983</v>
      </c>
      <c r="K15" s="12">
        <f t="shared" si="6"/>
        <v>-4.9858400333149344</v>
      </c>
      <c r="L15" s="12">
        <f t="shared" si="6"/>
        <v>-4.9858400333956974</v>
      </c>
      <c r="M15" s="12">
        <f t="shared" si="6"/>
        <v>-4.985840601240259</v>
      </c>
      <c r="N15" s="4"/>
    </row>
    <row r="16" spans="1:18" x14ac:dyDescent="0.3">
      <c r="A16" s="20"/>
      <c r="B16" s="2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3">
      <c r="A17" s="2" t="s">
        <v>107</v>
      </c>
      <c r="B17" s="3">
        <f>4*STDEV(E17:M17)</f>
        <v>7.4472720450187791E-3</v>
      </c>
      <c r="C17" s="4"/>
      <c r="D17" s="2" t="s">
        <v>52</v>
      </c>
      <c r="E17" s="12">
        <f t="shared" ref="E17:M17" si="7">E2-E4</f>
        <v>0</v>
      </c>
      <c r="F17" s="12">
        <f>F2-F4</f>
        <v>1.8028319572351847E-3</v>
      </c>
      <c r="G17" s="12">
        <f t="shared" si="7"/>
        <v>-8.9433608552624833E-4</v>
      </c>
      <c r="H17" s="12">
        <f t="shared" si="7"/>
        <v>4.0849587171010171E-4</v>
      </c>
      <c r="I17" s="12">
        <f t="shared" si="7"/>
        <v>-1.2886721710501092E-3</v>
      </c>
      <c r="J17" s="12">
        <f t="shared" si="7"/>
        <v>7.1415978618638576E-4</v>
      </c>
      <c r="K17" s="12">
        <f t="shared" si="7"/>
        <v>-1.9830082565750473E-3</v>
      </c>
      <c r="L17" s="12">
        <f t="shared" si="7"/>
        <v>1.9198237006667895E-3</v>
      </c>
      <c r="M17" s="12">
        <f t="shared" si="7"/>
        <v>4.0226556579017365E-3</v>
      </c>
      <c r="N17" s="4"/>
    </row>
    <row r="18" spans="1:14" x14ac:dyDescent="0.3">
      <c r="A18" s="2" t="s">
        <v>108</v>
      </c>
      <c r="B18" s="3">
        <f>4*STDEV(E18:M18)</f>
        <v>1.2940048700438616E-2</v>
      </c>
      <c r="C18" s="4"/>
      <c r="D18" s="2" t="s">
        <v>53</v>
      </c>
      <c r="E18" s="12">
        <f>E6-E4</f>
        <v>-1.2113082238514039E-3</v>
      </c>
      <c r="F18" s="12">
        <f t="shared" ref="F18:M18" si="8">F6-F4</f>
        <v>-1.2452976520904713E-3</v>
      </c>
      <c r="G18" s="12">
        <f t="shared" si="8"/>
        <v>4.6335495087426182E-3</v>
      </c>
      <c r="H18" s="12">
        <f t="shared" si="8"/>
        <v>6.2800258619795102E-3</v>
      </c>
      <c r="I18" s="12">
        <f t="shared" si="8"/>
        <v>1.0105636688990671E-3</v>
      </c>
      <c r="J18" s="12">
        <f t="shared" si="8"/>
        <v>1.5309030242427468E-4</v>
      </c>
      <c r="K18" s="12">
        <f t="shared" si="8"/>
        <v>-3.4464137908916115E-3</v>
      </c>
      <c r="L18" s="12">
        <f t="shared" si="8"/>
        <v>-2.6792067757330784E-4</v>
      </c>
      <c r="M18" s="12">
        <f t="shared" si="8"/>
        <v>-2.8053661105542464E-3</v>
      </c>
      <c r="N18" s="4"/>
    </row>
    <row r="19" spans="1:14" x14ac:dyDescent="0.3">
      <c r="A19" s="20"/>
      <c r="B19" s="20"/>
      <c r="C19" s="4"/>
      <c r="D19" s="4"/>
      <c r="E19" s="20"/>
      <c r="F19" s="20"/>
      <c r="G19" s="20"/>
      <c r="H19" s="20"/>
      <c r="I19" s="20"/>
      <c r="J19" s="20"/>
      <c r="K19" s="20"/>
      <c r="L19" s="20"/>
      <c r="M19" s="20"/>
      <c r="N19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1190-EE3F-415D-AC6B-96CC4A2AF436}">
  <dimension ref="A1:R37"/>
  <sheetViews>
    <sheetView topLeftCell="C7" zoomScale="85" zoomScaleNormal="85" workbookViewId="0">
      <selection activeCell="F45" sqref="F45"/>
    </sheetView>
  </sheetViews>
  <sheetFormatPr baseColWidth="10" defaultRowHeight="14.4" x14ac:dyDescent="0.3"/>
  <cols>
    <col min="1" max="1" width="24.44140625" customWidth="1"/>
    <col min="2" max="2" width="12" bestFit="1" customWidth="1"/>
    <col min="4" max="4" width="16.6640625" bestFit="1" customWidth="1"/>
    <col min="5" max="5" width="15.6640625" customWidth="1"/>
    <col min="6" max="6" width="17.44140625" bestFit="1" customWidth="1"/>
    <col min="7" max="7" width="17.44140625" customWidth="1"/>
    <col min="8" max="8" width="18.6640625" bestFit="1" customWidth="1"/>
    <col min="9" max="17" width="15.6640625" customWidth="1"/>
  </cols>
  <sheetData>
    <row r="1" spans="1:18" x14ac:dyDescent="0.3">
      <c r="A1" s="4"/>
      <c r="B1" s="4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4"/>
    </row>
    <row r="2" spans="1:18" x14ac:dyDescent="0.3">
      <c r="A2" s="2" t="s">
        <v>60</v>
      </c>
      <c r="B2" s="3">
        <v>688</v>
      </c>
      <c r="C2" s="5"/>
      <c r="D2" s="6"/>
      <c r="E2" s="8" t="s">
        <v>64</v>
      </c>
      <c r="F2" s="7"/>
      <c r="G2" s="7"/>
      <c r="H2" s="9">
        <v>1</v>
      </c>
      <c r="I2" s="9">
        <v>2</v>
      </c>
      <c r="J2" s="9">
        <v>3</v>
      </c>
      <c r="K2" s="9">
        <v>4</v>
      </c>
      <c r="L2" s="9">
        <v>5</v>
      </c>
      <c r="M2" s="9">
        <v>6</v>
      </c>
      <c r="N2" s="9">
        <v>7</v>
      </c>
      <c r="O2" s="9">
        <v>8</v>
      </c>
      <c r="P2" s="9">
        <v>9</v>
      </c>
      <c r="Q2" s="9">
        <v>10</v>
      </c>
      <c r="R2" s="4"/>
    </row>
    <row r="3" spans="1:18" x14ac:dyDescent="0.3">
      <c r="A3" s="2" t="s">
        <v>3</v>
      </c>
      <c r="B3" s="3">
        <v>12</v>
      </c>
      <c r="C3" s="4"/>
      <c r="D3" s="10" t="s">
        <v>8</v>
      </c>
      <c r="E3" s="11">
        <v>1E-4</v>
      </c>
      <c r="F3" s="2" t="s">
        <v>80</v>
      </c>
      <c r="G3" s="48">
        <f>E3</f>
        <v>1E-4</v>
      </c>
      <c r="H3" s="12">
        <v>-2.9999999999999997E-4</v>
      </c>
      <c r="I3" s="12">
        <v>-6.9999999999999999E-4</v>
      </c>
      <c r="J3" s="12">
        <v>-5.0000000000000001E-4</v>
      </c>
      <c r="K3" s="12">
        <v>-5.9999999999999995E-4</v>
      </c>
      <c r="L3" s="12">
        <v>-5.0000000000000001E-4</v>
      </c>
      <c r="M3" s="12">
        <v>-1E-3</v>
      </c>
      <c r="N3" s="12">
        <v>-8.0000000000000004E-4</v>
      </c>
      <c r="O3" s="12">
        <v>-5.0000000000000001E-4</v>
      </c>
      <c r="P3" s="12">
        <v>-8.0000000000000004E-4</v>
      </c>
      <c r="Q3" s="12">
        <v>-6.9999999999999999E-4</v>
      </c>
      <c r="R3" s="4"/>
    </row>
    <row r="4" spans="1:18" x14ac:dyDescent="0.3">
      <c r="A4" s="2" t="s">
        <v>63</v>
      </c>
      <c r="B4" s="3">
        <f>1/i_Encoder</f>
        <v>4.4364433783989446E-5</v>
      </c>
      <c r="C4" s="4"/>
      <c r="D4" s="10" t="s">
        <v>9</v>
      </c>
      <c r="E4" s="3">
        <v>0.5</v>
      </c>
      <c r="F4" s="2" t="s">
        <v>81</v>
      </c>
      <c r="G4" s="4"/>
      <c r="H4" s="10">
        <v>1781043</v>
      </c>
      <c r="I4" s="10">
        <v>1781044</v>
      </c>
      <c r="J4" s="10">
        <v>1781044</v>
      </c>
      <c r="K4" s="10">
        <v>1781047</v>
      </c>
      <c r="L4" s="10">
        <v>1781051</v>
      </c>
      <c r="M4" s="10">
        <v>1781051</v>
      </c>
      <c r="N4" s="10">
        <v>1781052</v>
      </c>
      <c r="O4" s="10">
        <v>1781055</v>
      </c>
      <c r="P4" s="10">
        <v>1781056</v>
      </c>
      <c r="Q4" s="10">
        <v>1781059</v>
      </c>
      <c r="R4" s="4"/>
    </row>
    <row r="5" spans="1:18" x14ac:dyDescent="0.3">
      <c r="A5" s="2" t="s">
        <v>58</v>
      </c>
      <c r="B5" s="3">
        <f>i_Motorization</f>
        <v>12381.909547738695</v>
      </c>
      <c r="C5" s="4"/>
      <c r="D5" s="10" t="s">
        <v>62</v>
      </c>
      <c r="E5" s="3">
        <f>6190.954774*$B$7</f>
        <v>6172.1913124102721</v>
      </c>
      <c r="F5" s="2" t="s">
        <v>82</v>
      </c>
      <c r="G5" s="4"/>
      <c r="H5" s="10">
        <f t="shared" ref="H5:Q5" si="0">offset_Encoder-H4/i_Encoder/correctionEncoder</f>
        <v>3.1328545640434413E-3</v>
      </c>
      <c r="I5" s="10">
        <f t="shared" si="0"/>
        <v>3.0883552623919286E-3</v>
      </c>
      <c r="J5" s="10">
        <f t="shared" si="0"/>
        <v>3.0883552623919286E-3</v>
      </c>
      <c r="K5" s="10">
        <f t="shared" si="0"/>
        <v>2.9548573573947579E-3</v>
      </c>
      <c r="L5" s="10">
        <f t="shared" si="0"/>
        <v>2.7768601507460744E-3</v>
      </c>
      <c r="M5" s="10">
        <f t="shared" si="0"/>
        <v>2.7768601507460744E-3</v>
      </c>
      <c r="N5" s="10">
        <f t="shared" si="0"/>
        <v>2.7323608490803508E-3</v>
      </c>
      <c r="O5" s="10">
        <f t="shared" si="0"/>
        <v>2.5988629440973909E-3</v>
      </c>
      <c r="P5" s="10">
        <f t="shared" si="0"/>
        <v>2.5543636424316674E-3</v>
      </c>
      <c r="Q5" s="10">
        <f t="shared" si="0"/>
        <v>2.4208657374487075E-3</v>
      </c>
      <c r="R5" s="4"/>
    </row>
    <row r="6" spans="1:18" x14ac:dyDescent="0.3">
      <c r="A6" s="2" t="s">
        <v>61</v>
      </c>
      <c r="B6" s="3">
        <f>1/i_Motorization</f>
        <v>8.0762987012987004E-5</v>
      </c>
      <c r="C6" s="4"/>
      <c r="D6" s="10"/>
      <c r="E6" s="12"/>
      <c r="F6" s="2" t="s">
        <v>83</v>
      </c>
      <c r="G6" s="4"/>
      <c r="H6" s="13">
        <v>236.636719</v>
      </c>
      <c r="I6" s="13">
        <v>236.636719</v>
      </c>
      <c r="J6" s="13">
        <v>236.62968799999999</v>
      </c>
      <c r="K6" s="13">
        <v>236.62968799999999</v>
      </c>
      <c r="L6" s="13">
        <v>236.636719</v>
      </c>
      <c r="M6" s="13">
        <v>236.636719</v>
      </c>
      <c r="N6" s="13">
        <v>236.62968799999999</v>
      </c>
      <c r="O6" s="13">
        <v>236.636719</v>
      </c>
      <c r="P6" s="13">
        <v>236.62968799999999</v>
      </c>
      <c r="Q6" s="13">
        <v>236.62968799999999</v>
      </c>
      <c r="R6" s="4"/>
    </row>
    <row r="7" spans="1:18" x14ac:dyDescent="0.3">
      <c r="A7" s="23" t="s">
        <v>21</v>
      </c>
      <c r="B7" s="12">
        <f>correctionMotor</f>
        <v>0.99696921359068424</v>
      </c>
      <c r="C7" s="4"/>
      <c r="D7" s="10"/>
      <c r="E7" s="12"/>
      <c r="F7" s="2" t="s">
        <v>84</v>
      </c>
      <c r="G7" s="4"/>
      <c r="H7" s="12">
        <f t="shared" ref="H7:Q7" si="1">H6*1/i_Motorization</f>
        <v>1.9111488263392856E-2</v>
      </c>
      <c r="I7" s="12">
        <f t="shared" si="1"/>
        <v>1.9111488263392856E-2</v>
      </c>
      <c r="J7" s="12">
        <f t="shared" si="1"/>
        <v>1.9110920418831168E-2</v>
      </c>
      <c r="K7" s="12">
        <f t="shared" si="1"/>
        <v>1.9110920418831168E-2</v>
      </c>
      <c r="L7" s="12">
        <f t="shared" si="1"/>
        <v>1.9111488263392856E-2</v>
      </c>
      <c r="M7" s="12">
        <f t="shared" si="1"/>
        <v>1.9111488263392856E-2</v>
      </c>
      <c r="N7" s="12">
        <f t="shared" si="1"/>
        <v>1.9110920418831168E-2</v>
      </c>
      <c r="O7" s="12">
        <f t="shared" si="1"/>
        <v>1.9111488263392856E-2</v>
      </c>
      <c r="P7" s="12">
        <f t="shared" si="1"/>
        <v>1.9110920418831168E-2</v>
      </c>
      <c r="Q7" s="12">
        <f t="shared" si="1"/>
        <v>1.9110920418831168E-2</v>
      </c>
      <c r="R7" s="4"/>
    </row>
    <row r="8" spans="1:18" x14ac:dyDescent="0.3">
      <c r="A8" s="23" t="s">
        <v>22</v>
      </c>
      <c r="B8" s="12">
        <f>correctionEncoder</f>
        <v>0.99696921359068424</v>
      </c>
      <c r="C8" s="4"/>
      <c r="D8" s="6"/>
      <c r="E8" s="7"/>
      <c r="F8" s="14"/>
      <c r="G8" s="4"/>
      <c r="H8" s="7"/>
      <c r="I8" s="7"/>
      <c r="J8" s="14"/>
      <c r="K8" s="7"/>
      <c r="L8" s="14"/>
      <c r="M8" s="7"/>
      <c r="N8" s="7"/>
      <c r="O8" s="7"/>
      <c r="P8" s="7"/>
      <c r="Q8" s="7"/>
      <c r="R8" s="4"/>
    </row>
    <row r="9" spans="1:18" x14ac:dyDescent="0.3">
      <c r="A9" s="20"/>
      <c r="B9" s="20"/>
      <c r="C9" s="4"/>
      <c r="D9" s="15"/>
      <c r="E9" s="4"/>
      <c r="F9" s="4"/>
      <c r="G9" s="4"/>
      <c r="H9" s="2" t="s">
        <v>5</v>
      </c>
      <c r="I9" s="12">
        <f>I3-H3</f>
        <v>-4.0000000000000002E-4</v>
      </c>
      <c r="J9" s="12">
        <f t="shared" ref="J9:Q9" si="2">J3-I3</f>
        <v>1.9999999999999998E-4</v>
      </c>
      <c r="K9" s="12">
        <f t="shared" si="2"/>
        <v>-9.9999999999999937E-5</v>
      </c>
      <c r="L9" s="12">
        <f t="shared" si="2"/>
        <v>9.9999999999999937E-5</v>
      </c>
      <c r="M9" s="12">
        <f t="shared" si="2"/>
        <v>-5.0000000000000001E-4</v>
      </c>
      <c r="N9" s="12">
        <f t="shared" si="2"/>
        <v>1.9999999999999998E-4</v>
      </c>
      <c r="O9" s="12">
        <f t="shared" si="2"/>
        <v>3.0000000000000003E-4</v>
      </c>
      <c r="P9" s="12">
        <f t="shared" si="2"/>
        <v>-3.0000000000000003E-4</v>
      </c>
      <c r="Q9" s="12">
        <f t="shared" si="2"/>
        <v>1.0000000000000005E-4</v>
      </c>
      <c r="R9" s="4"/>
    </row>
    <row r="10" spans="1:18" x14ac:dyDescent="0.3">
      <c r="C10" s="4"/>
      <c r="D10" s="15"/>
      <c r="E10" s="4"/>
      <c r="F10" s="4"/>
      <c r="G10" s="4"/>
      <c r="H10" s="2" t="s">
        <v>6</v>
      </c>
      <c r="I10" s="12">
        <f t="shared" ref="I10:Q13" si="3">I4-H4</f>
        <v>1</v>
      </c>
      <c r="J10" s="12">
        <f t="shared" si="3"/>
        <v>0</v>
      </c>
      <c r="K10" s="12">
        <f t="shared" si="3"/>
        <v>3</v>
      </c>
      <c r="L10" s="12">
        <f t="shared" si="3"/>
        <v>4</v>
      </c>
      <c r="M10" s="12">
        <f t="shared" si="3"/>
        <v>0</v>
      </c>
      <c r="N10" s="12">
        <f t="shared" si="3"/>
        <v>1</v>
      </c>
      <c r="O10" s="12">
        <f t="shared" si="3"/>
        <v>3</v>
      </c>
      <c r="P10" s="12">
        <f t="shared" si="3"/>
        <v>1</v>
      </c>
      <c r="Q10" s="12">
        <f t="shared" si="3"/>
        <v>3</v>
      </c>
      <c r="R10" s="4"/>
    </row>
    <row r="11" spans="1:18" x14ac:dyDescent="0.3">
      <c r="C11" s="4"/>
      <c r="D11" s="15"/>
      <c r="E11" s="4"/>
      <c r="F11" s="4"/>
      <c r="G11" s="4"/>
      <c r="H11" s="2" t="s">
        <v>7</v>
      </c>
      <c r="I11" s="12">
        <f t="shared" si="3"/>
        <v>-4.4499301651512724E-5</v>
      </c>
      <c r="J11" s="12">
        <f t="shared" si="3"/>
        <v>0</v>
      </c>
      <c r="K11" s="12">
        <f t="shared" si="3"/>
        <v>-1.3349790499717074E-4</v>
      </c>
      <c r="L11" s="12">
        <f t="shared" si="3"/>
        <v>-1.7799720664868346E-4</v>
      </c>
      <c r="M11" s="12">
        <f t="shared" si="3"/>
        <v>0</v>
      </c>
      <c r="N11" s="12">
        <f t="shared" si="3"/>
        <v>-4.4499301665723578E-5</v>
      </c>
      <c r="O11" s="12">
        <f t="shared" si="3"/>
        <v>-1.3349790498295988E-4</v>
      </c>
      <c r="P11" s="12">
        <f t="shared" si="3"/>
        <v>-4.4499301665723578E-5</v>
      </c>
      <c r="Q11" s="12">
        <f t="shared" si="3"/>
        <v>-1.3349790498295988E-4</v>
      </c>
      <c r="R11" s="4"/>
    </row>
    <row r="12" spans="1:18" x14ac:dyDescent="0.3">
      <c r="C12" s="4"/>
      <c r="D12" s="15"/>
      <c r="E12" s="4"/>
      <c r="F12" s="4"/>
      <c r="G12" s="4"/>
      <c r="H12" s="2" t="s">
        <v>56</v>
      </c>
      <c r="I12" s="12">
        <f t="shared" si="3"/>
        <v>0</v>
      </c>
      <c r="J12" s="12">
        <f t="shared" si="3"/>
        <v>-7.0310000000119999E-3</v>
      </c>
      <c r="K12" s="12">
        <f t="shared" si="3"/>
        <v>0</v>
      </c>
      <c r="L12" s="12">
        <f t="shared" si="3"/>
        <v>7.0310000000119999E-3</v>
      </c>
      <c r="M12" s="12">
        <f t="shared" si="3"/>
        <v>0</v>
      </c>
      <c r="N12" s="12">
        <f t="shared" si="3"/>
        <v>-7.0310000000119999E-3</v>
      </c>
      <c r="O12" s="12">
        <f t="shared" si="3"/>
        <v>7.0310000000119999E-3</v>
      </c>
      <c r="P12" s="12">
        <f t="shared" si="3"/>
        <v>-7.0310000000119999E-3</v>
      </c>
      <c r="Q12" s="12">
        <f t="shared" si="3"/>
        <v>0</v>
      </c>
      <c r="R12" s="4"/>
    </row>
    <row r="13" spans="1:18" x14ac:dyDescent="0.3">
      <c r="C13" s="4"/>
      <c r="D13" s="15"/>
      <c r="E13" s="4"/>
      <c r="F13" s="4"/>
      <c r="G13" s="4"/>
      <c r="H13" s="2" t="s">
        <v>57</v>
      </c>
      <c r="I13" s="12">
        <f t="shared" si="3"/>
        <v>0</v>
      </c>
      <c r="J13" s="12">
        <f t="shared" si="3"/>
        <v>-5.6784456168787467E-7</v>
      </c>
      <c r="K13" s="12">
        <f t="shared" si="3"/>
        <v>0</v>
      </c>
      <c r="L13" s="12">
        <f t="shared" si="3"/>
        <v>5.6784456168787467E-7</v>
      </c>
      <c r="M13" s="12">
        <f t="shared" si="3"/>
        <v>0</v>
      </c>
      <c r="N13" s="12">
        <f t="shared" si="3"/>
        <v>-5.6784456168787467E-7</v>
      </c>
      <c r="O13" s="12">
        <f t="shared" si="3"/>
        <v>5.6784456168787467E-7</v>
      </c>
      <c r="P13" s="12">
        <f t="shared" si="3"/>
        <v>-5.6784456168787467E-7</v>
      </c>
      <c r="Q13" s="12">
        <f t="shared" si="3"/>
        <v>0</v>
      </c>
      <c r="R13" s="4"/>
    </row>
    <row r="14" spans="1:18" x14ac:dyDescent="0.3">
      <c r="C14" s="4"/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3">
      <c r="D15" s="16"/>
    </row>
    <row r="16" spans="1:18" x14ac:dyDescent="0.3">
      <c r="C16" s="4"/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3:18" x14ac:dyDescent="0.3">
      <c r="C17" s="4"/>
      <c r="D17" s="6"/>
      <c r="E17" s="8" t="s">
        <v>65</v>
      </c>
      <c r="F17" s="7"/>
      <c r="G17" s="7"/>
      <c r="H17" s="9">
        <v>1</v>
      </c>
      <c r="I17" s="9">
        <v>2</v>
      </c>
      <c r="J17" s="9">
        <v>3</v>
      </c>
      <c r="K17" s="9">
        <v>4</v>
      </c>
      <c r="L17" s="9">
        <v>5</v>
      </c>
      <c r="M17" s="9">
        <v>6</v>
      </c>
      <c r="N17" s="9">
        <v>7</v>
      </c>
      <c r="O17" s="9">
        <v>8</v>
      </c>
      <c r="P17" s="9">
        <v>9</v>
      </c>
      <c r="Q17" s="9">
        <v>10</v>
      </c>
      <c r="R17" s="4"/>
    </row>
    <row r="18" spans="3:18" x14ac:dyDescent="0.3">
      <c r="C18" s="4"/>
      <c r="D18" s="10" t="s">
        <v>8</v>
      </c>
      <c r="E18" s="11">
        <v>-6.9999999999999999E-4</v>
      </c>
      <c r="F18" s="2" t="s">
        <v>75</v>
      </c>
      <c r="G18" s="7"/>
      <c r="H18" s="12">
        <v>2.6200000000000001E-2</v>
      </c>
      <c r="I18" s="12">
        <v>2.63E-2</v>
      </c>
      <c r="J18" s="12">
        <v>2.63E-2</v>
      </c>
      <c r="K18" s="12">
        <v>2.6100000000000002E-2</v>
      </c>
      <c r="L18" s="12">
        <v>2.64E-2</v>
      </c>
      <c r="M18" s="12">
        <v>2.6700000000000002E-2</v>
      </c>
      <c r="N18" s="12">
        <v>2.6100000000000002E-2</v>
      </c>
      <c r="O18" s="12">
        <v>2.5999999999999999E-2</v>
      </c>
      <c r="P18" s="12">
        <v>2.64E-2</v>
      </c>
      <c r="Q18" s="12">
        <v>2.6200000000000001E-2</v>
      </c>
      <c r="R18" s="4"/>
    </row>
    <row r="19" spans="3:18" x14ac:dyDescent="0.3">
      <c r="C19" s="4"/>
      <c r="D19" s="10" t="s">
        <v>9</v>
      </c>
      <c r="E19" s="3">
        <v>0.5</v>
      </c>
      <c r="F19" s="2" t="s">
        <v>76</v>
      </c>
      <c r="G19" s="7"/>
      <c r="H19" s="10">
        <v>1780591</v>
      </c>
      <c r="I19" s="10">
        <v>1780591</v>
      </c>
      <c r="J19" s="10">
        <v>1780588</v>
      </c>
      <c r="K19" s="10">
        <v>1780588</v>
      </c>
      <c r="L19" s="10">
        <v>1780587</v>
      </c>
      <c r="M19" s="10">
        <v>1780587</v>
      </c>
      <c r="N19" s="10">
        <v>1780587</v>
      </c>
      <c r="O19" s="10">
        <v>1780587</v>
      </c>
      <c r="P19" s="10">
        <v>1780588</v>
      </c>
      <c r="Q19" s="10">
        <v>1780588</v>
      </c>
      <c r="R19" s="4"/>
    </row>
    <row r="20" spans="3:18" x14ac:dyDescent="0.3">
      <c r="C20" s="4"/>
      <c r="D20" s="10" t="s">
        <v>62</v>
      </c>
      <c r="E20" s="3">
        <f>6190.954774*$B$7</f>
        <v>6172.1913124102721</v>
      </c>
      <c r="F20" s="2" t="s">
        <v>77</v>
      </c>
      <c r="G20" s="4"/>
      <c r="H20" s="10">
        <f t="shared" ref="H20:Q20" si="4">offset_Encoder-H19/i_Encoder/correctionEncoder</f>
        <v>2.3246538915586257E-2</v>
      </c>
      <c r="I20" s="10">
        <f t="shared" si="4"/>
        <v>2.3246538915586257E-2</v>
      </c>
      <c r="J20" s="10">
        <f t="shared" si="4"/>
        <v>2.3380036820569217E-2</v>
      </c>
      <c r="K20" s="10">
        <f t="shared" si="4"/>
        <v>2.3380036820569217E-2</v>
      </c>
      <c r="L20" s="10">
        <f t="shared" si="4"/>
        <v>2.342453612223494E-2</v>
      </c>
      <c r="M20" s="10">
        <f t="shared" si="4"/>
        <v>2.342453612223494E-2</v>
      </c>
      <c r="N20" s="10">
        <f t="shared" si="4"/>
        <v>2.342453612223494E-2</v>
      </c>
      <c r="O20" s="10">
        <f t="shared" si="4"/>
        <v>2.342453612223494E-2</v>
      </c>
      <c r="P20" s="10">
        <f t="shared" si="4"/>
        <v>2.3380036820569217E-2</v>
      </c>
      <c r="Q20" s="10">
        <f t="shared" si="4"/>
        <v>2.3380036820569217E-2</v>
      </c>
      <c r="R20" s="4"/>
    </row>
    <row r="21" spans="3:18" x14ac:dyDescent="0.3">
      <c r="C21" s="4"/>
      <c r="D21" s="10"/>
      <c r="E21" s="12"/>
      <c r="F21" s="2" t="s">
        <v>78</v>
      </c>
      <c r="G21" s="4"/>
      <c r="H21" s="13">
        <v>148.232812</v>
      </c>
      <c r="I21" s="13">
        <v>148.232812</v>
      </c>
      <c r="J21" s="13">
        <v>148.232812</v>
      </c>
      <c r="K21" s="13">
        <v>148.232812</v>
      </c>
      <c r="L21" s="13">
        <v>148.232812</v>
      </c>
      <c r="M21" s="13">
        <v>148.232812</v>
      </c>
      <c r="N21" s="13">
        <v>148.232812</v>
      </c>
      <c r="O21" s="13">
        <v>148.22578100000001</v>
      </c>
      <c r="P21" s="13">
        <v>148.232812</v>
      </c>
      <c r="Q21" s="13">
        <v>148.22578100000001</v>
      </c>
      <c r="R21" s="4"/>
    </row>
    <row r="22" spans="3:18" x14ac:dyDescent="0.3">
      <c r="C22" s="4"/>
      <c r="D22" s="10"/>
      <c r="E22" s="12"/>
      <c r="F22" s="2" t="s">
        <v>79</v>
      </c>
      <c r="G22" s="4"/>
      <c r="H22" s="12">
        <f t="shared" ref="H22:Q22" si="5">H21*1/i_Motorization</f>
        <v>1.1971724670454544E-2</v>
      </c>
      <c r="I22" s="12">
        <f t="shared" si="5"/>
        <v>1.1971724670454544E-2</v>
      </c>
      <c r="J22" s="12">
        <f t="shared" si="5"/>
        <v>1.1971724670454544E-2</v>
      </c>
      <c r="K22" s="12">
        <f t="shared" si="5"/>
        <v>1.1971724670454544E-2</v>
      </c>
      <c r="L22" s="12">
        <f t="shared" si="5"/>
        <v>1.1971724670454544E-2</v>
      </c>
      <c r="M22" s="12">
        <f t="shared" si="5"/>
        <v>1.1971724670454544E-2</v>
      </c>
      <c r="N22" s="12">
        <f t="shared" si="5"/>
        <v>1.1971724670454544E-2</v>
      </c>
      <c r="O22" s="12">
        <f t="shared" si="5"/>
        <v>1.1971156825892858E-2</v>
      </c>
      <c r="P22" s="12">
        <f t="shared" si="5"/>
        <v>1.1971724670454544E-2</v>
      </c>
      <c r="Q22" s="12">
        <f t="shared" si="5"/>
        <v>1.1971156825892858E-2</v>
      </c>
      <c r="R22" s="4"/>
    </row>
    <row r="23" spans="3:18" x14ac:dyDescent="0.3">
      <c r="C23" s="4"/>
      <c r="D23" s="6"/>
      <c r="E23" s="7"/>
      <c r="F23" s="7"/>
      <c r="G23" s="4"/>
      <c r="H23" s="7"/>
      <c r="I23" s="7"/>
      <c r="J23" s="7"/>
      <c r="K23" s="7"/>
      <c r="L23" s="7"/>
      <c r="M23" s="7"/>
      <c r="N23" s="7"/>
      <c r="O23" s="7"/>
      <c r="P23" s="7"/>
      <c r="Q23" s="7"/>
      <c r="R23" s="4"/>
    </row>
    <row r="24" spans="3:18" x14ac:dyDescent="0.3">
      <c r="C24" s="4"/>
      <c r="D24" s="15"/>
      <c r="E24" s="4"/>
      <c r="F24" s="4"/>
      <c r="G24" s="4"/>
      <c r="H24" s="2" t="s">
        <v>5</v>
      </c>
      <c r="I24" s="12">
        <f>I18-H18</f>
        <v>9.9999999999999395E-5</v>
      </c>
      <c r="J24" s="12">
        <f t="shared" ref="J24:Q24" si="6">J18-I18</f>
        <v>0</v>
      </c>
      <c r="K24" s="12">
        <f t="shared" si="6"/>
        <v>-1.9999999999999879E-4</v>
      </c>
      <c r="L24" s="12">
        <f t="shared" si="6"/>
        <v>2.9999999999999818E-4</v>
      </c>
      <c r="M24" s="12">
        <f t="shared" si="6"/>
        <v>3.0000000000000165E-4</v>
      </c>
      <c r="N24" s="12">
        <f t="shared" si="6"/>
        <v>-5.9999999999999984E-4</v>
      </c>
      <c r="O24" s="12">
        <f t="shared" si="6"/>
        <v>-1.0000000000000286E-4</v>
      </c>
      <c r="P24" s="12">
        <f t="shared" si="6"/>
        <v>4.0000000000000105E-4</v>
      </c>
      <c r="Q24" s="12">
        <f t="shared" si="6"/>
        <v>-1.9999999999999879E-4</v>
      </c>
      <c r="R24" s="4"/>
    </row>
    <row r="25" spans="3:18" x14ac:dyDescent="0.3">
      <c r="C25" s="4"/>
      <c r="D25" s="15"/>
      <c r="E25" s="4"/>
      <c r="F25" s="4"/>
      <c r="G25" s="4"/>
      <c r="H25" s="2" t="s">
        <v>6</v>
      </c>
      <c r="I25" s="12">
        <f t="shared" ref="I25:Q28" si="7">I19-H19</f>
        <v>0</v>
      </c>
      <c r="J25" s="12">
        <f t="shared" si="7"/>
        <v>-3</v>
      </c>
      <c r="K25" s="12">
        <f t="shared" si="7"/>
        <v>0</v>
      </c>
      <c r="L25" s="12">
        <f t="shared" si="7"/>
        <v>-1</v>
      </c>
      <c r="M25" s="12">
        <f t="shared" si="7"/>
        <v>0</v>
      </c>
      <c r="N25" s="12">
        <f t="shared" si="7"/>
        <v>0</v>
      </c>
      <c r="O25" s="12">
        <f t="shared" si="7"/>
        <v>0</v>
      </c>
      <c r="P25" s="12">
        <f t="shared" si="7"/>
        <v>1</v>
      </c>
      <c r="Q25" s="12">
        <f t="shared" si="7"/>
        <v>0</v>
      </c>
      <c r="R25" s="4"/>
    </row>
    <row r="26" spans="3:18" x14ac:dyDescent="0.3">
      <c r="C26" s="4"/>
      <c r="D26" s="15"/>
      <c r="E26" s="4"/>
      <c r="F26" s="4"/>
      <c r="G26" s="4"/>
      <c r="H26" s="2" t="s">
        <v>7</v>
      </c>
      <c r="I26" s="12">
        <f t="shared" si="7"/>
        <v>0</v>
      </c>
      <c r="J26" s="12">
        <f t="shared" si="7"/>
        <v>1.3349790498295988E-4</v>
      </c>
      <c r="K26" s="12">
        <f t="shared" si="7"/>
        <v>0</v>
      </c>
      <c r="L26" s="12">
        <f t="shared" si="7"/>
        <v>4.4499301665723578E-5</v>
      </c>
      <c r="M26" s="12">
        <f t="shared" si="7"/>
        <v>0</v>
      </c>
      <c r="N26" s="12">
        <f t="shared" si="7"/>
        <v>0</v>
      </c>
      <c r="O26" s="12">
        <f t="shared" si="7"/>
        <v>0</v>
      </c>
      <c r="P26" s="12">
        <f t="shared" si="7"/>
        <v>-4.4499301665723578E-5</v>
      </c>
      <c r="Q26" s="12">
        <f t="shared" si="7"/>
        <v>0</v>
      </c>
      <c r="R26" s="4"/>
    </row>
    <row r="27" spans="3:18" x14ac:dyDescent="0.3">
      <c r="C27" s="4"/>
      <c r="D27" s="15"/>
      <c r="E27" s="4"/>
      <c r="F27" s="4"/>
      <c r="G27" s="4"/>
      <c r="H27" s="2" t="s">
        <v>56</v>
      </c>
      <c r="I27" s="12">
        <f t="shared" si="7"/>
        <v>0</v>
      </c>
      <c r="J27" s="12">
        <f t="shared" si="7"/>
        <v>0</v>
      </c>
      <c r="K27" s="12">
        <f t="shared" si="7"/>
        <v>0</v>
      </c>
      <c r="L27" s="12">
        <f t="shared" si="7"/>
        <v>0</v>
      </c>
      <c r="M27" s="12">
        <f t="shared" si="7"/>
        <v>0</v>
      </c>
      <c r="N27" s="12">
        <f t="shared" si="7"/>
        <v>0</v>
      </c>
      <c r="O27" s="12">
        <f t="shared" si="7"/>
        <v>-7.0309999999835782E-3</v>
      </c>
      <c r="P27" s="12">
        <f t="shared" si="7"/>
        <v>7.0309999999835782E-3</v>
      </c>
      <c r="Q27" s="12">
        <f t="shared" si="7"/>
        <v>-7.0309999999835782E-3</v>
      </c>
      <c r="R27" s="4"/>
    </row>
    <row r="28" spans="3:18" x14ac:dyDescent="0.3">
      <c r="C28" s="4"/>
      <c r="D28" s="15"/>
      <c r="E28" s="4"/>
      <c r="F28" s="4"/>
      <c r="G28" s="4"/>
      <c r="H28" s="2" t="s">
        <v>57</v>
      </c>
      <c r="I28" s="12">
        <f t="shared" si="7"/>
        <v>0</v>
      </c>
      <c r="J28" s="12">
        <f t="shared" si="7"/>
        <v>0</v>
      </c>
      <c r="K28" s="12">
        <f t="shared" si="7"/>
        <v>0</v>
      </c>
      <c r="L28" s="12">
        <f t="shared" si="7"/>
        <v>0</v>
      </c>
      <c r="M28" s="12">
        <f t="shared" si="7"/>
        <v>0</v>
      </c>
      <c r="N28" s="12">
        <f t="shared" si="7"/>
        <v>0</v>
      </c>
      <c r="O28" s="12">
        <f t="shared" si="7"/>
        <v>-5.6784456168613995E-7</v>
      </c>
      <c r="P28" s="12">
        <f t="shared" si="7"/>
        <v>5.6784456168613995E-7</v>
      </c>
      <c r="Q28" s="12">
        <f t="shared" si="7"/>
        <v>-5.6784456168613995E-7</v>
      </c>
      <c r="R28" s="4"/>
    </row>
    <row r="29" spans="3:18" x14ac:dyDescent="0.3">
      <c r="C29" s="4"/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3" spans="3:7" x14ac:dyDescent="0.3">
      <c r="C33" s="4"/>
      <c r="D33" s="6"/>
      <c r="E33" s="7"/>
      <c r="F33" s="7"/>
      <c r="G33" s="7"/>
    </row>
    <row r="34" spans="3:7" x14ac:dyDescent="0.3">
      <c r="C34" s="4"/>
      <c r="D34" s="49"/>
      <c r="E34" s="46" t="s">
        <v>85</v>
      </c>
      <c r="F34" s="50">
        <f>4*STDEV(H3:Q3)</f>
        <v>8.0443216687991245E-4</v>
      </c>
      <c r="G34" s="7"/>
    </row>
    <row r="35" spans="3:7" x14ac:dyDescent="0.3">
      <c r="C35" s="4"/>
      <c r="D35" s="49"/>
      <c r="E35" s="46" t="s">
        <v>86</v>
      </c>
      <c r="F35" s="50">
        <f>4*STDEV(H18:Q18)</f>
        <v>8.0111034057599E-4</v>
      </c>
      <c r="G35" s="7"/>
    </row>
    <row r="36" spans="3:7" x14ac:dyDescent="0.3">
      <c r="C36" s="4"/>
      <c r="D36" s="49"/>
      <c r="E36" s="46" t="s">
        <v>87</v>
      </c>
      <c r="F36" s="50">
        <f>ABS(AVERAGE(H3:Q3)-AVERAGE(H18:Q18))</f>
        <v>2.6910000000000007E-2</v>
      </c>
      <c r="G36" s="4"/>
    </row>
    <row r="37" spans="3:7" x14ac:dyDescent="0.3">
      <c r="C37" s="4"/>
      <c r="D37" s="6"/>
      <c r="E37" s="7"/>
      <c r="F37" s="7"/>
      <c r="G37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A114-A126-4FCC-9C54-ECD35BBC5DA9}">
  <dimension ref="A1:R37"/>
  <sheetViews>
    <sheetView topLeftCell="B1" zoomScale="80" zoomScaleNormal="80" workbookViewId="0">
      <selection activeCell="G42" sqref="B40:G42"/>
    </sheetView>
  </sheetViews>
  <sheetFormatPr baseColWidth="10" defaultRowHeight="14.4" x14ac:dyDescent="0.3"/>
  <cols>
    <col min="1" max="1" width="24.44140625" customWidth="1"/>
    <col min="2" max="2" width="12" bestFit="1" customWidth="1"/>
    <col min="4" max="4" width="16.6640625" bestFit="1" customWidth="1"/>
    <col min="5" max="6" width="15.6640625" customWidth="1"/>
    <col min="7" max="7" width="17.44140625" customWidth="1"/>
    <col min="8" max="17" width="15.6640625" customWidth="1"/>
  </cols>
  <sheetData>
    <row r="1" spans="1:18" x14ac:dyDescent="0.3">
      <c r="A1" s="4"/>
      <c r="B1" s="4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4"/>
    </row>
    <row r="2" spans="1:18" x14ac:dyDescent="0.3">
      <c r="A2" s="2" t="s">
        <v>60</v>
      </c>
      <c r="B2" s="3">
        <v>688</v>
      </c>
      <c r="C2" s="5"/>
      <c r="D2" s="6"/>
      <c r="E2" s="8" t="s">
        <v>66</v>
      </c>
      <c r="F2" s="7"/>
      <c r="G2" s="7"/>
      <c r="H2" s="9">
        <v>1</v>
      </c>
      <c r="I2" s="9">
        <v>2</v>
      </c>
      <c r="J2" s="9">
        <v>3</v>
      </c>
      <c r="K2" s="9">
        <v>4</v>
      </c>
      <c r="L2" s="9">
        <v>5</v>
      </c>
      <c r="M2" s="9">
        <v>6</v>
      </c>
      <c r="N2" s="9">
        <v>7</v>
      </c>
      <c r="O2" s="9">
        <v>8</v>
      </c>
      <c r="P2" s="9">
        <v>9</v>
      </c>
      <c r="Q2" s="9">
        <v>10</v>
      </c>
      <c r="R2" s="4"/>
    </row>
    <row r="3" spans="1:18" x14ac:dyDescent="0.3">
      <c r="A3" s="2" t="s">
        <v>3</v>
      </c>
      <c r="B3" s="3">
        <v>12</v>
      </c>
      <c r="C3" s="4"/>
      <c r="D3" s="10" t="s">
        <v>8</v>
      </c>
      <c r="E3" s="11">
        <v>9.9998000000000005</v>
      </c>
      <c r="F3" s="2" t="s">
        <v>0</v>
      </c>
      <c r="G3" s="48">
        <f>E3</f>
        <v>9.9998000000000005</v>
      </c>
      <c r="H3" s="12">
        <v>9.9943000000000008</v>
      </c>
      <c r="I3" s="12">
        <v>9.9936000000000007</v>
      </c>
      <c r="J3" s="12">
        <v>9.9934999999999992</v>
      </c>
      <c r="K3" s="12">
        <v>9.9931000000000001</v>
      </c>
      <c r="L3" s="12">
        <v>9.9932999999999996</v>
      </c>
      <c r="M3" s="12">
        <v>9.9931999999999999</v>
      </c>
      <c r="N3" s="12">
        <v>9.9931999999999999</v>
      </c>
      <c r="O3" s="12">
        <v>9.9931999999999999</v>
      </c>
      <c r="P3" s="12">
        <v>9.9928000000000008</v>
      </c>
      <c r="Q3" s="12">
        <v>9.9925999999999995</v>
      </c>
      <c r="R3" s="4"/>
    </row>
    <row r="4" spans="1:18" x14ac:dyDescent="0.3">
      <c r="A4" s="2" t="s">
        <v>63</v>
      </c>
      <c r="B4" s="3">
        <f>1/i_Encoder</f>
        <v>4.4364433783989446E-5</v>
      </c>
      <c r="C4" s="4"/>
      <c r="D4" s="10" t="s">
        <v>9</v>
      </c>
      <c r="E4" s="3">
        <v>0.5</v>
      </c>
      <c r="F4" s="2" t="s">
        <v>1</v>
      </c>
      <c r="G4" s="4"/>
      <c r="H4" s="10">
        <v>1556535</v>
      </c>
      <c r="I4" s="10">
        <v>1556540</v>
      </c>
      <c r="J4" s="10">
        <v>1556547</v>
      </c>
      <c r="K4" s="10">
        <v>1556551</v>
      </c>
      <c r="L4" s="10">
        <v>1556555</v>
      </c>
      <c r="M4" s="10">
        <v>1556559</v>
      </c>
      <c r="N4" s="10">
        <v>1556560</v>
      </c>
      <c r="O4" s="10">
        <v>1556564</v>
      </c>
      <c r="P4" s="10">
        <v>1556567</v>
      </c>
      <c r="Q4" s="10">
        <v>1556567</v>
      </c>
      <c r="R4" s="4"/>
    </row>
    <row r="5" spans="1:18" x14ac:dyDescent="0.3">
      <c r="A5" s="2" t="s">
        <v>58</v>
      </c>
      <c r="B5" s="3">
        <f>i_Motorization</f>
        <v>12381.909547738695</v>
      </c>
      <c r="C5" s="4"/>
      <c r="D5" s="10" t="s">
        <v>62</v>
      </c>
      <c r="E5" s="3">
        <f>6190.954774*$B$7</f>
        <v>6172.1913124102721</v>
      </c>
      <c r="F5" s="2" t="s">
        <v>2</v>
      </c>
      <c r="G5" s="4"/>
      <c r="H5" s="10">
        <f t="shared" ref="H5:Q5" si="0">offset_Encoder-H4/i_Encoder/correctionEncoder</f>
        <v>9.9935820722518685</v>
      </c>
      <c r="I5" s="10">
        <f t="shared" si="0"/>
        <v>9.9933595757435683</v>
      </c>
      <c r="J5" s="10">
        <f t="shared" si="0"/>
        <v>9.9930480806319224</v>
      </c>
      <c r="K5" s="10">
        <f t="shared" si="0"/>
        <v>9.9928700834252737</v>
      </c>
      <c r="L5" s="10">
        <f t="shared" si="0"/>
        <v>9.992692086218625</v>
      </c>
      <c r="M5" s="10">
        <f t="shared" si="0"/>
        <v>9.9925140890119621</v>
      </c>
      <c r="N5" s="10">
        <f t="shared" si="0"/>
        <v>9.9924695897103106</v>
      </c>
      <c r="O5" s="10">
        <f t="shared" si="0"/>
        <v>9.9922915925036619</v>
      </c>
      <c r="P5" s="10">
        <f t="shared" si="0"/>
        <v>9.9921580945986648</v>
      </c>
      <c r="Q5" s="10">
        <f t="shared" si="0"/>
        <v>9.9921580945986648</v>
      </c>
      <c r="R5" s="4"/>
    </row>
    <row r="6" spans="1:18" x14ac:dyDescent="0.3">
      <c r="A6" s="2" t="s">
        <v>61</v>
      </c>
      <c r="B6" s="3">
        <f>1/i_Motorization</f>
        <v>8.0762987012987004E-5</v>
      </c>
      <c r="C6" s="4"/>
      <c r="D6" s="10"/>
      <c r="E6" s="12"/>
      <c r="F6" s="2" t="s">
        <v>17</v>
      </c>
      <c r="G6" s="4"/>
      <c r="H6" s="13">
        <v>123622.558594</v>
      </c>
      <c r="I6" s="13">
        <v>123622.565625</v>
      </c>
      <c r="J6" s="13">
        <v>123622.565625</v>
      </c>
      <c r="K6" s="13">
        <v>123622.565625</v>
      </c>
      <c r="L6" s="13">
        <v>123622.558594</v>
      </c>
      <c r="M6" s="13">
        <v>123622.558594</v>
      </c>
      <c r="N6" s="13">
        <v>123622.565625</v>
      </c>
      <c r="O6" s="13">
        <v>123622.558594</v>
      </c>
      <c r="P6" s="13">
        <v>123622.565625</v>
      </c>
      <c r="Q6" s="13">
        <v>123622.565625</v>
      </c>
      <c r="R6" s="4"/>
    </row>
    <row r="7" spans="1:18" x14ac:dyDescent="0.3">
      <c r="A7" s="23" t="s">
        <v>21</v>
      </c>
      <c r="B7" s="12">
        <f>correctionMotor</f>
        <v>0.99696921359068424</v>
      </c>
      <c r="C7" s="4"/>
      <c r="D7" s="10"/>
      <c r="E7" s="12"/>
      <c r="F7" s="2" t="s">
        <v>55</v>
      </c>
      <c r="G7" s="4"/>
      <c r="H7" s="12">
        <f t="shared" ref="H7:Q7" si="1">H6*1/i_Motorization</f>
        <v>9.9841270942394473</v>
      </c>
      <c r="I7" s="12">
        <f t="shared" si="1"/>
        <v>9.9841276620840098</v>
      </c>
      <c r="J7" s="12">
        <f t="shared" si="1"/>
        <v>9.9841276620840098</v>
      </c>
      <c r="K7" s="12">
        <f t="shared" si="1"/>
        <v>9.9841276620840098</v>
      </c>
      <c r="L7" s="12">
        <f t="shared" si="1"/>
        <v>9.9841270942394473</v>
      </c>
      <c r="M7" s="12">
        <f t="shared" si="1"/>
        <v>9.9841270942394473</v>
      </c>
      <c r="N7" s="12">
        <f t="shared" si="1"/>
        <v>9.9841276620840098</v>
      </c>
      <c r="O7" s="12">
        <f t="shared" si="1"/>
        <v>9.9841270942394473</v>
      </c>
      <c r="P7" s="12">
        <f t="shared" si="1"/>
        <v>9.9841276620840098</v>
      </c>
      <c r="Q7" s="12">
        <f t="shared" si="1"/>
        <v>9.9841276620840098</v>
      </c>
      <c r="R7" s="4"/>
    </row>
    <row r="8" spans="1:18" x14ac:dyDescent="0.3">
      <c r="A8" s="23" t="s">
        <v>22</v>
      </c>
      <c r="B8" s="12">
        <f>correctionEncoder</f>
        <v>0.99696921359068424</v>
      </c>
      <c r="C8" s="4"/>
      <c r="D8" s="6"/>
      <c r="E8" s="7"/>
      <c r="F8" s="14"/>
      <c r="G8" s="4"/>
      <c r="H8" s="7"/>
      <c r="I8" s="7"/>
      <c r="J8" s="14"/>
      <c r="K8" s="7"/>
      <c r="L8" s="14"/>
      <c r="M8" s="7"/>
      <c r="N8" s="7"/>
      <c r="O8" s="7"/>
      <c r="P8" s="7"/>
      <c r="Q8" s="7"/>
      <c r="R8" s="4"/>
    </row>
    <row r="9" spans="1:18" x14ac:dyDescent="0.3">
      <c r="A9" s="20"/>
      <c r="B9" s="20"/>
      <c r="C9" s="4"/>
      <c r="D9" s="15"/>
      <c r="E9" s="4"/>
      <c r="F9" s="4"/>
      <c r="G9" s="4"/>
      <c r="H9" s="2" t="s">
        <v>5</v>
      </c>
      <c r="I9" s="12">
        <f>I3-H3</f>
        <v>-7.0000000000014495E-4</v>
      </c>
      <c r="J9" s="12">
        <f t="shared" ref="J9:Q9" si="2">J3-I3</f>
        <v>-1.000000000015433E-4</v>
      </c>
      <c r="K9" s="12">
        <f t="shared" si="2"/>
        <v>-3.9999999999906777E-4</v>
      </c>
      <c r="L9" s="12">
        <f t="shared" si="2"/>
        <v>1.9999999999953388E-4</v>
      </c>
      <c r="M9" s="12">
        <f t="shared" si="2"/>
        <v>-9.9999999999766942E-5</v>
      </c>
      <c r="N9" s="12">
        <f t="shared" si="2"/>
        <v>0</v>
      </c>
      <c r="O9" s="12">
        <f t="shared" si="2"/>
        <v>0</v>
      </c>
      <c r="P9" s="12">
        <f t="shared" si="2"/>
        <v>-3.9999999999906777E-4</v>
      </c>
      <c r="Q9" s="12">
        <f t="shared" si="2"/>
        <v>-2.0000000000131024E-4</v>
      </c>
      <c r="R9" s="4"/>
    </row>
    <row r="10" spans="1:18" x14ac:dyDescent="0.3">
      <c r="C10" s="4"/>
      <c r="D10" s="15"/>
      <c r="E10" s="4"/>
      <c r="F10" s="4"/>
      <c r="G10" s="4"/>
      <c r="H10" s="2" t="s">
        <v>6</v>
      </c>
      <c r="I10" s="12">
        <f t="shared" ref="I10:Q13" si="3">I4-H4</f>
        <v>5</v>
      </c>
      <c r="J10" s="12">
        <f t="shared" si="3"/>
        <v>7</v>
      </c>
      <c r="K10" s="12">
        <f t="shared" si="3"/>
        <v>4</v>
      </c>
      <c r="L10" s="12">
        <f t="shared" si="3"/>
        <v>4</v>
      </c>
      <c r="M10" s="12">
        <f t="shared" si="3"/>
        <v>4</v>
      </c>
      <c r="N10" s="12">
        <f t="shared" si="3"/>
        <v>1</v>
      </c>
      <c r="O10" s="12">
        <f t="shared" si="3"/>
        <v>4</v>
      </c>
      <c r="P10" s="12">
        <f t="shared" si="3"/>
        <v>3</v>
      </c>
      <c r="Q10" s="12">
        <f t="shared" si="3"/>
        <v>0</v>
      </c>
      <c r="R10" s="4"/>
    </row>
    <row r="11" spans="1:18" x14ac:dyDescent="0.3">
      <c r="C11" s="4"/>
      <c r="D11" s="15"/>
      <c r="E11" s="4"/>
      <c r="F11" s="4"/>
      <c r="G11" s="4"/>
      <c r="H11" s="2" t="s">
        <v>7</v>
      </c>
      <c r="I11" s="12">
        <f t="shared" si="3"/>
        <v>-2.2249650830019618E-4</v>
      </c>
      <c r="J11" s="12">
        <f t="shared" si="3"/>
        <v>-3.1149511164585419E-4</v>
      </c>
      <c r="K11" s="12">
        <f t="shared" si="3"/>
        <v>-1.7799720664868346E-4</v>
      </c>
      <c r="L11" s="12">
        <f t="shared" si="3"/>
        <v>-1.7799720664868346E-4</v>
      </c>
      <c r="M11" s="12">
        <f t="shared" si="3"/>
        <v>-1.7799720666289431E-4</v>
      </c>
      <c r="N11" s="12">
        <f t="shared" si="3"/>
        <v>-4.4499301651512724E-5</v>
      </c>
      <c r="O11" s="12">
        <f t="shared" si="3"/>
        <v>-1.7799720664868346E-4</v>
      </c>
      <c r="P11" s="12">
        <f t="shared" si="3"/>
        <v>-1.3349790499717074E-4</v>
      </c>
      <c r="Q11" s="12">
        <f t="shared" si="3"/>
        <v>0</v>
      </c>
      <c r="R11" s="4"/>
    </row>
    <row r="12" spans="1:18" x14ac:dyDescent="0.3">
      <c r="C12" s="4"/>
      <c r="D12" s="15"/>
      <c r="E12" s="4"/>
      <c r="F12" s="4"/>
      <c r="G12" s="4"/>
      <c r="H12" s="2" t="s">
        <v>56</v>
      </c>
      <c r="I12" s="12">
        <f t="shared" si="3"/>
        <v>7.0310000010067597E-3</v>
      </c>
      <c r="J12" s="12">
        <f t="shared" si="3"/>
        <v>0</v>
      </c>
      <c r="K12" s="12">
        <f t="shared" si="3"/>
        <v>0</v>
      </c>
      <c r="L12" s="12">
        <f t="shared" si="3"/>
        <v>-7.0310000010067597E-3</v>
      </c>
      <c r="M12" s="12">
        <f t="shared" si="3"/>
        <v>0</v>
      </c>
      <c r="N12" s="12">
        <f t="shared" si="3"/>
        <v>7.0310000010067597E-3</v>
      </c>
      <c r="O12" s="12">
        <f t="shared" si="3"/>
        <v>-7.0310000010067597E-3</v>
      </c>
      <c r="P12" s="12">
        <f t="shared" si="3"/>
        <v>7.0310000010067597E-3</v>
      </c>
      <c r="Q12" s="12">
        <f t="shared" si="3"/>
        <v>0</v>
      </c>
      <c r="R12" s="4"/>
    </row>
    <row r="13" spans="1:18" x14ac:dyDescent="0.3">
      <c r="C13" s="4"/>
      <c r="D13" s="15"/>
      <c r="E13" s="4"/>
      <c r="F13" s="4"/>
      <c r="G13" s="4"/>
      <c r="H13" s="2" t="s">
        <v>57</v>
      </c>
      <c r="I13" s="12">
        <f t="shared" si="3"/>
        <v>5.6784456248237802E-7</v>
      </c>
      <c r="J13" s="12">
        <f t="shared" si="3"/>
        <v>0</v>
      </c>
      <c r="K13" s="12">
        <f t="shared" si="3"/>
        <v>0</v>
      </c>
      <c r="L13" s="12">
        <f t="shared" si="3"/>
        <v>-5.6784456248237802E-7</v>
      </c>
      <c r="M13" s="12">
        <f t="shared" si="3"/>
        <v>0</v>
      </c>
      <c r="N13" s="12">
        <f t="shared" si="3"/>
        <v>5.6784456248237802E-7</v>
      </c>
      <c r="O13" s="12">
        <f t="shared" si="3"/>
        <v>-5.6784456248237802E-7</v>
      </c>
      <c r="P13" s="12">
        <f t="shared" si="3"/>
        <v>5.6784456248237802E-7</v>
      </c>
      <c r="Q13" s="12">
        <f t="shared" si="3"/>
        <v>0</v>
      </c>
      <c r="R13" s="4"/>
    </row>
    <row r="14" spans="1:18" x14ac:dyDescent="0.3">
      <c r="C14" s="4"/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3">
      <c r="D15" s="16"/>
    </row>
    <row r="16" spans="1:18" x14ac:dyDescent="0.3">
      <c r="C16" s="4"/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3:18" x14ac:dyDescent="0.3">
      <c r="C17" s="4"/>
      <c r="D17" s="6"/>
      <c r="E17" s="8" t="s">
        <v>67</v>
      </c>
      <c r="F17" s="7"/>
      <c r="G17" s="7"/>
      <c r="H17" s="9">
        <v>1</v>
      </c>
      <c r="I17" s="9">
        <v>2</v>
      </c>
      <c r="J17" s="9">
        <v>3</v>
      </c>
      <c r="K17" s="9">
        <v>4</v>
      </c>
      <c r="L17" s="9">
        <v>5</v>
      </c>
      <c r="M17" s="9">
        <v>6</v>
      </c>
      <c r="N17" s="9">
        <v>7</v>
      </c>
      <c r="O17" s="9">
        <v>8</v>
      </c>
      <c r="P17" s="9">
        <v>9</v>
      </c>
      <c r="Q17" s="9">
        <v>10</v>
      </c>
      <c r="R17" s="4"/>
    </row>
    <row r="18" spans="3:18" x14ac:dyDescent="0.3">
      <c r="C18" s="4"/>
      <c r="D18" s="10" t="s">
        <v>8</v>
      </c>
      <c r="E18" s="11">
        <v>9.9923999999999999</v>
      </c>
      <c r="F18" s="2" t="s">
        <v>0</v>
      </c>
      <c r="G18" s="7"/>
      <c r="H18" s="12">
        <v>10.031000000000001</v>
      </c>
      <c r="I18" s="12">
        <v>10.031700000000001</v>
      </c>
      <c r="J18" s="12">
        <v>10.0318</v>
      </c>
      <c r="K18" s="12">
        <v>10.032299999999999</v>
      </c>
      <c r="L18" s="12">
        <v>10.0326</v>
      </c>
      <c r="M18" s="12">
        <v>10.0326</v>
      </c>
      <c r="N18" s="12">
        <v>10.0327</v>
      </c>
      <c r="O18" s="12">
        <v>10.032299999999999</v>
      </c>
      <c r="P18" s="12">
        <v>10.0327</v>
      </c>
      <c r="Q18" s="12">
        <v>10.032400000000001</v>
      </c>
      <c r="R18" s="4"/>
    </row>
    <row r="19" spans="3:18" x14ac:dyDescent="0.3">
      <c r="C19" s="4"/>
      <c r="D19" s="10" t="s">
        <v>9</v>
      </c>
      <c r="E19" s="3">
        <v>0.5</v>
      </c>
      <c r="F19" s="2" t="s">
        <v>1</v>
      </c>
      <c r="G19" s="7"/>
      <c r="H19" s="10">
        <v>1555752</v>
      </c>
      <c r="I19" s="10">
        <v>1555740</v>
      </c>
      <c r="J19" s="10">
        <v>1555735</v>
      </c>
      <c r="K19" s="10">
        <v>1555728</v>
      </c>
      <c r="L19" s="10">
        <v>1555724</v>
      </c>
      <c r="M19" s="10">
        <v>1555723</v>
      </c>
      <c r="N19" s="10">
        <v>1555720</v>
      </c>
      <c r="O19" s="10">
        <v>1555732</v>
      </c>
      <c r="P19" s="10">
        <v>1555731</v>
      </c>
      <c r="Q19" s="10">
        <v>1555732</v>
      </c>
      <c r="R19" s="4"/>
    </row>
    <row r="20" spans="3:18" x14ac:dyDescent="0.3">
      <c r="C20" s="4"/>
      <c r="D20" s="10" t="s">
        <v>62</v>
      </c>
      <c r="E20" s="3">
        <f>6190.954774*$B$7</f>
        <v>6172.1913124102721</v>
      </c>
      <c r="F20" s="2" t="s">
        <v>2</v>
      </c>
      <c r="G20" s="4"/>
      <c r="H20" s="10">
        <f t="shared" ref="H20:Q20" si="4">offset_Encoder-H19/i_Encoder/correctionEncoder</f>
        <v>10.028425025453757</v>
      </c>
      <c r="I20" s="10">
        <f t="shared" si="4"/>
        <v>10.028959017073717</v>
      </c>
      <c r="J20" s="10">
        <f t="shared" si="4"/>
        <v>10.029181513582017</v>
      </c>
      <c r="K20" s="10">
        <f t="shared" si="4"/>
        <v>10.029493008693663</v>
      </c>
      <c r="L20" s="10">
        <f t="shared" si="4"/>
        <v>10.029671005900312</v>
      </c>
      <c r="M20" s="10">
        <f t="shared" si="4"/>
        <v>10.029715505201992</v>
      </c>
      <c r="N20" s="10">
        <f t="shared" si="4"/>
        <v>10.02984900310696</v>
      </c>
      <c r="O20" s="10">
        <f t="shared" si="4"/>
        <v>10.029315011487014</v>
      </c>
      <c r="P20" s="10">
        <f t="shared" si="4"/>
        <v>10.029359510788666</v>
      </c>
      <c r="Q20" s="10">
        <f t="shared" si="4"/>
        <v>10.029315011487014</v>
      </c>
      <c r="R20" s="4"/>
    </row>
    <row r="21" spans="3:18" x14ac:dyDescent="0.3">
      <c r="C21" s="4"/>
      <c r="D21" s="10"/>
      <c r="E21" s="12"/>
      <c r="F21" s="2" t="s">
        <v>17</v>
      </c>
      <c r="G21" s="4"/>
      <c r="H21" s="13">
        <v>123622.65</v>
      </c>
      <c r="I21" s="13">
        <v>123622.65</v>
      </c>
      <c r="J21" s="13">
        <v>123622.65</v>
      </c>
      <c r="K21" s="13">
        <v>123622.657031</v>
      </c>
      <c r="L21" s="13">
        <v>123622.65</v>
      </c>
      <c r="M21" s="13">
        <v>123622.65</v>
      </c>
      <c r="N21" s="13">
        <v>123622.65</v>
      </c>
      <c r="O21" s="13">
        <v>123610.042969</v>
      </c>
      <c r="P21" s="13">
        <v>123610.042969</v>
      </c>
      <c r="Q21" s="13">
        <v>123610.042969</v>
      </c>
      <c r="R21" s="4"/>
    </row>
    <row r="22" spans="3:18" x14ac:dyDescent="0.3">
      <c r="C22" s="4"/>
      <c r="D22" s="10"/>
      <c r="E22" s="12"/>
      <c r="F22" s="2" t="s">
        <v>55</v>
      </c>
      <c r="G22" s="4"/>
      <c r="H22" s="12">
        <f t="shared" ref="H22:Q22" si="5">H21*1/i_Motorization</f>
        <v>9.9841344764610369</v>
      </c>
      <c r="I22" s="12">
        <f t="shared" si="5"/>
        <v>9.9841344764610369</v>
      </c>
      <c r="J22" s="12">
        <f t="shared" si="5"/>
        <v>9.9841344764610369</v>
      </c>
      <c r="K22" s="12">
        <f t="shared" si="5"/>
        <v>9.9841350443055994</v>
      </c>
      <c r="L22" s="12">
        <f t="shared" si="5"/>
        <v>9.9841344764610369</v>
      </c>
      <c r="M22" s="12">
        <f t="shared" si="5"/>
        <v>9.9841344764610369</v>
      </c>
      <c r="N22" s="12">
        <f t="shared" si="5"/>
        <v>9.9841344764610369</v>
      </c>
      <c r="O22" s="12">
        <f t="shared" si="5"/>
        <v>9.9831162949801122</v>
      </c>
      <c r="P22" s="12">
        <f t="shared" si="5"/>
        <v>9.9831162949801122</v>
      </c>
      <c r="Q22" s="12">
        <f t="shared" si="5"/>
        <v>9.9831162949801122</v>
      </c>
      <c r="R22" s="4"/>
    </row>
    <row r="23" spans="3:18" x14ac:dyDescent="0.3">
      <c r="C23" s="4"/>
      <c r="D23" s="6"/>
      <c r="E23" s="7"/>
      <c r="F23" s="7"/>
      <c r="G23" s="4"/>
      <c r="H23" s="7"/>
      <c r="I23" s="7"/>
      <c r="J23" s="7"/>
      <c r="K23" s="7"/>
      <c r="L23" s="7"/>
      <c r="M23" s="7"/>
      <c r="N23" s="7"/>
      <c r="O23" s="7"/>
      <c r="P23" s="7"/>
      <c r="Q23" s="7"/>
      <c r="R23" s="4"/>
    </row>
    <row r="24" spans="3:18" x14ac:dyDescent="0.3">
      <c r="C24" s="4"/>
      <c r="D24" s="15"/>
      <c r="E24" s="4"/>
      <c r="F24" s="4"/>
      <c r="G24" s="4"/>
      <c r="H24" s="2" t="s">
        <v>5</v>
      </c>
      <c r="I24" s="17">
        <f>I18-H18</f>
        <v>7.0000000000014495E-4</v>
      </c>
      <c r="J24" s="17">
        <f t="shared" ref="J24:Q24" si="6">J18-I18</f>
        <v>9.9999999999766942E-5</v>
      </c>
      <c r="K24" s="17">
        <f t="shared" si="6"/>
        <v>4.9999999999883471E-4</v>
      </c>
      <c r="L24" s="17">
        <f t="shared" si="6"/>
        <v>3.0000000000107718E-4</v>
      </c>
      <c r="M24" s="17">
        <f t="shared" si="6"/>
        <v>0</v>
      </c>
      <c r="N24" s="17">
        <f t="shared" si="6"/>
        <v>9.9999999999766942E-5</v>
      </c>
      <c r="O24" s="17">
        <f t="shared" si="6"/>
        <v>-4.0000000000084412E-4</v>
      </c>
      <c r="P24" s="17">
        <f t="shared" si="6"/>
        <v>4.0000000000084412E-4</v>
      </c>
      <c r="Q24" s="17">
        <f t="shared" si="6"/>
        <v>-2.9999999999930083E-4</v>
      </c>
      <c r="R24" s="4"/>
    </row>
    <row r="25" spans="3:18" x14ac:dyDescent="0.3">
      <c r="C25" s="4"/>
      <c r="D25" s="15"/>
      <c r="E25" s="4"/>
      <c r="F25" s="4"/>
      <c r="G25" s="4"/>
      <c r="H25" s="2" t="s">
        <v>6</v>
      </c>
      <c r="I25" s="12">
        <f t="shared" ref="I25:Q28" si="7">I19-H19</f>
        <v>-12</v>
      </c>
      <c r="J25" s="12">
        <f t="shared" si="7"/>
        <v>-5</v>
      </c>
      <c r="K25" s="12">
        <f t="shared" si="7"/>
        <v>-7</v>
      </c>
      <c r="L25" s="12">
        <f t="shared" si="7"/>
        <v>-4</v>
      </c>
      <c r="M25" s="12">
        <f t="shared" si="7"/>
        <v>-1</v>
      </c>
      <c r="N25" s="12">
        <f t="shared" si="7"/>
        <v>-3</v>
      </c>
      <c r="O25" s="12">
        <f t="shared" si="7"/>
        <v>12</v>
      </c>
      <c r="P25" s="12">
        <f t="shared" si="7"/>
        <v>-1</v>
      </c>
      <c r="Q25" s="12">
        <f t="shared" si="7"/>
        <v>1</v>
      </c>
      <c r="R25" s="4"/>
    </row>
    <row r="26" spans="3:18" x14ac:dyDescent="0.3">
      <c r="C26" s="4"/>
      <c r="D26" s="15"/>
      <c r="E26" s="4"/>
      <c r="F26" s="4"/>
      <c r="G26" s="4"/>
      <c r="H26" s="2" t="s">
        <v>7</v>
      </c>
      <c r="I26" s="12">
        <f t="shared" si="7"/>
        <v>5.3399161996026123E-4</v>
      </c>
      <c r="J26" s="12">
        <f t="shared" si="7"/>
        <v>2.2249650830019618E-4</v>
      </c>
      <c r="K26" s="12">
        <f t="shared" si="7"/>
        <v>3.1149511164585419E-4</v>
      </c>
      <c r="L26" s="12">
        <f t="shared" si="7"/>
        <v>1.7799720664868346E-4</v>
      </c>
      <c r="M26" s="12">
        <f t="shared" si="7"/>
        <v>4.4499301679934433E-5</v>
      </c>
      <c r="N26" s="12">
        <f t="shared" si="7"/>
        <v>1.3349790496874903E-4</v>
      </c>
      <c r="O26" s="12">
        <f t="shared" si="7"/>
        <v>-5.3399161994605038E-4</v>
      </c>
      <c r="P26" s="12">
        <f t="shared" si="7"/>
        <v>4.4499301651512724E-5</v>
      </c>
      <c r="Q26" s="12">
        <f t="shared" si="7"/>
        <v>-4.4499301651512724E-5</v>
      </c>
      <c r="R26" s="4"/>
    </row>
    <row r="27" spans="3:18" x14ac:dyDescent="0.3">
      <c r="C27" s="4"/>
      <c r="D27" s="15"/>
      <c r="E27" s="4"/>
      <c r="F27" s="4"/>
      <c r="G27" s="4"/>
      <c r="H27" s="2" t="s">
        <v>56</v>
      </c>
      <c r="I27" s="12">
        <f t="shared" si="7"/>
        <v>0</v>
      </c>
      <c r="J27" s="12">
        <f t="shared" si="7"/>
        <v>0</v>
      </c>
      <c r="K27" s="12">
        <f t="shared" si="7"/>
        <v>7.0310000010067597E-3</v>
      </c>
      <c r="L27" s="12">
        <f t="shared" si="7"/>
        <v>-7.0310000010067597E-3</v>
      </c>
      <c r="M27" s="12">
        <f t="shared" si="7"/>
        <v>0</v>
      </c>
      <c r="N27" s="12">
        <f t="shared" si="7"/>
        <v>0</v>
      </c>
      <c r="O27" s="12">
        <f t="shared" si="7"/>
        <v>-12.607030999992276</v>
      </c>
      <c r="P27" s="12">
        <f t="shared" si="7"/>
        <v>0</v>
      </c>
      <c r="Q27" s="12">
        <f t="shared" si="7"/>
        <v>0</v>
      </c>
      <c r="R27" s="4"/>
    </row>
    <row r="28" spans="3:18" x14ac:dyDescent="0.3">
      <c r="C28" s="4"/>
      <c r="D28" s="15"/>
      <c r="E28" s="4"/>
      <c r="F28" s="4"/>
      <c r="G28" s="4"/>
      <c r="H28" s="2" t="s">
        <v>57</v>
      </c>
      <c r="I28" s="12">
        <f t="shared" si="7"/>
        <v>0</v>
      </c>
      <c r="J28" s="12">
        <f t="shared" si="7"/>
        <v>0</v>
      </c>
      <c r="K28" s="12">
        <f t="shared" si="7"/>
        <v>5.6784456248237802E-7</v>
      </c>
      <c r="L28" s="12">
        <f t="shared" si="7"/>
        <v>-5.6784456248237802E-7</v>
      </c>
      <c r="M28" s="12">
        <f t="shared" si="7"/>
        <v>0</v>
      </c>
      <c r="N28" s="12">
        <f t="shared" si="7"/>
        <v>0</v>
      </c>
      <c r="O28" s="12">
        <f t="shared" si="7"/>
        <v>-1.0181814809246958E-3</v>
      </c>
      <c r="P28" s="12">
        <f t="shared" si="7"/>
        <v>0</v>
      </c>
      <c r="Q28" s="12">
        <f t="shared" si="7"/>
        <v>0</v>
      </c>
      <c r="R28" s="4"/>
    </row>
    <row r="29" spans="3:18" x14ac:dyDescent="0.3">
      <c r="C29" s="4"/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3" spans="3:7" x14ac:dyDescent="0.3">
      <c r="C33" s="4"/>
      <c r="D33" s="6"/>
      <c r="E33" s="7"/>
      <c r="F33" s="7"/>
      <c r="G33" s="7"/>
    </row>
    <row r="34" spans="3:7" x14ac:dyDescent="0.3">
      <c r="C34" s="4"/>
      <c r="D34" s="49"/>
      <c r="E34" s="46" t="s">
        <v>85</v>
      </c>
      <c r="F34" s="50">
        <f>4*STDEV(H3:Q3)</f>
        <v>1.8552028939663003E-3</v>
      </c>
      <c r="G34" s="7"/>
    </row>
    <row r="35" spans="3:7" x14ac:dyDescent="0.3">
      <c r="C35" s="4"/>
      <c r="D35" s="49"/>
      <c r="E35" s="46" t="s">
        <v>86</v>
      </c>
      <c r="F35" s="50">
        <f>4*STDEV(H18:Q18)</f>
        <v>2.2026246969361124E-3</v>
      </c>
      <c r="G35" s="7"/>
    </row>
    <row r="36" spans="3:7" x14ac:dyDescent="0.3">
      <c r="C36" s="4"/>
      <c r="D36" s="49"/>
      <c r="E36" s="46" t="s">
        <v>87</v>
      </c>
      <c r="F36" s="50">
        <f>ABS(AVERAGE(H3:Q3)-AVERAGE(H18:Q18))</f>
        <v>3.8930000000000575E-2</v>
      </c>
      <c r="G36" s="4"/>
    </row>
    <row r="37" spans="3:7" x14ac:dyDescent="0.3">
      <c r="C37" s="4"/>
      <c r="D37" s="6"/>
      <c r="E37" s="7"/>
      <c r="F37" s="7"/>
      <c r="G37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8165-96C6-4996-AA7D-DD6447ACF6B0}">
  <dimension ref="A1:R37"/>
  <sheetViews>
    <sheetView topLeftCell="C1" zoomScale="80" zoomScaleNormal="80" workbookViewId="0">
      <selection activeCell="F36" sqref="F36"/>
    </sheetView>
  </sheetViews>
  <sheetFormatPr baseColWidth="10" defaultRowHeight="14.4" x14ac:dyDescent="0.3"/>
  <cols>
    <col min="1" max="1" width="24.44140625" customWidth="1"/>
    <col min="2" max="2" width="12" bestFit="1" customWidth="1"/>
    <col min="4" max="4" width="16.6640625" bestFit="1" customWidth="1"/>
    <col min="5" max="6" width="15.6640625" customWidth="1"/>
    <col min="7" max="7" width="17.44140625" customWidth="1"/>
    <col min="8" max="8" width="18.6640625" bestFit="1" customWidth="1"/>
    <col min="9" max="17" width="15.6640625" customWidth="1"/>
  </cols>
  <sheetData>
    <row r="1" spans="1:18" x14ac:dyDescent="0.3">
      <c r="A1" s="4"/>
      <c r="B1" s="4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4"/>
    </row>
    <row r="2" spans="1:18" x14ac:dyDescent="0.3">
      <c r="A2" s="2" t="s">
        <v>18</v>
      </c>
      <c r="B2" s="3">
        <v>688</v>
      </c>
      <c r="C2" s="5"/>
      <c r="D2" s="6"/>
      <c r="E2" s="8" t="s">
        <v>68</v>
      </c>
      <c r="F2" s="7"/>
      <c r="G2" s="7"/>
      <c r="H2" s="9">
        <v>1</v>
      </c>
      <c r="I2" s="9">
        <v>2</v>
      </c>
      <c r="J2" s="9">
        <v>3</v>
      </c>
      <c r="K2" s="9">
        <v>4</v>
      </c>
      <c r="L2" s="9">
        <v>5</v>
      </c>
      <c r="M2" s="9">
        <v>6</v>
      </c>
      <c r="N2" s="9">
        <v>7</v>
      </c>
      <c r="O2" s="9">
        <v>8</v>
      </c>
      <c r="P2" s="9">
        <v>9</v>
      </c>
      <c r="Q2" s="9">
        <v>10</v>
      </c>
      <c r="R2" s="4"/>
    </row>
    <row r="3" spans="1:18" x14ac:dyDescent="0.3">
      <c r="A3" s="2" t="s">
        <v>3</v>
      </c>
      <c r="B3" s="3">
        <v>12</v>
      </c>
      <c r="C3" s="4"/>
      <c r="D3" s="10" t="s">
        <v>8</v>
      </c>
      <c r="E3" s="11">
        <v>20</v>
      </c>
      <c r="F3" s="2" t="s">
        <v>0</v>
      </c>
      <c r="G3" s="48">
        <f>E3</f>
        <v>20</v>
      </c>
      <c r="H3" s="12">
        <v>20.000499999999999</v>
      </c>
      <c r="I3" s="12">
        <v>20.000499999999999</v>
      </c>
      <c r="J3" s="12">
        <v>20</v>
      </c>
      <c r="K3" s="12">
        <v>20.000699999999998</v>
      </c>
      <c r="L3" s="12">
        <v>20.000399999999999</v>
      </c>
      <c r="M3" s="12">
        <v>20.0002</v>
      </c>
      <c r="N3" s="12">
        <v>20.000299999999999</v>
      </c>
      <c r="O3" s="12">
        <v>20.000399999999999</v>
      </c>
      <c r="P3" s="12">
        <v>20.0002</v>
      </c>
      <c r="Q3" s="12">
        <v>20.000299999999999</v>
      </c>
      <c r="R3" s="4"/>
    </row>
    <row r="4" spans="1:18" x14ac:dyDescent="0.3">
      <c r="A4" s="2" t="s">
        <v>63</v>
      </c>
      <c r="B4" s="3">
        <f>1/i_Encoder</f>
        <v>4.4364433783989446E-5</v>
      </c>
      <c r="C4" s="4"/>
      <c r="D4" s="10" t="s">
        <v>9</v>
      </c>
      <c r="E4" s="3">
        <v>0.5</v>
      </c>
      <c r="F4" s="2" t="s">
        <v>1</v>
      </c>
      <c r="G4" s="4"/>
      <c r="H4" s="10">
        <v>1331555</v>
      </c>
      <c r="I4" s="10">
        <v>1331567</v>
      </c>
      <c r="J4" s="10">
        <v>1331575</v>
      </c>
      <c r="K4" s="10">
        <v>1331556</v>
      </c>
      <c r="L4" s="10">
        <v>1331563</v>
      </c>
      <c r="M4" s="10">
        <v>1331564</v>
      </c>
      <c r="N4" s="10">
        <v>1331567</v>
      </c>
      <c r="O4" s="10">
        <v>1331567</v>
      </c>
      <c r="P4" s="10">
        <v>1331568</v>
      </c>
      <c r="Q4" s="10">
        <v>1331571</v>
      </c>
      <c r="R4" s="4"/>
    </row>
    <row r="5" spans="1:18" x14ac:dyDescent="0.3">
      <c r="A5" s="2" t="s">
        <v>58</v>
      </c>
      <c r="B5" s="3">
        <f>i_Motorization</f>
        <v>12381.909547738695</v>
      </c>
      <c r="C5" s="4"/>
      <c r="D5" s="10" t="s">
        <v>69</v>
      </c>
      <c r="E5" s="3">
        <f>6190.954774*$B$7</f>
        <v>6172.1913124102721</v>
      </c>
      <c r="F5" s="2" t="s">
        <v>2</v>
      </c>
      <c r="G5" s="4"/>
      <c r="H5" s="10">
        <f t="shared" ref="H5:Q5" si="0">offset_Encoder-H4/i_Encoder/correctionEncoder</f>
        <v>20.005034960324487</v>
      </c>
      <c r="I5" s="10">
        <f t="shared" si="0"/>
        <v>20.004500968704541</v>
      </c>
      <c r="J5" s="10">
        <f t="shared" si="0"/>
        <v>20.004144974291236</v>
      </c>
      <c r="K5" s="10">
        <f t="shared" si="0"/>
        <v>20.004990461022828</v>
      </c>
      <c r="L5" s="10">
        <f t="shared" si="0"/>
        <v>20.004678965911189</v>
      </c>
      <c r="M5" s="10">
        <f t="shared" si="0"/>
        <v>20.004634466609531</v>
      </c>
      <c r="N5" s="10">
        <f t="shared" si="0"/>
        <v>20.004500968704541</v>
      </c>
      <c r="O5" s="10">
        <f t="shared" si="0"/>
        <v>20.004500968704541</v>
      </c>
      <c r="P5" s="10">
        <f t="shared" si="0"/>
        <v>20.004456469402882</v>
      </c>
      <c r="Q5" s="10">
        <f t="shared" si="0"/>
        <v>20.004322971497885</v>
      </c>
      <c r="R5" s="4"/>
    </row>
    <row r="6" spans="1:18" x14ac:dyDescent="0.3">
      <c r="A6" s="2" t="s">
        <v>61</v>
      </c>
      <c r="B6" s="3">
        <f>1/i_Motorization</f>
        <v>8.0762987012987004E-5</v>
      </c>
      <c r="C6" s="4"/>
      <c r="D6" s="10"/>
      <c r="E6" s="12"/>
      <c r="F6" s="2" t="s">
        <v>17</v>
      </c>
      <c r="G6" s="4"/>
      <c r="H6" s="13">
        <v>247152.47343799999</v>
      </c>
      <c r="I6" s="13">
        <v>247152.47343799999</v>
      </c>
      <c r="J6" s="13">
        <v>247152.46640599999</v>
      </c>
      <c r="K6" s="13">
        <v>247171.12031299999</v>
      </c>
      <c r="L6" s="13">
        <v>247171.12031299999</v>
      </c>
      <c r="M6" s="13">
        <v>247171.12031299999</v>
      </c>
      <c r="N6" s="13">
        <v>247171.12031299999</v>
      </c>
      <c r="O6" s="13">
        <v>247171.113281</v>
      </c>
      <c r="P6" s="13">
        <v>247171.12031299999</v>
      </c>
      <c r="Q6" s="13">
        <v>247171.113281</v>
      </c>
      <c r="R6" s="4"/>
    </row>
    <row r="7" spans="1:18" x14ac:dyDescent="0.3">
      <c r="A7" s="23" t="s">
        <v>21</v>
      </c>
      <c r="B7" s="12">
        <f>correctionMotor</f>
        <v>0.99696921359068424</v>
      </c>
      <c r="C7" s="4"/>
      <c r="D7" s="10"/>
      <c r="E7" s="12"/>
      <c r="F7" s="2" t="s">
        <v>55</v>
      </c>
      <c r="G7" s="4"/>
      <c r="H7" s="12">
        <f t="shared" ref="H7:Q7" si="1">H6*1/i_Motorization</f>
        <v>19.960772002500811</v>
      </c>
      <c r="I7" s="12">
        <f t="shared" si="1"/>
        <v>19.960772002500811</v>
      </c>
      <c r="J7" s="12">
        <f t="shared" si="1"/>
        <v>19.960771434575484</v>
      </c>
      <c r="K7" s="12">
        <f t="shared" si="1"/>
        <v>19.962277979824268</v>
      </c>
      <c r="L7" s="12">
        <f t="shared" si="1"/>
        <v>19.962277979824268</v>
      </c>
      <c r="M7" s="12">
        <f t="shared" si="1"/>
        <v>19.962277979824268</v>
      </c>
      <c r="N7" s="12">
        <f t="shared" si="1"/>
        <v>19.962277979824268</v>
      </c>
      <c r="O7" s="12">
        <f t="shared" si="1"/>
        <v>19.962277411898942</v>
      </c>
      <c r="P7" s="12">
        <f t="shared" si="1"/>
        <v>19.962277979824268</v>
      </c>
      <c r="Q7" s="12">
        <f t="shared" si="1"/>
        <v>19.962277411898942</v>
      </c>
      <c r="R7" s="4"/>
    </row>
    <row r="8" spans="1:18" x14ac:dyDescent="0.3">
      <c r="A8" s="23" t="s">
        <v>22</v>
      </c>
      <c r="B8" s="12">
        <f>correctionEncoder</f>
        <v>0.99696921359068424</v>
      </c>
      <c r="C8" s="4"/>
      <c r="D8" s="6"/>
      <c r="E8" s="7"/>
      <c r="F8" s="14"/>
      <c r="G8" s="4"/>
      <c r="H8" s="7"/>
      <c r="I8" s="7"/>
      <c r="J8" s="14"/>
      <c r="K8" s="7"/>
      <c r="L8" s="14"/>
      <c r="M8" s="7"/>
      <c r="N8" s="7"/>
      <c r="O8" s="7"/>
      <c r="P8" s="7"/>
      <c r="Q8" s="7"/>
      <c r="R8" s="4"/>
    </row>
    <row r="9" spans="1:18" x14ac:dyDescent="0.3">
      <c r="A9" s="20"/>
      <c r="B9" s="20"/>
      <c r="C9" s="4"/>
      <c r="D9" s="15"/>
      <c r="E9" s="4"/>
      <c r="F9" s="4"/>
      <c r="G9" s="4"/>
      <c r="H9" s="2" t="s">
        <v>5</v>
      </c>
      <c r="I9" s="12">
        <f>I3-H3</f>
        <v>0</v>
      </c>
      <c r="J9" s="12">
        <f t="shared" ref="J9:Q9" si="2">J3-I3</f>
        <v>-4.9999999999883471E-4</v>
      </c>
      <c r="K9" s="12">
        <f t="shared" si="2"/>
        <v>6.9999999999836859E-4</v>
      </c>
      <c r="L9" s="12">
        <f t="shared" si="2"/>
        <v>-2.9999999999930083E-4</v>
      </c>
      <c r="M9" s="12">
        <f t="shared" si="2"/>
        <v>-1.9999999999953388E-4</v>
      </c>
      <c r="N9" s="12">
        <f t="shared" si="2"/>
        <v>9.9999999999766942E-5</v>
      </c>
      <c r="O9" s="12">
        <f t="shared" si="2"/>
        <v>9.9999999999766942E-5</v>
      </c>
      <c r="P9" s="12">
        <f t="shared" si="2"/>
        <v>-1.9999999999953388E-4</v>
      </c>
      <c r="Q9" s="12">
        <f t="shared" si="2"/>
        <v>9.9999999999766942E-5</v>
      </c>
      <c r="R9" s="4"/>
    </row>
    <row r="10" spans="1:18" x14ac:dyDescent="0.3">
      <c r="C10" s="4"/>
      <c r="D10" s="15"/>
      <c r="E10" s="4"/>
      <c r="F10" s="4"/>
      <c r="G10" s="4"/>
      <c r="H10" s="2" t="s">
        <v>6</v>
      </c>
      <c r="I10" s="12">
        <f t="shared" ref="I10:Q13" si="3">I4-H4</f>
        <v>12</v>
      </c>
      <c r="J10" s="12">
        <f t="shared" si="3"/>
        <v>8</v>
      </c>
      <c r="K10" s="12">
        <f t="shared" si="3"/>
        <v>-19</v>
      </c>
      <c r="L10" s="12">
        <f t="shared" si="3"/>
        <v>7</v>
      </c>
      <c r="M10" s="12">
        <f t="shared" si="3"/>
        <v>1</v>
      </c>
      <c r="N10" s="12">
        <f t="shared" si="3"/>
        <v>3</v>
      </c>
      <c r="O10" s="12">
        <f t="shared" si="3"/>
        <v>0</v>
      </c>
      <c r="P10" s="12">
        <f t="shared" si="3"/>
        <v>1</v>
      </c>
      <c r="Q10" s="12">
        <f t="shared" si="3"/>
        <v>3</v>
      </c>
      <c r="R10" s="4"/>
    </row>
    <row r="11" spans="1:18" x14ac:dyDescent="0.3">
      <c r="C11" s="4"/>
      <c r="D11" s="15"/>
      <c r="E11" s="4"/>
      <c r="F11" s="4"/>
      <c r="G11" s="4"/>
      <c r="H11" s="2" t="s">
        <v>7</v>
      </c>
      <c r="I11" s="12">
        <f t="shared" si="3"/>
        <v>-5.3399161994605038E-4</v>
      </c>
      <c r="J11" s="12">
        <f t="shared" si="3"/>
        <v>-3.5599441330447235E-4</v>
      </c>
      <c r="K11" s="12">
        <f t="shared" si="3"/>
        <v>8.4548673159190457E-4</v>
      </c>
      <c r="L11" s="12">
        <f t="shared" si="3"/>
        <v>-3.1149511163874877E-4</v>
      </c>
      <c r="M11" s="12">
        <f t="shared" si="3"/>
        <v>-4.4499301658618151E-5</v>
      </c>
      <c r="N11" s="12">
        <f t="shared" si="3"/>
        <v>-1.3349790499006531E-4</v>
      </c>
      <c r="O11" s="12">
        <f t="shared" si="3"/>
        <v>0</v>
      </c>
      <c r="P11" s="12">
        <f t="shared" si="3"/>
        <v>-4.4499301658618151E-5</v>
      </c>
      <c r="Q11" s="12">
        <f t="shared" si="3"/>
        <v>-1.3349790499717074E-4</v>
      </c>
      <c r="R11" s="4"/>
    </row>
    <row r="12" spans="1:18" x14ac:dyDescent="0.3">
      <c r="C12" s="4"/>
      <c r="D12" s="15"/>
      <c r="E12" s="4"/>
      <c r="F12" s="4"/>
      <c r="G12" s="4"/>
      <c r="H12" s="2" t="s">
        <v>56</v>
      </c>
      <c r="I12" s="12">
        <f t="shared" si="3"/>
        <v>0</v>
      </c>
      <c r="J12" s="12">
        <f t="shared" si="3"/>
        <v>-7.0319999940693378E-3</v>
      </c>
      <c r="K12" s="12">
        <f t="shared" si="3"/>
        <v>18.65390699999989</v>
      </c>
      <c r="L12" s="12">
        <f t="shared" si="3"/>
        <v>0</v>
      </c>
      <c r="M12" s="12">
        <f t="shared" si="3"/>
        <v>0</v>
      </c>
      <c r="N12" s="12">
        <f t="shared" si="3"/>
        <v>0</v>
      </c>
      <c r="O12" s="12">
        <f t="shared" si="3"/>
        <v>-7.0319999940693378E-3</v>
      </c>
      <c r="P12" s="12">
        <f t="shared" si="3"/>
        <v>7.0319999940693378E-3</v>
      </c>
      <c r="Q12" s="12">
        <f t="shared" si="3"/>
        <v>-7.0319999940693378E-3</v>
      </c>
      <c r="R12" s="4"/>
    </row>
    <row r="13" spans="1:18" x14ac:dyDescent="0.3">
      <c r="C13" s="4"/>
      <c r="D13" s="15"/>
      <c r="E13" s="4"/>
      <c r="F13" s="4"/>
      <c r="G13" s="4"/>
      <c r="H13" s="2" t="s">
        <v>57</v>
      </c>
      <c r="I13" s="12">
        <f t="shared" si="3"/>
        <v>0</v>
      </c>
      <c r="J13" s="12">
        <f t="shared" si="3"/>
        <v>-5.679253263224382E-7</v>
      </c>
      <c r="K13" s="12">
        <f t="shared" si="3"/>
        <v>1.5065452487839082E-3</v>
      </c>
      <c r="L13" s="12">
        <f t="shared" si="3"/>
        <v>0</v>
      </c>
      <c r="M13" s="12">
        <f t="shared" si="3"/>
        <v>0</v>
      </c>
      <c r="N13" s="12">
        <f t="shared" si="3"/>
        <v>0</v>
      </c>
      <c r="O13" s="12">
        <f t="shared" si="3"/>
        <v>-5.679253263224382E-7</v>
      </c>
      <c r="P13" s="12">
        <f t="shared" si="3"/>
        <v>5.679253263224382E-7</v>
      </c>
      <c r="Q13" s="12">
        <f t="shared" si="3"/>
        <v>-5.679253263224382E-7</v>
      </c>
      <c r="R13" s="4"/>
    </row>
    <row r="14" spans="1:18" x14ac:dyDescent="0.3">
      <c r="C14" s="4"/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3">
      <c r="D15" s="16"/>
    </row>
    <row r="16" spans="1:18" x14ac:dyDescent="0.3">
      <c r="C16" s="4"/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3:18" x14ac:dyDescent="0.3">
      <c r="C17" s="4"/>
      <c r="D17" s="6"/>
      <c r="E17" s="8" t="s">
        <v>70</v>
      </c>
      <c r="F17" s="7"/>
      <c r="G17" s="7"/>
      <c r="H17" s="9">
        <v>1</v>
      </c>
      <c r="I17" s="9">
        <v>2</v>
      </c>
      <c r="J17" s="9">
        <v>3</v>
      </c>
      <c r="K17" s="9">
        <v>4</v>
      </c>
      <c r="L17" s="9">
        <v>5</v>
      </c>
      <c r="M17" s="9">
        <v>6</v>
      </c>
      <c r="N17" s="9">
        <v>7</v>
      </c>
      <c r="O17" s="9">
        <v>8</v>
      </c>
      <c r="P17" s="9">
        <v>9</v>
      </c>
      <c r="Q17" s="9">
        <v>10</v>
      </c>
      <c r="R17" s="4"/>
    </row>
    <row r="18" spans="3:18" x14ac:dyDescent="0.3">
      <c r="C18" s="4"/>
      <c r="D18" s="10" t="s">
        <v>8</v>
      </c>
      <c r="E18" s="11">
        <v>20.0002</v>
      </c>
      <c r="F18" s="2" t="s">
        <v>0</v>
      </c>
      <c r="G18" s="7"/>
      <c r="H18" s="12">
        <v>20.037800000000001</v>
      </c>
      <c r="I18" s="12">
        <v>20.038399999999999</v>
      </c>
      <c r="J18" s="12">
        <v>20.038900000000002</v>
      </c>
      <c r="K18" s="12">
        <v>20.039200000000001</v>
      </c>
      <c r="L18" s="12">
        <v>20.0395</v>
      </c>
      <c r="M18" s="12">
        <v>20.0396</v>
      </c>
      <c r="N18" s="12">
        <v>20.0398</v>
      </c>
      <c r="O18" s="12">
        <v>20.040099999999999</v>
      </c>
      <c r="P18" s="12">
        <v>20.040199999999999</v>
      </c>
      <c r="Q18" s="12">
        <v>20.040400000000002</v>
      </c>
      <c r="R18" s="4"/>
    </row>
    <row r="19" spans="3:18" x14ac:dyDescent="0.3">
      <c r="C19" s="4"/>
      <c r="D19" s="10" t="s">
        <v>9</v>
      </c>
      <c r="E19" s="3">
        <v>0.5</v>
      </c>
      <c r="F19" s="2" t="s">
        <v>1</v>
      </c>
      <c r="G19" s="7"/>
      <c r="H19" s="10">
        <v>1330783</v>
      </c>
      <c r="I19" s="10">
        <v>1330764</v>
      </c>
      <c r="J19" s="10">
        <v>1330752</v>
      </c>
      <c r="K19" s="10">
        <v>1330747</v>
      </c>
      <c r="L19" s="10">
        <v>1330739</v>
      </c>
      <c r="M19" s="10">
        <v>1330732</v>
      </c>
      <c r="N19" s="10">
        <v>1330728</v>
      </c>
      <c r="O19" s="10">
        <v>1330723</v>
      </c>
      <c r="P19" s="10">
        <v>1330720</v>
      </c>
      <c r="Q19" s="10">
        <v>1330716</v>
      </c>
      <c r="R19" s="4"/>
    </row>
    <row r="20" spans="3:18" x14ac:dyDescent="0.3">
      <c r="C20" s="4"/>
      <c r="D20" s="10" t="s">
        <v>69</v>
      </c>
      <c r="E20" s="3">
        <f>6190.954774*$B$7</f>
        <v>6172.1913124102721</v>
      </c>
      <c r="F20" s="2" t="s">
        <v>2</v>
      </c>
      <c r="G20" s="4"/>
      <c r="H20" s="10">
        <f t="shared" ref="H20:Q20" si="4">offset_Encoder-H19/i_Encoder/correctionEncoder</f>
        <v>20.039388421208088</v>
      </c>
      <c r="I20" s="10">
        <f t="shared" si="4"/>
        <v>20.040233907939687</v>
      </c>
      <c r="J20" s="10">
        <f t="shared" si="4"/>
        <v>20.040767899559633</v>
      </c>
      <c r="K20" s="10">
        <f t="shared" si="4"/>
        <v>20.040990396067947</v>
      </c>
      <c r="L20" s="10">
        <f t="shared" si="4"/>
        <v>20.041346390481245</v>
      </c>
      <c r="M20" s="10">
        <f t="shared" si="4"/>
        <v>20.04165788559289</v>
      </c>
      <c r="N20" s="10">
        <f t="shared" si="4"/>
        <v>20.041835882799539</v>
      </c>
      <c r="O20" s="10">
        <f t="shared" si="4"/>
        <v>20.042058379307853</v>
      </c>
      <c r="P20" s="10">
        <f t="shared" si="4"/>
        <v>20.042191877212844</v>
      </c>
      <c r="Q20" s="10">
        <f t="shared" si="4"/>
        <v>20.042369874419492</v>
      </c>
      <c r="R20" s="4"/>
    </row>
    <row r="21" spans="3:18" x14ac:dyDescent="0.3">
      <c r="C21" s="4"/>
      <c r="D21" s="10"/>
      <c r="E21" s="12"/>
      <c r="F21" s="2" t="s">
        <v>17</v>
      </c>
      <c r="G21" s="4"/>
      <c r="H21" s="13">
        <v>247171.21171900001</v>
      </c>
      <c r="I21" s="13">
        <v>247171.21171900001</v>
      </c>
      <c r="J21" s="13">
        <v>247171.20468699999</v>
      </c>
      <c r="K21" s="13">
        <v>247171.20468699999</v>
      </c>
      <c r="L21" s="13">
        <v>247171.21171900001</v>
      </c>
      <c r="M21" s="13">
        <v>247171.20468699999</v>
      </c>
      <c r="N21" s="13">
        <v>247171.21171900001</v>
      </c>
      <c r="O21" s="13">
        <v>247171.20468699999</v>
      </c>
      <c r="P21" s="13">
        <v>247171.20468699999</v>
      </c>
      <c r="Q21" s="13">
        <v>247171.21171900001</v>
      </c>
      <c r="R21" s="4"/>
    </row>
    <row r="22" spans="3:18" x14ac:dyDescent="0.3">
      <c r="C22" s="4"/>
      <c r="D22" s="10"/>
      <c r="E22" s="12"/>
      <c r="F22" s="2" t="s">
        <v>55</v>
      </c>
      <c r="G22" s="4"/>
      <c r="H22" s="12">
        <f t="shared" ref="H22:Q22" si="5">H21*1/i_Motorization</f>
        <v>19.962285362045861</v>
      </c>
      <c r="I22" s="12">
        <f t="shared" si="5"/>
        <v>19.962285362045861</v>
      </c>
      <c r="J22" s="12">
        <f t="shared" si="5"/>
        <v>19.962284794120531</v>
      </c>
      <c r="K22" s="12">
        <f t="shared" si="5"/>
        <v>19.962284794120531</v>
      </c>
      <c r="L22" s="12">
        <f t="shared" si="5"/>
        <v>19.962285362045861</v>
      </c>
      <c r="M22" s="12">
        <f t="shared" si="5"/>
        <v>19.962284794120531</v>
      </c>
      <c r="N22" s="12">
        <f t="shared" si="5"/>
        <v>19.962285362045861</v>
      </c>
      <c r="O22" s="12">
        <f t="shared" si="5"/>
        <v>19.962284794120531</v>
      </c>
      <c r="P22" s="12">
        <f t="shared" si="5"/>
        <v>19.962284794120531</v>
      </c>
      <c r="Q22" s="12">
        <f t="shared" si="5"/>
        <v>19.962285362045861</v>
      </c>
      <c r="R22" s="4"/>
    </row>
    <row r="23" spans="3:18" x14ac:dyDescent="0.3">
      <c r="C23" s="4"/>
      <c r="D23" s="6"/>
      <c r="E23" s="7"/>
      <c r="F23" s="7"/>
      <c r="G23" s="4"/>
      <c r="H23" s="7"/>
      <c r="I23" s="7"/>
      <c r="J23" s="7"/>
      <c r="K23" s="7"/>
      <c r="L23" s="7"/>
      <c r="M23" s="7"/>
      <c r="N23" s="7"/>
      <c r="O23" s="7"/>
      <c r="P23" s="7"/>
      <c r="Q23" s="7"/>
      <c r="R23" s="4"/>
    </row>
    <row r="24" spans="3:18" x14ac:dyDescent="0.3">
      <c r="C24" s="4"/>
      <c r="D24" s="15"/>
      <c r="E24" s="4"/>
      <c r="F24" s="4"/>
      <c r="G24" s="4"/>
      <c r="H24" s="2" t="s">
        <v>5</v>
      </c>
      <c r="I24" s="12">
        <f>I18-H18</f>
        <v>5.9999999999860165E-4</v>
      </c>
      <c r="J24" s="12">
        <f t="shared" ref="J24:Q24" si="6">J18-I18</f>
        <v>5.0000000000238742E-4</v>
      </c>
      <c r="K24" s="12">
        <f t="shared" si="6"/>
        <v>2.9999999999930083E-4</v>
      </c>
      <c r="L24" s="12">
        <f t="shared" si="6"/>
        <v>2.9999999999930083E-4</v>
      </c>
      <c r="M24" s="12">
        <f t="shared" si="6"/>
        <v>9.9999999999766942E-5</v>
      </c>
      <c r="N24" s="12">
        <f t="shared" si="6"/>
        <v>1.9999999999953388E-4</v>
      </c>
      <c r="O24" s="12">
        <f t="shared" si="6"/>
        <v>2.9999999999930083E-4</v>
      </c>
      <c r="P24" s="12">
        <f t="shared" si="6"/>
        <v>9.9999999999766942E-5</v>
      </c>
      <c r="Q24" s="12">
        <f t="shared" si="6"/>
        <v>2.000000000030866E-4</v>
      </c>
      <c r="R24" s="4"/>
    </row>
    <row r="25" spans="3:18" x14ac:dyDescent="0.3">
      <c r="C25" s="4"/>
      <c r="D25" s="15"/>
      <c r="E25" s="4"/>
      <c r="F25" s="4"/>
      <c r="G25" s="4"/>
      <c r="H25" s="2" t="s">
        <v>6</v>
      </c>
      <c r="I25" s="12">
        <f t="shared" ref="I25:Q28" si="7">I19-H19</f>
        <v>-19</v>
      </c>
      <c r="J25" s="12">
        <f t="shared" si="7"/>
        <v>-12</v>
      </c>
      <c r="K25" s="12">
        <f t="shared" si="7"/>
        <v>-5</v>
      </c>
      <c r="L25" s="12">
        <f t="shared" si="7"/>
        <v>-8</v>
      </c>
      <c r="M25" s="12">
        <f t="shared" si="7"/>
        <v>-7</v>
      </c>
      <c r="N25" s="12">
        <f t="shared" si="7"/>
        <v>-4</v>
      </c>
      <c r="O25" s="12">
        <f t="shared" si="7"/>
        <v>-5</v>
      </c>
      <c r="P25" s="12">
        <f t="shared" si="7"/>
        <v>-3</v>
      </c>
      <c r="Q25" s="12">
        <f t="shared" si="7"/>
        <v>-4</v>
      </c>
      <c r="R25" s="4"/>
    </row>
    <row r="26" spans="3:18" x14ac:dyDescent="0.3">
      <c r="C26" s="4"/>
      <c r="D26" s="15"/>
      <c r="E26" s="4"/>
      <c r="F26" s="4"/>
      <c r="G26" s="4"/>
      <c r="H26" s="2" t="s">
        <v>7</v>
      </c>
      <c r="I26" s="12">
        <f t="shared" si="7"/>
        <v>8.4548673159901E-4</v>
      </c>
      <c r="J26" s="12">
        <f t="shared" si="7"/>
        <v>5.3399161994605038E-4</v>
      </c>
      <c r="K26" s="12">
        <f t="shared" si="7"/>
        <v>2.2249650831440704E-4</v>
      </c>
      <c r="L26" s="12">
        <f t="shared" si="7"/>
        <v>3.5599441329736692E-4</v>
      </c>
      <c r="M26" s="12">
        <f t="shared" si="7"/>
        <v>3.1149511164585419E-4</v>
      </c>
      <c r="N26" s="12">
        <f t="shared" si="7"/>
        <v>1.7799720664868346E-4</v>
      </c>
      <c r="O26" s="12">
        <f t="shared" si="7"/>
        <v>2.2249650831440704E-4</v>
      </c>
      <c r="P26" s="12">
        <f t="shared" si="7"/>
        <v>1.3349790499006531E-4</v>
      </c>
      <c r="Q26" s="12">
        <f t="shared" si="7"/>
        <v>1.7799720664868346E-4</v>
      </c>
      <c r="R26" s="4"/>
    </row>
    <row r="27" spans="3:18" x14ac:dyDescent="0.3">
      <c r="C27" s="4"/>
      <c r="D27" s="15"/>
      <c r="E27" s="4"/>
      <c r="F27" s="4"/>
      <c r="G27" s="4"/>
      <c r="H27" s="2" t="s">
        <v>56</v>
      </c>
      <c r="I27" s="12">
        <f t="shared" si="7"/>
        <v>0</v>
      </c>
      <c r="J27" s="12">
        <f t="shared" si="7"/>
        <v>-7.0320000231731683E-3</v>
      </c>
      <c r="K27" s="12">
        <f t="shared" si="7"/>
        <v>0</v>
      </c>
      <c r="L27" s="12">
        <f t="shared" si="7"/>
        <v>7.0320000231731683E-3</v>
      </c>
      <c r="M27" s="12">
        <f t="shared" si="7"/>
        <v>-7.0320000231731683E-3</v>
      </c>
      <c r="N27" s="12">
        <f t="shared" si="7"/>
        <v>7.0320000231731683E-3</v>
      </c>
      <c r="O27" s="12">
        <f t="shared" si="7"/>
        <v>-7.0320000231731683E-3</v>
      </c>
      <c r="P27" s="12">
        <f t="shared" si="7"/>
        <v>0</v>
      </c>
      <c r="Q27" s="12">
        <f t="shared" si="7"/>
        <v>7.0320000231731683E-3</v>
      </c>
      <c r="R27" s="4"/>
    </row>
    <row r="28" spans="3:18" x14ac:dyDescent="0.3">
      <c r="C28" s="4"/>
      <c r="D28" s="15"/>
      <c r="E28" s="4"/>
      <c r="F28" s="4"/>
      <c r="G28" s="4"/>
      <c r="H28" s="2" t="s">
        <v>57</v>
      </c>
      <c r="I28" s="12">
        <f t="shared" si="7"/>
        <v>0</v>
      </c>
      <c r="J28" s="12">
        <f t="shared" si="7"/>
        <v>-5.6792532987515187E-7</v>
      </c>
      <c r="K28" s="12">
        <f t="shared" si="7"/>
        <v>0</v>
      </c>
      <c r="L28" s="12">
        <f t="shared" si="7"/>
        <v>5.6792532987515187E-7</v>
      </c>
      <c r="M28" s="12">
        <f t="shared" si="7"/>
        <v>-5.6792532987515187E-7</v>
      </c>
      <c r="N28" s="12">
        <f t="shared" si="7"/>
        <v>5.6792532987515187E-7</v>
      </c>
      <c r="O28" s="12">
        <f t="shared" si="7"/>
        <v>-5.6792532987515187E-7</v>
      </c>
      <c r="P28" s="12">
        <f t="shared" si="7"/>
        <v>0</v>
      </c>
      <c r="Q28" s="12">
        <f t="shared" si="7"/>
        <v>5.6792532987515187E-7</v>
      </c>
      <c r="R28" s="4"/>
    </row>
    <row r="29" spans="3:18" x14ac:dyDescent="0.3">
      <c r="C29" s="4"/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3" spans="3:7" x14ac:dyDescent="0.3">
      <c r="C33" s="4"/>
      <c r="D33" s="6"/>
      <c r="E33" s="7"/>
      <c r="F33" s="7"/>
      <c r="G33" s="7"/>
    </row>
    <row r="34" spans="3:7" x14ac:dyDescent="0.3">
      <c r="C34" s="4"/>
      <c r="D34" s="49"/>
      <c r="E34" s="46" t="s">
        <v>85</v>
      </c>
      <c r="F34" s="50">
        <f>4*STDEV(H3:Q3)</f>
        <v>7.8315600829622354E-4</v>
      </c>
      <c r="G34" s="7"/>
    </row>
    <row r="35" spans="3:7" x14ac:dyDescent="0.3">
      <c r="C35" s="4"/>
      <c r="D35" s="49"/>
      <c r="E35" s="46" t="s">
        <v>86</v>
      </c>
      <c r="F35" s="50">
        <f>4*STDEV(H18:Q18)</f>
        <v>3.3170267811190083E-3</v>
      </c>
      <c r="G35" s="7"/>
    </row>
    <row r="36" spans="3:7" x14ac:dyDescent="0.3">
      <c r="C36" s="4"/>
      <c r="D36" s="49"/>
      <c r="E36" s="46" t="s">
        <v>87</v>
      </c>
      <c r="F36" s="50">
        <f>ABS(AVERAGE(H3:Q3)-AVERAGE(H18:Q18))</f>
        <v>3.9040000000003516E-2</v>
      </c>
      <c r="G36" s="4"/>
    </row>
    <row r="37" spans="3:7" x14ac:dyDescent="0.3">
      <c r="C37" s="4"/>
      <c r="D37" s="6"/>
      <c r="E37" s="7"/>
      <c r="F37" s="7"/>
      <c r="G37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1CDE2-1869-47F8-A669-0850DB92AA85}">
  <dimension ref="A1:R37"/>
  <sheetViews>
    <sheetView topLeftCell="B10" zoomScale="80" zoomScaleNormal="80" workbookViewId="0">
      <selection activeCell="F37" sqref="F37"/>
    </sheetView>
  </sheetViews>
  <sheetFormatPr baseColWidth="10" defaultRowHeight="14.4" x14ac:dyDescent="0.3"/>
  <cols>
    <col min="1" max="1" width="24.44140625" customWidth="1"/>
    <col min="2" max="2" width="12" bestFit="1" customWidth="1"/>
    <col min="4" max="4" width="16.6640625" bestFit="1" customWidth="1"/>
    <col min="5" max="6" width="15.6640625" customWidth="1"/>
    <col min="7" max="7" width="17.44140625" customWidth="1"/>
    <col min="8" max="8" width="18.6640625" bestFit="1" customWidth="1"/>
    <col min="9" max="17" width="15.6640625" customWidth="1"/>
  </cols>
  <sheetData>
    <row r="1" spans="1:18" x14ac:dyDescent="0.3">
      <c r="A1" s="4"/>
      <c r="B1" s="4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4"/>
    </row>
    <row r="2" spans="1:18" x14ac:dyDescent="0.3">
      <c r="A2" s="2" t="s">
        <v>18</v>
      </c>
      <c r="B2" s="3">
        <v>688</v>
      </c>
      <c r="C2" s="5"/>
      <c r="D2" s="6"/>
      <c r="E2" s="8" t="s">
        <v>71</v>
      </c>
      <c r="F2" s="7"/>
      <c r="G2" s="7"/>
      <c r="H2" s="9">
        <v>1</v>
      </c>
      <c r="I2" s="9">
        <v>2</v>
      </c>
      <c r="J2" s="9">
        <v>3</v>
      </c>
      <c r="K2" s="9">
        <v>4</v>
      </c>
      <c r="L2" s="9">
        <v>5</v>
      </c>
      <c r="M2" s="9">
        <v>6</v>
      </c>
      <c r="N2" s="9">
        <v>7</v>
      </c>
      <c r="O2" s="9">
        <v>8</v>
      </c>
      <c r="P2" s="9">
        <v>9</v>
      </c>
      <c r="Q2" s="9">
        <v>10</v>
      </c>
      <c r="R2" s="4"/>
    </row>
    <row r="3" spans="1:18" x14ac:dyDescent="0.3">
      <c r="A3" s="2" t="s">
        <v>3</v>
      </c>
      <c r="B3" s="3">
        <v>12</v>
      </c>
      <c r="C3" s="4"/>
      <c r="D3" s="10" t="s">
        <v>8</v>
      </c>
      <c r="E3" s="11">
        <v>29.9999</v>
      </c>
      <c r="F3" s="2" t="s">
        <v>0</v>
      </c>
      <c r="G3" s="48">
        <f>E3</f>
        <v>29.9999</v>
      </c>
      <c r="H3" s="12">
        <v>29.9786</v>
      </c>
      <c r="I3" s="12">
        <v>29.9786</v>
      </c>
      <c r="J3" s="12">
        <v>29.978300000000001</v>
      </c>
      <c r="K3" s="12">
        <v>29.978200000000001</v>
      </c>
      <c r="L3" s="12">
        <v>29.977799999999998</v>
      </c>
      <c r="M3" s="12">
        <v>29.977599999999999</v>
      </c>
      <c r="N3" s="12">
        <v>29.977599999999999</v>
      </c>
      <c r="O3" s="12">
        <v>29.977399999999999</v>
      </c>
      <c r="P3" s="12">
        <v>29.9772</v>
      </c>
      <c r="Q3" s="12">
        <v>29.977599999999999</v>
      </c>
      <c r="R3" s="4"/>
    </row>
    <row r="4" spans="1:18" x14ac:dyDescent="0.3">
      <c r="A4" s="2" t="s">
        <v>63</v>
      </c>
      <c r="B4" s="3">
        <f>1/i_Encoder</f>
        <v>4.4364433783989446E-5</v>
      </c>
      <c r="C4" s="4"/>
      <c r="D4" s="10" t="s">
        <v>9</v>
      </c>
      <c r="E4" s="3">
        <v>0.5</v>
      </c>
      <c r="F4" s="2" t="s">
        <v>1</v>
      </c>
      <c r="G4" s="4"/>
      <c r="H4" s="10">
        <v>1107211</v>
      </c>
      <c r="I4" s="10">
        <v>1107215</v>
      </c>
      <c r="J4" s="10">
        <v>1107220</v>
      </c>
      <c r="K4" s="10">
        <v>1107223</v>
      </c>
      <c r="L4" s="10">
        <v>1107227</v>
      </c>
      <c r="M4" s="10">
        <v>1107231</v>
      </c>
      <c r="N4" s="10">
        <v>1107232</v>
      </c>
      <c r="O4" s="10">
        <v>1107235</v>
      </c>
      <c r="P4" s="10">
        <v>1107236</v>
      </c>
      <c r="Q4" s="10">
        <v>1107235</v>
      </c>
      <c r="R4" s="4"/>
    </row>
    <row r="5" spans="1:18" x14ac:dyDescent="0.3">
      <c r="A5" s="2" t="s">
        <v>58</v>
      </c>
      <c r="B5" s="3">
        <f>i_Motorization</f>
        <v>12381.909547738695</v>
      </c>
      <c r="C5" s="4"/>
      <c r="D5" s="10" t="s">
        <v>69</v>
      </c>
      <c r="E5" s="3">
        <f>6190.954774*$B$7</f>
        <v>6172.1913124102721</v>
      </c>
      <c r="F5" s="2" t="s">
        <v>2</v>
      </c>
      <c r="G5" s="4"/>
      <c r="H5" s="10">
        <f t="shared" ref="H5:Q5" si="0">offset_Encoder-H4/i_Encoder/correctionEncoder</f>
        <v>29.988186292539638</v>
      </c>
      <c r="I5" s="10">
        <f t="shared" si="0"/>
        <v>29.988008295332989</v>
      </c>
      <c r="J5" s="10">
        <f t="shared" si="0"/>
        <v>29.987785798824675</v>
      </c>
      <c r="K5" s="10">
        <f t="shared" si="0"/>
        <v>29.987652300919684</v>
      </c>
      <c r="L5" s="10">
        <f t="shared" si="0"/>
        <v>29.987474303713036</v>
      </c>
      <c r="M5" s="10">
        <f t="shared" si="0"/>
        <v>29.987296306506387</v>
      </c>
      <c r="N5" s="10">
        <f t="shared" si="0"/>
        <v>29.987251807204728</v>
      </c>
      <c r="O5" s="10">
        <f t="shared" si="0"/>
        <v>29.987118309299731</v>
      </c>
      <c r="P5" s="10">
        <f t="shared" si="0"/>
        <v>29.987073809998073</v>
      </c>
      <c r="Q5" s="10">
        <f t="shared" si="0"/>
        <v>29.987118309299731</v>
      </c>
      <c r="R5" s="4"/>
    </row>
    <row r="6" spans="1:18" x14ac:dyDescent="0.3">
      <c r="A6" s="2" t="s">
        <v>61</v>
      </c>
      <c r="B6" s="3">
        <f>1/i_Motorization</f>
        <v>8.0762987012987004E-5</v>
      </c>
      <c r="C6" s="4"/>
      <c r="D6" s="10"/>
      <c r="E6" s="12"/>
      <c r="F6" s="2" t="s">
        <v>17</v>
      </c>
      <c r="G6" s="4"/>
      <c r="H6" s="13">
        <v>370312.37578100001</v>
      </c>
      <c r="I6" s="13">
        <v>370312.36875000002</v>
      </c>
      <c r="J6" s="13">
        <v>370312.36875000002</v>
      </c>
      <c r="K6" s="13">
        <v>370312.37578100001</v>
      </c>
      <c r="L6" s="13">
        <v>370312.36875000002</v>
      </c>
      <c r="M6" s="13">
        <v>370312.36875000002</v>
      </c>
      <c r="N6" s="13">
        <v>370312.37578100001</v>
      </c>
      <c r="O6" s="13">
        <v>370312.36875000002</v>
      </c>
      <c r="P6" s="13">
        <v>370312.37578100001</v>
      </c>
      <c r="Q6" s="13">
        <v>370312.36875000002</v>
      </c>
      <c r="R6" s="4"/>
    </row>
    <row r="7" spans="1:18" x14ac:dyDescent="0.3">
      <c r="A7" s="23" t="s">
        <v>21</v>
      </c>
      <c r="B7" s="12">
        <f>correctionMotor</f>
        <v>0.99696921359068424</v>
      </c>
      <c r="C7" s="4"/>
      <c r="D7" s="10"/>
      <c r="E7" s="12"/>
      <c r="F7" s="2" t="s">
        <v>55</v>
      </c>
      <c r="G7" s="4"/>
      <c r="H7" s="12">
        <f t="shared" ref="H7:Q7" si="1">H6*1/i_Motorization</f>
        <v>29.907533595949268</v>
      </c>
      <c r="I7" s="12">
        <f t="shared" si="1"/>
        <v>29.907533028104709</v>
      </c>
      <c r="J7" s="12">
        <f t="shared" si="1"/>
        <v>29.907533028104709</v>
      </c>
      <c r="K7" s="12">
        <f t="shared" si="1"/>
        <v>29.907533595949268</v>
      </c>
      <c r="L7" s="12">
        <f t="shared" si="1"/>
        <v>29.907533028104709</v>
      </c>
      <c r="M7" s="12">
        <f t="shared" si="1"/>
        <v>29.907533028104709</v>
      </c>
      <c r="N7" s="12">
        <f t="shared" si="1"/>
        <v>29.907533595949268</v>
      </c>
      <c r="O7" s="12">
        <f t="shared" si="1"/>
        <v>29.907533028104709</v>
      </c>
      <c r="P7" s="12">
        <f t="shared" si="1"/>
        <v>29.907533595949268</v>
      </c>
      <c r="Q7" s="12">
        <f t="shared" si="1"/>
        <v>29.907533028104709</v>
      </c>
      <c r="R7" s="4"/>
    </row>
    <row r="8" spans="1:18" x14ac:dyDescent="0.3">
      <c r="A8" s="23" t="s">
        <v>22</v>
      </c>
      <c r="B8" s="12">
        <f>correctionEncoder</f>
        <v>0.99696921359068424</v>
      </c>
      <c r="C8" s="4"/>
      <c r="D8" s="12">
        <f>J3-I3</f>
        <v>-2.9999999999930083E-4</v>
      </c>
      <c r="E8" s="12">
        <f>K3-J3</f>
        <v>-9.9999999999766942E-5</v>
      </c>
      <c r="F8" s="12">
        <f>L3-K3</f>
        <v>-4.0000000000262048E-4</v>
      </c>
      <c r="G8" s="4"/>
      <c r="H8" s="12">
        <f>M3-L3</f>
        <v>-1.9999999999953388E-4</v>
      </c>
      <c r="I8" s="7"/>
      <c r="J8" s="14"/>
      <c r="K8" s="7"/>
      <c r="L8" s="14"/>
      <c r="M8" s="7"/>
      <c r="N8" s="7"/>
      <c r="O8" s="7"/>
      <c r="P8" s="7"/>
      <c r="Q8" s="7"/>
      <c r="R8" s="4"/>
    </row>
    <row r="9" spans="1:18" x14ac:dyDescent="0.3">
      <c r="A9" s="20"/>
      <c r="B9" s="20"/>
      <c r="C9" s="4"/>
      <c r="D9" s="15"/>
      <c r="E9" s="4"/>
      <c r="G9" s="4"/>
      <c r="N9" s="12">
        <f t="shared" ref="N9:Q9" si="2">N3-M3</f>
        <v>0</v>
      </c>
      <c r="O9" s="12">
        <f t="shared" si="2"/>
        <v>-1.9999999999953388E-4</v>
      </c>
      <c r="P9" s="12">
        <f t="shared" si="2"/>
        <v>-1.9999999999953388E-4</v>
      </c>
      <c r="Q9" s="12">
        <f t="shared" si="2"/>
        <v>3.9999999999906777E-4</v>
      </c>
      <c r="R9" s="4"/>
    </row>
    <row r="10" spans="1:18" x14ac:dyDescent="0.3">
      <c r="C10" s="4"/>
      <c r="D10" s="15"/>
      <c r="E10" s="4"/>
      <c r="F10" s="4"/>
      <c r="G10" s="4"/>
      <c r="H10" s="2" t="s">
        <v>6</v>
      </c>
      <c r="I10" s="12">
        <f t="shared" ref="I10:Q13" si="3">I4-H4</f>
        <v>4</v>
      </c>
      <c r="J10" s="12">
        <f t="shared" si="3"/>
        <v>5</v>
      </c>
      <c r="K10" s="12">
        <f t="shared" si="3"/>
        <v>3</v>
      </c>
      <c r="L10" s="12">
        <f t="shared" si="3"/>
        <v>4</v>
      </c>
      <c r="M10" s="12">
        <f t="shared" si="3"/>
        <v>4</v>
      </c>
      <c r="N10" s="12">
        <f t="shared" si="3"/>
        <v>1</v>
      </c>
      <c r="O10" s="12">
        <f t="shared" si="3"/>
        <v>3</v>
      </c>
      <c r="P10" s="12">
        <f t="shared" si="3"/>
        <v>1</v>
      </c>
      <c r="Q10" s="12">
        <f t="shared" si="3"/>
        <v>-1</v>
      </c>
      <c r="R10" s="4"/>
    </row>
    <row r="11" spans="1:18" x14ac:dyDescent="0.3">
      <c r="C11" s="4"/>
      <c r="D11" s="15"/>
      <c r="E11" s="4"/>
      <c r="F11" s="4"/>
      <c r="G11" s="4"/>
      <c r="H11" s="2" t="s">
        <v>7</v>
      </c>
      <c r="I11" s="12">
        <f t="shared" si="3"/>
        <v>-1.7799720664868346E-4</v>
      </c>
      <c r="J11" s="12">
        <f t="shared" si="3"/>
        <v>-2.2249650831440704E-4</v>
      </c>
      <c r="K11" s="12">
        <f t="shared" si="3"/>
        <v>-1.3349790499006531E-4</v>
      </c>
      <c r="L11" s="12">
        <f t="shared" si="3"/>
        <v>-1.7799720664868346E-4</v>
      </c>
      <c r="M11" s="12">
        <f t="shared" si="3"/>
        <v>-1.7799720664868346E-4</v>
      </c>
      <c r="N11" s="12">
        <f t="shared" si="3"/>
        <v>-4.4499301658618151E-5</v>
      </c>
      <c r="O11" s="12">
        <f t="shared" si="3"/>
        <v>-1.3349790499717074E-4</v>
      </c>
      <c r="P11" s="12">
        <f t="shared" si="3"/>
        <v>-4.4499301658618151E-5</v>
      </c>
      <c r="Q11" s="12">
        <f t="shared" si="3"/>
        <v>4.4499301658618151E-5</v>
      </c>
      <c r="R11" s="4"/>
    </row>
    <row r="12" spans="1:18" x14ac:dyDescent="0.3">
      <c r="C12" s="4"/>
      <c r="D12" s="15"/>
      <c r="E12" s="4"/>
      <c r="F12" s="4"/>
      <c r="G12" s="4"/>
      <c r="H12" s="2" t="s">
        <v>56</v>
      </c>
      <c r="I12" s="12">
        <f t="shared" si="3"/>
        <v>-7.0309999864548445E-3</v>
      </c>
      <c r="J12" s="12">
        <f t="shared" si="3"/>
        <v>0</v>
      </c>
      <c r="K12" s="12">
        <f t="shared" si="3"/>
        <v>7.0309999864548445E-3</v>
      </c>
      <c r="L12" s="12">
        <f t="shared" si="3"/>
        <v>-7.0309999864548445E-3</v>
      </c>
      <c r="M12" s="12">
        <f t="shared" si="3"/>
        <v>0</v>
      </c>
      <c r="N12" s="12">
        <f t="shared" si="3"/>
        <v>7.0309999864548445E-3</v>
      </c>
      <c r="O12" s="12">
        <f t="shared" si="3"/>
        <v>-7.0309999864548445E-3</v>
      </c>
      <c r="P12" s="12">
        <f t="shared" si="3"/>
        <v>7.0309999864548445E-3</v>
      </c>
      <c r="Q12" s="12">
        <f t="shared" si="3"/>
        <v>-7.0309999864548445E-3</v>
      </c>
      <c r="R12" s="4"/>
    </row>
    <row r="13" spans="1:18" x14ac:dyDescent="0.3">
      <c r="C13" s="4"/>
      <c r="D13" s="15"/>
      <c r="E13" s="4"/>
      <c r="F13" s="4"/>
      <c r="G13" s="4"/>
      <c r="H13" s="2" t="s">
        <v>57</v>
      </c>
      <c r="I13" s="12">
        <f t="shared" si="3"/>
        <v>-5.6784455892966434E-7</v>
      </c>
      <c r="J13" s="12">
        <f t="shared" si="3"/>
        <v>0</v>
      </c>
      <c r="K13" s="12">
        <f t="shared" si="3"/>
        <v>5.6784455892966434E-7</v>
      </c>
      <c r="L13" s="12">
        <f t="shared" si="3"/>
        <v>-5.6784455892966434E-7</v>
      </c>
      <c r="M13" s="12">
        <f t="shared" si="3"/>
        <v>0</v>
      </c>
      <c r="N13" s="12">
        <f t="shared" si="3"/>
        <v>5.6784455892966434E-7</v>
      </c>
      <c r="O13" s="12">
        <f t="shared" si="3"/>
        <v>-5.6784455892966434E-7</v>
      </c>
      <c r="P13" s="12">
        <f t="shared" si="3"/>
        <v>5.6784455892966434E-7</v>
      </c>
      <c r="Q13" s="12">
        <f t="shared" si="3"/>
        <v>-5.6784455892966434E-7</v>
      </c>
      <c r="R13" s="4"/>
    </row>
    <row r="14" spans="1:18" x14ac:dyDescent="0.3">
      <c r="C14" s="4"/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3">
      <c r="D15" s="16"/>
    </row>
    <row r="16" spans="1:18" x14ac:dyDescent="0.3">
      <c r="C16" s="4"/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3:18" x14ac:dyDescent="0.3">
      <c r="C17" s="4"/>
      <c r="D17" s="6"/>
      <c r="E17" s="8" t="s">
        <v>72</v>
      </c>
      <c r="F17" s="7"/>
      <c r="G17" s="7"/>
      <c r="H17" s="9">
        <v>1</v>
      </c>
      <c r="I17" s="9">
        <v>2</v>
      </c>
      <c r="J17" s="9">
        <v>3</v>
      </c>
      <c r="K17" s="9">
        <v>4</v>
      </c>
      <c r="L17" s="9">
        <v>5</v>
      </c>
      <c r="M17" s="9">
        <v>6</v>
      </c>
      <c r="N17" s="9">
        <v>7</v>
      </c>
      <c r="O17" s="9">
        <v>8</v>
      </c>
      <c r="P17" s="9">
        <v>9</v>
      </c>
      <c r="Q17" s="9">
        <v>10</v>
      </c>
      <c r="R17" s="4"/>
    </row>
    <row r="18" spans="3:18" x14ac:dyDescent="0.3">
      <c r="C18" s="4"/>
      <c r="D18" s="10" t="s">
        <v>8</v>
      </c>
      <c r="E18" s="11">
        <v>29.977599999999999</v>
      </c>
      <c r="F18" s="2" t="s">
        <v>0</v>
      </c>
      <c r="G18" s="7"/>
      <c r="H18" s="12">
        <v>30.014700000000001</v>
      </c>
      <c r="I18" s="12">
        <v>30.013999999999999</v>
      </c>
      <c r="J18" s="12">
        <v>30.014700000000001</v>
      </c>
      <c r="K18" s="12">
        <v>30.014800000000001</v>
      </c>
      <c r="L18" s="12">
        <v>30.0153</v>
      </c>
      <c r="M18" s="12">
        <v>30.015899999999998</v>
      </c>
      <c r="N18" s="12">
        <v>30.015499999999999</v>
      </c>
      <c r="O18" s="12">
        <v>30.015999999999998</v>
      </c>
      <c r="P18" s="12">
        <v>30.015999999999998</v>
      </c>
      <c r="Q18" s="12">
        <v>30.016200000000001</v>
      </c>
      <c r="R18" s="4"/>
    </row>
    <row r="19" spans="3:18" x14ac:dyDescent="0.3">
      <c r="C19" s="4"/>
      <c r="D19" s="10" t="s">
        <v>9</v>
      </c>
      <c r="E19" s="3">
        <v>0.5</v>
      </c>
      <c r="F19" s="2" t="s">
        <v>1</v>
      </c>
      <c r="G19" s="7"/>
      <c r="H19" s="10">
        <v>1106511</v>
      </c>
      <c r="I19" s="10">
        <v>1106500</v>
      </c>
      <c r="J19" s="10">
        <v>1106491</v>
      </c>
      <c r="K19" s="10">
        <v>1106483</v>
      </c>
      <c r="L19" s="10">
        <v>1106476</v>
      </c>
      <c r="M19" s="10">
        <v>1106471</v>
      </c>
      <c r="N19" s="10">
        <v>1106467</v>
      </c>
      <c r="O19" s="10">
        <v>1106463</v>
      </c>
      <c r="P19" s="10">
        <v>1106459</v>
      </c>
      <c r="Q19" s="10">
        <v>1106459</v>
      </c>
      <c r="R19" s="4"/>
    </row>
    <row r="20" spans="3:18" x14ac:dyDescent="0.3">
      <c r="C20" s="4"/>
      <c r="D20" s="10" t="s">
        <v>69</v>
      </c>
      <c r="E20" s="3">
        <f>6190.954774*$B$7</f>
        <v>6172.1913124102721</v>
      </c>
      <c r="F20" s="2" t="s">
        <v>2</v>
      </c>
      <c r="G20" s="4"/>
      <c r="H20" s="10">
        <f t="shared" ref="H20:Q20" si="4">offset_Encoder-H19/i_Encoder/correctionEncoder</f>
        <v>30.01933580370352</v>
      </c>
      <c r="I20" s="10">
        <f t="shared" si="4"/>
        <v>30.019825296021814</v>
      </c>
      <c r="J20" s="10">
        <f t="shared" si="4"/>
        <v>30.020225789736784</v>
      </c>
      <c r="K20" s="10">
        <f t="shared" si="4"/>
        <v>30.020581784150082</v>
      </c>
      <c r="L20" s="10">
        <f t="shared" si="4"/>
        <v>30.02089327926172</v>
      </c>
      <c r="M20" s="10">
        <f t="shared" si="4"/>
        <v>30.021115775770035</v>
      </c>
      <c r="N20" s="10">
        <f t="shared" si="4"/>
        <v>30.021293772976684</v>
      </c>
      <c r="O20" s="10">
        <f t="shared" si="4"/>
        <v>30.021471770183339</v>
      </c>
      <c r="P20" s="10">
        <f t="shared" si="4"/>
        <v>30.021649767389988</v>
      </c>
      <c r="Q20" s="10">
        <f t="shared" si="4"/>
        <v>30.021649767389988</v>
      </c>
      <c r="R20" s="4"/>
    </row>
    <row r="21" spans="3:18" x14ac:dyDescent="0.3">
      <c r="C21" s="4"/>
      <c r="D21" s="10"/>
      <c r="E21" s="12"/>
      <c r="F21" s="2" t="s">
        <v>17</v>
      </c>
      <c r="G21" s="4"/>
      <c r="H21" s="13">
        <v>370312.46718799998</v>
      </c>
      <c r="I21" s="13">
        <v>370312.46015599999</v>
      </c>
      <c r="J21" s="13">
        <v>370312.46015599999</v>
      </c>
      <c r="K21" s="13">
        <v>370312.46718799998</v>
      </c>
      <c r="L21" s="13">
        <v>370312.46015599999</v>
      </c>
      <c r="M21" s="13">
        <v>370312.46015599999</v>
      </c>
      <c r="N21" s="13">
        <v>370312.46015599999</v>
      </c>
      <c r="O21" s="13">
        <v>370312.46015599999</v>
      </c>
      <c r="P21" s="13">
        <v>370312.46015599999</v>
      </c>
      <c r="Q21" s="13">
        <v>370312.46015599999</v>
      </c>
      <c r="R21" s="4"/>
    </row>
    <row r="22" spans="3:18" x14ac:dyDescent="0.3">
      <c r="C22" s="4"/>
      <c r="D22" s="10"/>
      <c r="E22" s="12"/>
      <c r="F22" s="2" t="s">
        <v>55</v>
      </c>
      <c r="G22" s="4"/>
      <c r="H22" s="12">
        <f t="shared" ref="H22:Q22" si="5">H21*1/i_Motorization</f>
        <v>29.907540978251618</v>
      </c>
      <c r="I22" s="12">
        <f t="shared" si="5"/>
        <v>29.907540410326295</v>
      </c>
      <c r="J22" s="12">
        <f t="shared" si="5"/>
        <v>29.907540410326295</v>
      </c>
      <c r="K22" s="12">
        <f t="shared" si="5"/>
        <v>29.907540978251618</v>
      </c>
      <c r="L22" s="12">
        <f t="shared" si="5"/>
        <v>29.907540410326295</v>
      </c>
      <c r="M22" s="12">
        <f t="shared" si="5"/>
        <v>29.907540410326295</v>
      </c>
      <c r="N22" s="12">
        <f t="shared" si="5"/>
        <v>29.907540410326295</v>
      </c>
      <c r="O22" s="12">
        <f t="shared" si="5"/>
        <v>29.907540410326295</v>
      </c>
      <c r="P22" s="12">
        <f t="shared" si="5"/>
        <v>29.907540410326295</v>
      </c>
      <c r="Q22" s="12">
        <f t="shared" si="5"/>
        <v>29.907540410326295</v>
      </c>
      <c r="R22" s="4"/>
    </row>
    <row r="23" spans="3:18" x14ac:dyDescent="0.3">
      <c r="C23" s="4"/>
      <c r="D23" s="6"/>
      <c r="E23" s="7"/>
      <c r="F23" s="7"/>
      <c r="G23" s="4"/>
      <c r="H23" s="7"/>
      <c r="I23" s="7"/>
      <c r="J23" s="7"/>
      <c r="K23" s="7"/>
      <c r="L23" s="7"/>
      <c r="M23" s="7"/>
      <c r="N23" s="7"/>
      <c r="O23" s="7"/>
      <c r="P23" s="7"/>
      <c r="Q23" s="7"/>
      <c r="R23" s="4"/>
    </row>
    <row r="24" spans="3:18" x14ac:dyDescent="0.3">
      <c r="C24" s="4"/>
      <c r="D24" s="15"/>
      <c r="E24" s="4"/>
      <c r="F24" s="4"/>
      <c r="G24" s="4"/>
      <c r="H24" s="2" t="s">
        <v>5</v>
      </c>
      <c r="I24" s="12">
        <f>I18-H18</f>
        <v>-7.0000000000192131E-4</v>
      </c>
      <c r="J24" s="12">
        <f t="shared" ref="J24:Q24" si="6">J18-I18</f>
        <v>7.0000000000192131E-4</v>
      </c>
      <c r="K24" s="12">
        <f t="shared" si="6"/>
        <v>9.9999999999766942E-5</v>
      </c>
      <c r="L24" s="12">
        <f t="shared" si="6"/>
        <v>4.9999999999883471E-4</v>
      </c>
      <c r="M24" s="12">
        <f t="shared" si="6"/>
        <v>5.9999999999860165E-4</v>
      </c>
      <c r="N24" s="12">
        <f t="shared" si="6"/>
        <v>-3.9999999999906777E-4</v>
      </c>
      <c r="O24" s="12">
        <f t="shared" si="6"/>
        <v>4.9999999999883471E-4</v>
      </c>
      <c r="P24" s="12">
        <f t="shared" si="6"/>
        <v>0</v>
      </c>
      <c r="Q24" s="12">
        <f t="shared" si="6"/>
        <v>2.000000000030866E-4</v>
      </c>
      <c r="R24" s="4"/>
    </row>
    <row r="25" spans="3:18" x14ac:dyDescent="0.3">
      <c r="C25" s="4"/>
      <c r="D25" s="15"/>
      <c r="E25" s="4"/>
      <c r="F25" s="4"/>
      <c r="G25" s="4"/>
      <c r="H25" s="2" t="s">
        <v>6</v>
      </c>
      <c r="I25" s="12">
        <f t="shared" ref="I25:Q28" si="7">I19-H19</f>
        <v>-11</v>
      </c>
      <c r="J25" s="12">
        <f t="shared" si="7"/>
        <v>-9</v>
      </c>
      <c r="K25" s="12">
        <f t="shared" si="7"/>
        <v>-8</v>
      </c>
      <c r="L25" s="12">
        <f t="shared" si="7"/>
        <v>-7</v>
      </c>
      <c r="M25" s="12">
        <f t="shared" si="7"/>
        <v>-5</v>
      </c>
      <c r="N25" s="12">
        <f t="shared" si="7"/>
        <v>-4</v>
      </c>
      <c r="O25" s="12">
        <f t="shared" si="7"/>
        <v>-4</v>
      </c>
      <c r="P25" s="12">
        <f t="shared" si="7"/>
        <v>-4</v>
      </c>
      <c r="Q25" s="12">
        <f t="shared" si="7"/>
        <v>0</v>
      </c>
      <c r="R25" s="4"/>
    </row>
    <row r="26" spans="3:18" x14ac:dyDescent="0.3">
      <c r="C26" s="4"/>
      <c r="D26" s="15"/>
      <c r="E26" s="4"/>
      <c r="F26" s="4"/>
      <c r="G26" s="4"/>
      <c r="H26" s="2" t="s">
        <v>7</v>
      </c>
      <c r="I26" s="12">
        <f t="shared" si="7"/>
        <v>4.8949231829453765E-4</v>
      </c>
      <c r="J26" s="12">
        <f t="shared" si="7"/>
        <v>4.0049371497019592E-4</v>
      </c>
      <c r="K26" s="12">
        <f t="shared" si="7"/>
        <v>3.5599441329736692E-4</v>
      </c>
      <c r="L26" s="12">
        <f t="shared" si="7"/>
        <v>3.1149511163874877E-4</v>
      </c>
      <c r="M26" s="12">
        <f t="shared" si="7"/>
        <v>2.2249650831440704E-4</v>
      </c>
      <c r="N26" s="12">
        <f t="shared" si="7"/>
        <v>1.7799720664868346E-4</v>
      </c>
      <c r="O26" s="12">
        <f t="shared" si="7"/>
        <v>1.7799720665578889E-4</v>
      </c>
      <c r="P26" s="12">
        <f t="shared" si="7"/>
        <v>1.7799720664868346E-4</v>
      </c>
      <c r="Q26" s="12">
        <f t="shared" si="7"/>
        <v>0</v>
      </c>
      <c r="R26" s="4"/>
    </row>
    <row r="27" spans="3:18" x14ac:dyDescent="0.3">
      <c r="C27" s="4"/>
      <c r="D27" s="15"/>
      <c r="E27" s="4"/>
      <c r="F27" s="4"/>
      <c r="G27" s="4"/>
      <c r="H27" s="2" t="s">
        <v>56</v>
      </c>
      <c r="I27" s="12">
        <f t="shared" si="7"/>
        <v>-7.0319999940693378E-3</v>
      </c>
      <c r="J27" s="12">
        <f t="shared" si="7"/>
        <v>0</v>
      </c>
      <c r="K27" s="12">
        <f t="shared" si="7"/>
        <v>7.0319999940693378E-3</v>
      </c>
      <c r="L27" s="12">
        <f t="shared" si="7"/>
        <v>-7.0319999940693378E-3</v>
      </c>
      <c r="M27" s="12">
        <f t="shared" si="7"/>
        <v>0</v>
      </c>
      <c r="N27" s="12">
        <f t="shared" si="7"/>
        <v>0</v>
      </c>
      <c r="O27" s="12">
        <f t="shared" si="7"/>
        <v>0</v>
      </c>
      <c r="P27" s="12">
        <f t="shared" si="7"/>
        <v>0</v>
      </c>
      <c r="Q27" s="12">
        <f t="shared" si="7"/>
        <v>0</v>
      </c>
      <c r="R27" s="4"/>
    </row>
    <row r="28" spans="3:18" x14ac:dyDescent="0.3">
      <c r="C28" s="4"/>
      <c r="D28" s="15"/>
      <c r="E28" s="4"/>
      <c r="F28" s="4"/>
      <c r="G28" s="4"/>
      <c r="H28" s="2" t="s">
        <v>57</v>
      </c>
      <c r="I28" s="12">
        <f t="shared" si="7"/>
        <v>-5.6792532276972452E-7</v>
      </c>
      <c r="J28" s="12">
        <f t="shared" si="7"/>
        <v>0</v>
      </c>
      <c r="K28" s="12">
        <f t="shared" si="7"/>
        <v>5.6792532276972452E-7</v>
      </c>
      <c r="L28" s="12">
        <f t="shared" si="7"/>
        <v>-5.6792532276972452E-7</v>
      </c>
      <c r="M28" s="12">
        <f t="shared" si="7"/>
        <v>0</v>
      </c>
      <c r="N28" s="12">
        <f t="shared" si="7"/>
        <v>0</v>
      </c>
      <c r="O28" s="12">
        <f t="shared" si="7"/>
        <v>0</v>
      </c>
      <c r="P28" s="12">
        <f t="shared" si="7"/>
        <v>0</v>
      </c>
      <c r="Q28" s="12">
        <f t="shared" si="7"/>
        <v>0</v>
      </c>
      <c r="R28" s="4"/>
    </row>
    <row r="29" spans="3:18" x14ac:dyDescent="0.3">
      <c r="C29" s="4"/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3" spans="3:7" x14ac:dyDescent="0.3">
      <c r="C33" s="4"/>
      <c r="D33" s="6"/>
      <c r="E33" s="7"/>
      <c r="F33" s="7"/>
      <c r="G33" s="7"/>
    </row>
    <row r="34" spans="3:7" x14ac:dyDescent="0.3">
      <c r="C34" s="4"/>
      <c r="D34" s="49"/>
      <c r="E34" s="46" t="s">
        <v>85</v>
      </c>
      <c r="F34" s="57">
        <f>4*STDEV(H3:Q3)</f>
        <v>1.9995555061639615E-3</v>
      </c>
      <c r="G34" s="7"/>
    </row>
    <row r="35" spans="3:7" x14ac:dyDescent="0.3">
      <c r="C35" s="4"/>
      <c r="D35" s="49"/>
      <c r="E35" s="46" t="s">
        <v>86</v>
      </c>
      <c r="F35" s="57">
        <f>4*STDEV(H18:Q18)</f>
        <v>2.9360593393921814E-3</v>
      </c>
      <c r="G35" s="7"/>
    </row>
    <row r="36" spans="3:7" x14ac:dyDescent="0.3">
      <c r="C36" s="4"/>
      <c r="D36" s="49"/>
      <c r="E36" s="46" t="s">
        <v>87</v>
      </c>
      <c r="F36" s="57">
        <f>ABS(AVERAGE(H3:Q3)-AVERAGE(H18:Q18))</f>
        <v>3.742000000000445E-2</v>
      </c>
      <c r="G36" s="4"/>
    </row>
    <row r="37" spans="3:7" x14ac:dyDescent="0.3">
      <c r="C37" s="4"/>
      <c r="D37" s="6"/>
      <c r="E37" s="7"/>
      <c r="F37" s="7"/>
      <c r="G37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A4114-A42E-4388-AF34-C9B2AFEAAA0A}">
  <dimension ref="A1:R37"/>
  <sheetViews>
    <sheetView tabSelected="1" topLeftCell="C7" zoomScale="85" zoomScaleNormal="85" workbookViewId="0">
      <selection activeCell="K49" sqref="K49:P49"/>
    </sheetView>
  </sheetViews>
  <sheetFormatPr baseColWidth="10" defaultRowHeight="14.4" x14ac:dyDescent="0.3"/>
  <cols>
    <col min="1" max="1" width="24.44140625" customWidth="1"/>
    <col min="2" max="2" width="12" bestFit="1" customWidth="1"/>
    <col min="4" max="4" width="16.6640625" bestFit="1" customWidth="1"/>
    <col min="5" max="6" width="15.6640625" customWidth="1"/>
    <col min="7" max="7" width="17.44140625" customWidth="1"/>
    <col min="8" max="8" width="18.6640625" bestFit="1" customWidth="1"/>
    <col min="9" max="17" width="15.6640625" customWidth="1"/>
  </cols>
  <sheetData>
    <row r="1" spans="1:18" x14ac:dyDescent="0.3">
      <c r="A1" s="4"/>
      <c r="B1" s="4"/>
      <c r="C1" s="5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4"/>
    </row>
    <row r="2" spans="1:18" x14ac:dyDescent="0.3">
      <c r="A2" s="2" t="s">
        <v>18</v>
      </c>
      <c r="B2" s="3">
        <v>688</v>
      </c>
      <c r="C2" s="5"/>
      <c r="D2" s="6"/>
      <c r="E2" s="8" t="s">
        <v>73</v>
      </c>
      <c r="F2" s="7"/>
      <c r="G2" s="7"/>
      <c r="H2" s="9">
        <v>1</v>
      </c>
      <c r="I2" s="9">
        <v>2</v>
      </c>
      <c r="J2" s="9">
        <v>3</v>
      </c>
      <c r="K2" s="9">
        <v>4</v>
      </c>
      <c r="L2" s="9">
        <v>5</v>
      </c>
      <c r="M2" s="9">
        <v>6</v>
      </c>
      <c r="N2" s="9">
        <v>7</v>
      </c>
      <c r="O2" s="9">
        <v>8</v>
      </c>
      <c r="P2" s="9">
        <v>9</v>
      </c>
      <c r="Q2" s="9">
        <v>10</v>
      </c>
      <c r="R2" s="4"/>
    </row>
    <row r="3" spans="1:18" x14ac:dyDescent="0.3">
      <c r="A3" s="2" t="s">
        <v>3</v>
      </c>
      <c r="B3" s="3">
        <v>12</v>
      </c>
      <c r="C3" s="4"/>
      <c r="D3" s="10" t="s">
        <v>8</v>
      </c>
      <c r="E3" s="11">
        <v>39.999899999999997</v>
      </c>
      <c r="F3" s="2" t="s">
        <v>0</v>
      </c>
      <c r="G3" s="48">
        <f>E3</f>
        <v>39.999899999999997</v>
      </c>
      <c r="H3" s="12">
        <v>40.001100000000001</v>
      </c>
      <c r="I3" s="12">
        <v>40.000500000000002</v>
      </c>
      <c r="J3" s="12">
        <v>40.0002</v>
      </c>
      <c r="K3" s="12">
        <v>40</v>
      </c>
      <c r="L3" s="12">
        <v>40</v>
      </c>
      <c r="M3" s="12">
        <v>39.999699999999997</v>
      </c>
      <c r="N3" s="12">
        <v>39.999499999999998</v>
      </c>
      <c r="O3" s="12">
        <v>39.999099999999999</v>
      </c>
      <c r="P3" s="12">
        <v>39.999200000000002</v>
      </c>
      <c r="Q3" s="12">
        <v>39.999000000000002</v>
      </c>
      <c r="R3" s="4"/>
    </row>
    <row r="4" spans="1:18" x14ac:dyDescent="0.3">
      <c r="A4" s="2" t="s">
        <v>63</v>
      </c>
      <c r="B4" s="3">
        <f>1/i_Encoder</f>
        <v>4.4364433783989446E-5</v>
      </c>
      <c r="C4" s="4"/>
      <c r="D4" s="10" t="s">
        <v>9</v>
      </c>
      <c r="E4" s="3">
        <v>0.5</v>
      </c>
      <c r="F4" s="2" t="s">
        <v>1</v>
      </c>
      <c r="G4" s="4"/>
      <c r="H4" s="10">
        <v>882183</v>
      </c>
      <c r="I4" s="10">
        <v>882192</v>
      </c>
      <c r="J4" s="10">
        <v>882200</v>
      </c>
      <c r="K4" s="10">
        <v>882207</v>
      </c>
      <c r="L4" s="10">
        <v>882212</v>
      </c>
      <c r="M4" s="10">
        <v>882219</v>
      </c>
      <c r="N4" s="10">
        <v>882220</v>
      </c>
      <c r="O4" s="10">
        <v>882227</v>
      </c>
      <c r="P4" s="10">
        <v>882231</v>
      </c>
      <c r="Q4" s="10">
        <v>882231</v>
      </c>
      <c r="R4" s="4"/>
    </row>
    <row r="5" spans="1:18" x14ac:dyDescent="0.3">
      <c r="A5" s="2" t="s">
        <v>58</v>
      </c>
      <c r="B5" s="3">
        <f>i_Motorization</f>
        <v>12381.909547738695</v>
      </c>
      <c r="C5" s="4"/>
      <c r="D5" s="10" t="s">
        <v>69</v>
      </c>
      <c r="E5" s="3">
        <f>6190.954774*$B$7</f>
        <v>6172.1913124102721</v>
      </c>
      <c r="F5" s="2" t="s">
        <v>2</v>
      </c>
      <c r="G5" s="4"/>
      <c r="H5" s="10">
        <f t="shared" ref="H5:Q5" si="0">offset_Encoder-H4/i_Encoder/correctionEncoder</f>
        <v>40.001775147092069</v>
      </c>
      <c r="I5" s="10">
        <f t="shared" si="0"/>
        <v>40.001374653377106</v>
      </c>
      <c r="J5" s="10">
        <f t="shared" si="0"/>
        <v>40.001018658963808</v>
      </c>
      <c r="K5" s="10">
        <f t="shared" si="0"/>
        <v>40.000707163852162</v>
      </c>
      <c r="L5" s="10">
        <f t="shared" si="0"/>
        <v>40.000484667343848</v>
      </c>
      <c r="M5" s="10">
        <f t="shared" si="0"/>
        <v>40.000173172232216</v>
      </c>
      <c r="N5" s="10">
        <f t="shared" si="0"/>
        <v>40.000128672930551</v>
      </c>
      <c r="O5" s="10">
        <f t="shared" si="0"/>
        <v>39.999817177818912</v>
      </c>
      <c r="P5" s="10">
        <f t="shared" si="0"/>
        <v>39.999639180612263</v>
      </c>
      <c r="Q5" s="10">
        <f t="shared" si="0"/>
        <v>39.999639180612263</v>
      </c>
      <c r="R5" s="4"/>
    </row>
    <row r="6" spans="1:18" x14ac:dyDescent="0.3">
      <c r="A6" s="2" t="s">
        <v>61</v>
      </c>
      <c r="B6" s="3">
        <f>1/i_Motorization</f>
        <v>8.0762987012987004E-5</v>
      </c>
      <c r="C6" s="4"/>
      <c r="D6" s="10"/>
      <c r="E6" s="12"/>
      <c r="F6" s="2" t="s">
        <v>17</v>
      </c>
      <c r="G6" s="4"/>
      <c r="H6" s="13">
        <v>493935.152344</v>
      </c>
      <c r="I6" s="13">
        <v>493935.152344</v>
      </c>
      <c r="J6" s="13">
        <v>493935.157596</v>
      </c>
      <c r="K6" s="13">
        <v>493935.152344</v>
      </c>
      <c r="L6" s="13">
        <v>493935.152344</v>
      </c>
      <c r="M6" s="13">
        <v>493935.152344</v>
      </c>
      <c r="N6" s="13">
        <v>493935.15937499999</v>
      </c>
      <c r="O6" s="13">
        <v>493935.152344</v>
      </c>
      <c r="P6" s="13">
        <v>493935.152344</v>
      </c>
      <c r="Q6" s="13">
        <v>493935.15937499999</v>
      </c>
      <c r="R6" s="4"/>
    </row>
    <row r="7" spans="1:18" x14ac:dyDescent="0.3">
      <c r="A7" s="23" t="s">
        <v>21</v>
      </c>
      <c r="B7" s="12">
        <f>correctionMotor</f>
        <v>0.99696921359068424</v>
      </c>
      <c r="C7" s="4"/>
      <c r="D7" s="10"/>
      <c r="E7" s="12"/>
      <c r="F7" s="2" t="s">
        <v>55</v>
      </c>
      <c r="G7" s="4"/>
      <c r="H7" s="12">
        <f t="shared" ref="H7:Q7" si="1">H6*1/i_Motorization</f>
        <v>39.891678294016231</v>
      </c>
      <c r="I7" s="12">
        <f t="shared" si="1"/>
        <v>39.891678294016231</v>
      </c>
      <c r="J7" s="12">
        <f t="shared" si="1"/>
        <v>39.891678718183435</v>
      </c>
      <c r="K7" s="12">
        <f t="shared" si="1"/>
        <v>39.891678294016231</v>
      </c>
      <c r="L7" s="12">
        <f t="shared" si="1"/>
        <v>39.891678294016231</v>
      </c>
      <c r="M7" s="12">
        <f t="shared" si="1"/>
        <v>39.891678294016231</v>
      </c>
      <c r="N7" s="12">
        <f t="shared" si="1"/>
        <v>39.89167886186079</v>
      </c>
      <c r="O7" s="12">
        <f t="shared" si="1"/>
        <v>39.891678294016231</v>
      </c>
      <c r="P7" s="12">
        <f t="shared" si="1"/>
        <v>39.891678294016231</v>
      </c>
      <c r="Q7" s="12">
        <f t="shared" si="1"/>
        <v>39.89167886186079</v>
      </c>
      <c r="R7" s="4"/>
    </row>
    <row r="8" spans="1:18" x14ac:dyDescent="0.3">
      <c r="A8" s="23" t="s">
        <v>22</v>
      </c>
      <c r="B8" s="12">
        <f>correctionEncoder</f>
        <v>0.99696921359068424</v>
      </c>
      <c r="C8" s="4"/>
      <c r="D8" s="6"/>
      <c r="E8" s="7"/>
      <c r="F8" s="14"/>
      <c r="G8" s="4"/>
      <c r="H8" s="7"/>
      <c r="I8" s="7"/>
      <c r="J8" s="14"/>
      <c r="K8" s="7"/>
      <c r="L8" s="14"/>
      <c r="M8" s="7"/>
      <c r="N8" s="7"/>
      <c r="O8" s="7"/>
      <c r="P8" s="7"/>
      <c r="Q8" s="7"/>
      <c r="R8" s="4"/>
    </row>
    <row r="9" spans="1:18" x14ac:dyDescent="0.3">
      <c r="A9" s="20"/>
      <c r="B9" s="20"/>
      <c r="C9" s="4"/>
      <c r="D9" s="15"/>
      <c r="E9" s="4"/>
      <c r="F9" s="4"/>
      <c r="G9" s="4"/>
      <c r="H9" s="2" t="s">
        <v>5</v>
      </c>
      <c r="I9" s="12">
        <f>I3-H3</f>
        <v>-5.9999999999860165E-4</v>
      </c>
      <c r="J9" s="12">
        <f t="shared" ref="J9:Q9" si="2">J3-I3</f>
        <v>-3.0000000000285354E-4</v>
      </c>
      <c r="K9" s="12">
        <f t="shared" si="2"/>
        <v>-1.9999999999953388E-4</v>
      </c>
      <c r="L9" s="12">
        <f t="shared" si="2"/>
        <v>0</v>
      </c>
      <c r="M9" s="12">
        <f t="shared" si="2"/>
        <v>-3.0000000000285354E-4</v>
      </c>
      <c r="N9" s="12">
        <f t="shared" si="2"/>
        <v>-1.9999999999953388E-4</v>
      </c>
      <c r="O9" s="12">
        <f t="shared" si="2"/>
        <v>-3.9999999999906777E-4</v>
      </c>
      <c r="P9" s="12">
        <f t="shared" si="2"/>
        <v>1.0000000000331966E-4</v>
      </c>
      <c r="Q9" s="12">
        <f t="shared" si="2"/>
        <v>-1.9999999999953388E-4</v>
      </c>
      <c r="R9" s="4"/>
    </row>
    <row r="10" spans="1:18" x14ac:dyDescent="0.3">
      <c r="C10" s="4"/>
      <c r="D10" s="15"/>
      <c r="E10" s="4"/>
      <c r="F10" s="4"/>
      <c r="G10" s="4"/>
      <c r="H10" s="2" t="s">
        <v>6</v>
      </c>
      <c r="I10" s="12">
        <f t="shared" ref="I10:Q13" si="3">I4-H4</f>
        <v>9</v>
      </c>
      <c r="J10" s="12">
        <f t="shared" si="3"/>
        <v>8</v>
      </c>
      <c r="K10" s="12">
        <f t="shared" si="3"/>
        <v>7</v>
      </c>
      <c r="L10" s="12">
        <f t="shared" si="3"/>
        <v>5</v>
      </c>
      <c r="M10" s="12">
        <f t="shared" si="3"/>
        <v>7</v>
      </c>
      <c r="N10" s="12">
        <f t="shared" si="3"/>
        <v>1</v>
      </c>
      <c r="O10" s="12">
        <f t="shared" si="3"/>
        <v>7</v>
      </c>
      <c r="P10" s="12">
        <f t="shared" si="3"/>
        <v>4</v>
      </c>
      <c r="Q10" s="12">
        <f t="shared" si="3"/>
        <v>0</v>
      </c>
      <c r="R10" s="4"/>
    </row>
    <row r="11" spans="1:18" x14ac:dyDescent="0.3">
      <c r="C11" s="4"/>
      <c r="D11" s="15"/>
      <c r="E11" s="4"/>
      <c r="F11" s="4"/>
      <c r="G11" s="4"/>
      <c r="H11" s="2" t="s">
        <v>7</v>
      </c>
      <c r="I11" s="12">
        <f t="shared" si="3"/>
        <v>-4.004937149630905E-4</v>
      </c>
      <c r="J11" s="12">
        <f t="shared" si="3"/>
        <v>-3.5599441329736692E-4</v>
      </c>
      <c r="K11" s="12">
        <f t="shared" si="3"/>
        <v>-3.1149511164585419E-4</v>
      </c>
      <c r="L11" s="12">
        <f t="shared" si="3"/>
        <v>-2.2249650831440704E-4</v>
      </c>
      <c r="M11" s="12">
        <f t="shared" si="3"/>
        <v>-3.1149511163164334E-4</v>
      </c>
      <c r="N11" s="12">
        <f t="shared" si="3"/>
        <v>-4.4499301665723578E-5</v>
      </c>
      <c r="O11" s="12">
        <f t="shared" si="3"/>
        <v>-3.1149511163874877E-4</v>
      </c>
      <c r="P11" s="12">
        <f t="shared" si="3"/>
        <v>-1.7799720664868346E-4</v>
      </c>
      <c r="Q11" s="12">
        <f t="shared" si="3"/>
        <v>0</v>
      </c>
      <c r="R11" s="4"/>
    </row>
    <row r="12" spans="1:18" x14ac:dyDescent="0.3">
      <c r="C12" s="4"/>
      <c r="D12" s="15"/>
      <c r="E12" s="4"/>
      <c r="F12" s="4"/>
      <c r="G12" s="4"/>
      <c r="H12" s="2" t="s">
        <v>56</v>
      </c>
      <c r="I12" s="12">
        <f t="shared" si="3"/>
        <v>0</v>
      </c>
      <c r="J12" s="12">
        <f t="shared" si="3"/>
        <v>5.252000002656132E-3</v>
      </c>
      <c r="K12" s="12">
        <f t="shared" si="3"/>
        <v>-5.252000002656132E-3</v>
      </c>
      <c r="L12" s="12">
        <f t="shared" si="3"/>
        <v>0</v>
      </c>
      <c r="M12" s="12">
        <f t="shared" si="3"/>
        <v>0</v>
      </c>
      <c r="N12" s="12">
        <f t="shared" si="3"/>
        <v>7.0309999864548445E-3</v>
      </c>
      <c r="O12" s="12">
        <f t="shared" si="3"/>
        <v>-7.0309999864548445E-3</v>
      </c>
      <c r="P12" s="12">
        <f t="shared" si="3"/>
        <v>0</v>
      </c>
      <c r="Q12" s="12">
        <f t="shared" si="3"/>
        <v>7.0309999864548445E-3</v>
      </c>
      <c r="R12" s="4"/>
    </row>
    <row r="13" spans="1:18" x14ac:dyDescent="0.3">
      <c r="C13" s="4"/>
      <c r="D13" s="15"/>
      <c r="E13" s="4"/>
      <c r="F13" s="4"/>
      <c r="G13" s="4"/>
      <c r="H13" s="2" t="s">
        <v>57</v>
      </c>
      <c r="I13" s="12">
        <f t="shared" si="3"/>
        <v>0</v>
      </c>
      <c r="J13" s="12">
        <f t="shared" si="3"/>
        <v>4.2416720447135958E-7</v>
      </c>
      <c r="K13" s="12">
        <f t="shared" si="3"/>
        <v>-4.2416720447135958E-7</v>
      </c>
      <c r="L13" s="12">
        <f t="shared" si="3"/>
        <v>0</v>
      </c>
      <c r="M13" s="12">
        <f t="shared" si="3"/>
        <v>0</v>
      </c>
      <c r="N13" s="12">
        <f t="shared" si="3"/>
        <v>5.6784455892966434E-7</v>
      </c>
      <c r="O13" s="12">
        <f t="shared" si="3"/>
        <v>-5.6784455892966434E-7</v>
      </c>
      <c r="P13" s="12">
        <f t="shared" si="3"/>
        <v>0</v>
      </c>
      <c r="Q13" s="12">
        <f t="shared" si="3"/>
        <v>5.6784455892966434E-7</v>
      </c>
      <c r="R13" s="4"/>
    </row>
    <row r="14" spans="1:18" x14ac:dyDescent="0.3">
      <c r="C14" s="4"/>
      <c r="D14" s="1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x14ac:dyDescent="0.3">
      <c r="D15" s="16"/>
    </row>
    <row r="16" spans="1:18" x14ac:dyDescent="0.3">
      <c r="C16" s="4"/>
      <c r="D16" s="1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3:18" x14ac:dyDescent="0.3">
      <c r="C17" s="4"/>
      <c r="D17" s="6"/>
      <c r="E17" s="8" t="s">
        <v>74</v>
      </c>
      <c r="F17" s="7"/>
      <c r="G17" s="7"/>
      <c r="H17" s="9">
        <v>1</v>
      </c>
      <c r="I17" s="9">
        <v>2</v>
      </c>
      <c r="J17" s="9">
        <v>3</v>
      </c>
      <c r="K17" s="9">
        <v>4</v>
      </c>
      <c r="L17" s="9">
        <v>5</v>
      </c>
      <c r="M17" s="9">
        <v>6</v>
      </c>
      <c r="N17" s="9">
        <v>7</v>
      </c>
      <c r="O17" s="9">
        <v>8</v>
      </c>
      <c r="P17" s="9">
        <v>9</v>
      </c>
      <c r="Q17" s="9">
        <v>10</v>
      </c>
      <c r="R17" s="4"/>
    </row>
    <row r="18" spans="3:18" x14ac:dyDescent="0.3">
      <c r="C18" s="4"/>
      <c r="D18" s="10" t="s">
        <v>8</v>
      </c>
      <c r="E18" s="11">
        <v>39.999000000000002</v>
      </c>
      <c r="F18" s="2" t="s">
        <v>0</v>
      </c>
      <c r="G18" s="7"/>
      <c r="H18" s="12">
        <v>40.029000000000003</v>
      </c>
      <c r="I18" s="12">
        <v>40.03</v>
      </c>
      <c r="J18" s="12">
        <v>40.030500000000004</v>
      </c>
      <c r="K18" s="12">
        <v>40.030799999999999</v>
      </c>
      <c r="L18" s="12">
        <v>40.030999999999999</v>
      </c>
      <c r="M18" s="12">
        <v>40.031500000000001</v>
      </c>
      <c r="N18" s="12">
        <v>40.031399999999998</v>
      </c>
      <c r="O18" s="12">
        <v>40.031799999999997</v>
      </c>
      <c r="P18" s="12">
        <v>40.031799999999997</v>
      </c>
      <c r="Q18" s="12">
        <v>40.032200000000003</v>
      </c>
      <c r="R18" s="4"/>
    </row>
    <row r="19" spans="3:18" x14ac:dyDescent="0.3">
      <c r="C19" s="4"/>
      <c r="D19" s="10" t="s">
        <v>9</v>
      </c>
      <c r="E19" s="3">
        <v>0.5</v>
      </c>
      <c r="F19" s="2" t="s">
        <v>1</v>
      </c>
      <c r="G19" s="7"/>
      <c r="H19" s="10">
        <v>881592</v>
      </c>
      <c r="I19" s="10">
        <v>881576</v>
      </c>
      <c r="J19" s="10">
        <v>881564</v>
      </c>
      <c r="K19" s="10">
        <v>881559</v>
      </c>
      <c r="L19" s="10">
        <v>881552</v>
      </c>
      <c r="M19" s="10">
        <v>881548</v>
      </c>
      <c r="N19" s="10">
        <v>881543</v>
      </c>
      <c r="O19" s="10">
        <v>881539</v>
      </c>
      <c r="P19" s="10">
        <v>881535</v>
      </c>
      <c r="Q19" s="10">
        <v>881528</v>
      </c>
      <c r="R19" s="4"/>
    </row>
    <row r="20" spans="3:18" x14ac:dyDescent="0.3">
      <c r="C20" s="4"/>
      <c r="D20" s="10" t="s">
        <v>69</v>
      </c>
      <c r="E20" s="3">
        <f>6190.954774*$B$7</f>
        <v>6172.1913124102721</v>
      </c>
      <c r="F20" s="2" t="s">
        <v>2</v>
      </c>
      <c r="G20" s="4"/>
      <c r="H20" s="10">
        <f t="shared" ref="H20:Q20" si="4">offset_Encoder-H19/i_Encoder/correctionEncoder</f>
        <v>40.028074234374721</v>
      </c>
      <c r="I20" s="10">
        <f t="shared" si="4"/>
        <v>40.028786223201323</v>
      </c>
      <c r="J20" s="10">
        <f t="shared" si="4"/>
        <v>40.029320214821276</v>
      </c>
      <c r="K20" s="10">
        <f t="shared" si="4"/>
        <v>40.02954271132959</v>
      </c>
      <c r="L20" s="10">
        <f t="shared" si="4"/>
        <v>40.029854206441229</v>
      </c>
      <c r="M20" s="10">
        <f t="shared" si="4"/>
        <v>40.030032203647878</v>
      </c>
      <c r="N20" s="10">
        <f t="shared" si="4"/>
        <v>40.030254700156199</v>
      </c>
      <c r="O20" s="10">
        <f t="shared" si="4"/>
        <v>40.030432697362848</v>
      </c>
      <c r="P20" s="10">
        <f t="shared" si="4"/>
        <v>40.030610694569496</v>
      </c>
      <c r="Q20" s="10">
        <f t="shared" si="4"/>
        <v>40.030922189681135</v>
      </c>
      <c r="R20" s="4"/>
    </row>
    <row r="21" spans="3:18" x14ac:dyDescent="0.3">
      <c r="C21" s="4"/>
      <c r="D21" s="10"/>
      <c r="E21" s="12"/>
      <c r="F21" s="2" t="s">
        <v>17</v>
      </c>
      <c r="G21" s="4"/>
      <c r="H21" s="13">
        <v>493935.24375000002</v>
      </c>
      <c r="I21" s="13">
        <v>493935.24375000002</v>
      </c>
      <c r="J21" s="13">
        <v>493935.24375000002</v>
      </c>
      <c r="K21" s="13">
        <v>493935.23671899998</v>
      </c>
      <c r="L21" s="13">
        <v>493935.24375000002</v>
      </c>
      <c r="M21" s="13">
        <v>493935.24375000002</v>
      </c>
      <c r="N21" s="13">
        <v>493935.23671899998</v>
      </c>
      <c r="O21" s="13">
        <v>493935.24375000002</v>
      </c>
      <c r="P21" s="13">
        <v>493935.24375000002</v>
      </c>
      <c r="Q21" s="13">
        <v>493935.23671899998</v>
      </c>
      <c r="R21" s="4"/>
    </row>
    <row r="22" spans="3:18" x14ac:dyDescent="0.3">
      <c r="C22" s="4"/>
      <c r="D22" s="10"/>
      <c r="E22" s="12"/>
      <c r="F22" s="2" t="s">
        <v>55</v>
      </c>
      <c r="G22" s="4"/>
      <c r="H22" s="12">
        <f t="shared" ref="H22:Q22" si="5">H21*1/i_Motorization</f>
        <v>39.89168567623782</v>
      </c>
      <c r="I22" s="12">
        <f t="shared" si="5"/>
        <v>39.89168567623782</v>
      </c>
      <c r="J22" s="12">
        <f t="shared" si="5"/>
        <v>39.89168567623782</v>
      </c>
      <c r="K22" s="12">
        <f t="shared" si="5"/>
        <v>39.891685108393261</v>
      </c>
      <c r="L22" s="12">
        <f t="shared" si="5"/>
        <v>39.89168567623782</v>
      </c>
      <c r="M22" s="12">
        <f t="shared" si="5"/>
        <v>39.89168567623782</v>
      </c>
      <c r="N22" s="12">
        <f t="shared" si="5"/>
        <v>39.891685108393261</v>
      </c>
      <c r="O22" s="12">
        <f t="shared" si="5"/>
        <v>39.89168567623782</v>
      </c>
      <c r="P22" s="12">
        <f t="shared" si="5"/>
        <v>39.89168567623782</v>
      </c>
      <c r="Q22" s="12">
        <f t="shared" si="5"/>
        <v>39.891685108393261</v>
      </c>
      <c r="R22" s="4"/>
    </row>
    <row r="23" spans="3:18" x14ac:dyDescent="0.3">
      <c r="C23" s="4"/>
      <c r="D23" s="6"/>
      <c r="E23" s="7"/>
      <c r="F23" s="7"/>
      <c r="G23" s="4"/>
      <c r="H23" s="7"/>
      <c r="I23" s="7"/>
      <c r="J23" s="7"/>
      <c r="K23" s="7"/>
      <c r="L23" s="7"/>
      <c r="M23" s="7"/>
      <c r="N23" s="7"/>
      <c r="O23" s="7"/>
      <c r="P23" s="7"/>
      <c r="Q23" s="7"/>
      <c r="R23" s="4"/>
    </row>
    <row r="24" spans="3:18" x14ac:dyDescent="0.3">
      <c r="C24" s="4"/>
      <c r="D24" s="15"/>
      <c r="E24" s="4"/>
      <c r="F24" s="4"/>
      <c r="G24" s="4"/>
      <c r="H24" s="2" t="s">
        <v>5</v>
      </c>
      <c r="I24" s="12">
        <f>I18-H18</f>
        <v>9.9999999999766942E-4</v>
      </c>
      <c r="J24" s="12">
        <f t="shared" ref="J24:Q24" si="6">J18-I18</f>
        <v>5.0000000000238742E-4</v>
      </c>
      <c r="K24" s="12">
        <f t="shared" si="6"/>
        <v>2.9999999999574811E-4</v>
      </c>
      <c r="L24" s="12">
        <f t="shared" si="6"/>
        <v>1.9999999999953388E-4</v>
      </c>
      <c r="M24" s="12">
        <f t="shared" si="6"/>
        <v>5.0000000000238742E-4</v>
      </c>
      <c r="N24" s="12">
        <f t="shared" si="6"/>
        <v>-1.0000000000331966E-4</v>
      </c>
      <c r="O24" s="12">
        <f t="shared" si="6"/>
        <v>3.9999999999906777E-4</v>
      </c>
      <c r="P24" s="12">
        <f t="shared" si="6"/>
        <v>0</v>
      </c>
      <c r="Q24" s="12">
        <f t="shared" si="6"/>
        <v>4.000000000061732E-4</v>
      </c>
      <c r="R24" s="4"/>
    </row>
    <row r="25" spans="3:18" x14ac:dyDescent="0.3">
      <c r="C25" s="4"/>
      <c r="D25" s="15"/>
      <c r="E25" s="4"/>
      <c r="F25" s="4"/>
      <c r="G25" s="4"/>
      <c r="H25" s="2" t="s">
        <v>6</v>
      </c>
      <c r="I25" s="12">
        <f t="shared" ref="I25:Q28" si="7">I19-H19</f>
        <v>-16</v>
      </c>
      <c r="J25" s="12">
        <f t="shared" si="7"/>
        <v>-12</v>
      </c>
      <c r="K25" s="12">
        <f t="shared" si="7"/>
        <v>-5</v>
      </c>
      <c r="L25" s="12">
        <f t="shared" si="7"/>
        <v>-7</v>
      </c>
      <c r="M25" s="12">
        <f t="shared" si="7"/>
        <v>-4</v>
      </c>
      <c r="N25" s="12">
        <f t="shared" si="7"/>
        <v>-5</v>
      </c>
      <c r="O25" s="12">
        <f t="shared" si="7"/>
        <v>-4</v>
      </c>
      <c r="P25" s="12">
        <f t="shared" si="7"/>
        <v>-4</v>
      </c>
      <c r="Q25" s="12">
        <f t="shared" si="7"/>
        <v>-7</v>
      </c>
      <c r="R25" s="4"/>
    </row>
    <row r="26" spans="3:18" x14ac:dyDescent="0.3">
      <c r="C26" s="4"/>
      <c r="D26" s="15"/>
      <c r="E26" s="4"/>
      <c r="F26" s="4"/>
      <c r="G26" s="4"/>
      <c r="H26" s="2" t="s">
        <v>7</v>
      </c>
      <c r="I26" s="12">
        <f t="shared" si="7"/>
        <v>7.1198882660183926E-4</v>
      </c>
      <c r="J26" s="12">
        <f t="shared" si="7"/>
        <v>5.339916199531558E-4</v>
      </c>
      <c r="K26" s="12">
        <f t="shared" si="7"/>
        <v>2.2249650831440704E-4</v>
      </c>
      <c r="L26" s="12">
        <f t="shared" si="7"/>
        <v>3.1149511163874877E-4</v>
      </c>
      <c r="M26" s="12">
        <f t="shared" si="7"/>
        <v>1.7799720664868346E-4</v>
      </c>
      <c r="N26" s="12">
        <f t="shared" si="7"/>
        <v>2.2249650832151247E-4</v>
      </c>
      <c r="O26" s="12">
        <f t="shared" si="7"/>
        <v>1.7799720664868346E-4</v>
      </c>
      <c r="P26" s="12">
        <f t="shared" si="7"/>
        <v>1.7799720664868346E-4</v>
      </c>
      <c r="Q26" s="12">
        <f t="shared" si="7"/>
        <v>3.1149511163874877E-4</v>
      </c>
      <c r="R26" s="4"/>
    </row>
    <row r="27" spans="3:18" x14ac:dyDescent="0.3">
      <c r="C27" s="4"/>
      <c r="D27" s="15"/>
      <c r="E27" s="4"/>
      <c r="F27" s="4"/>
      <c r="G27" s="4"/>
      <c r="H27" s="2" t="s">
        <v>56</v>
      </c>
      <c r="I27" s="12">
        <f t="shared" si="7"/>
        <v>0</v>
      </c>
      <c r="J27" s="12">
        <f t="shared" si="7"/>
        <v>0</v>
      </c>
      <c r="K27" s="12">
        <f t="shared" si="7"/>
        <v>-7.0310000446625054E-3</v>
      </c>
      <c r="L27" s="12">
        <f t="shared" si="7"/>
        <v>7.0310000446625054E-3</v>
      </c>
      <c r="M27" s="12">
        <f t="shared" si="7"/>
        <v>0</v>
      </c>
      <c r="N27" s="12">
        <f t="shared" si="7"/>
        <v>-7.0310000446625054E-3</v>
      </c>
      <c r="O27" s="12">
        <f t="shared" si="7"/>
        <v>7.0310000446625054E-3</v>
      </c>
      <c r="P27" s="12">
        <f t="shared" si="7"/>
        <v>0</v>
      </c>
      <c r="Q27" s="12">
        <f t="shared" si="7"/>
        <v>-7.0310000446625054E-3</v>
      </c>
      <c r="R27" s="4"/>
    </row>
    <row r="28" spans="3:18" x14ac:dyDescent="0.3">
      <c r="C28" s="4"/>
      <c r="D28" s="15"/>
      <c r="E28" s="4"/>
      <c r="F28" s="4"/>
      <c r="G28" s="4"/>
      <c r="H28" s="2" t="s">
        <v>57</v>
      </c>
      <c r="I28" s="12">
        <f t="shared" si="7"/>
        <v>0</v>
      </c>
      <c r="J28" s="12">
        <f t="shared" si="7"/>
        <v>0</v>
      </c>
      <c r="K28" s="12">
        <f t="shared" si="7"/>
        <v>-5.6784455892966434E-7</v>
      </c>
      <c r="L28" s="12">
        <f t="shared" si="7"/>
        <v>5.6784455892966434E-7</v>
      </c>
      <c r="M28" s="12">
        <f t="shared" si="7"/>
        <v>0</v>
      </c>
      <c r="N28" s="12">
        <f t="shared" si="7"/>
        <v>-5.6784455892966434E-7</v>
      </c>
      <c r="O28" s="12">
        <f t="shared" si="7"/>
        <v>5.6784455892966434E-7</v>
      </c>
      <c r="P28" s="12">
        <f t="shared" si="7"/>
        <v>0</v>
      </c>
      <c r="Q28" s="12">
        <f t="shared" si="7"/>
        <v>-5.6784455892966434E-7</v>
      </c>
      <c r="R28" s="4"/>
    </row>
    <row r="29" spans="3:18" x14ac:dyDescent="0.3">
      <c r="C29" s="4"/>
      <c r="D29" s="1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3" spans="3:7" x14ac:dyDescent="0.3">
      <c r="C33" s="4"/>
      <c r="D33" s="6"/>
      <c r="E33" s="7"/>
      <c r="F33" s="7"/>
      <c r="G33" s="7"/>
    </row>
    <row r="34" spans="3:7" x14ac:dyDescent="0.3">
      <c r="C34" s="4"/>
      <c r="D34" s="49"/>
      <c r="E34" s="46" t="s">
        <v>85</v>
      </c>
      <c r="F34" s="50">
        <f>4*STDEV(H3:Q3)</f>
        <v>2.6669999791704671E-3</v>
      </c>
      <c r="G34" s="7"/>
    </row>
    <row r="35" spans="3:7" x14ac:dyDescent="0.3">
      <c r="C35" s="4"/>
      <c r="D35" s="49"/>
      <c r="E35" s="46" t="s">
        <v>86</v>
      </c>
      <c r="F35" s="50">
        <f>4*STDEV(H18:Q18)</f>
        <v>3.8689648342740764E-3</v>
      </c>
      <c r="G35" s="7"/>
    </row>
    <row r="36" spans="3:7" x14ac:dyDescent="0.3">
      <c r="C36" s="4"/>
      <c r="D36" s="49"/>
      <c r="E36" s="46" t="s">
        <v>87</v>
      </c>
      <c r="F36" s="50">
        <f>ABS(AVERAGE(H3:Q3)-AVERAGE(H18:Q18))</f>
        <v>3.1169999999995923E-2</v>
      </c>
      <c r="G36" s="4"/>
    </row>
    <row r="37" spans="3:7" x14ac:dyDescent="0.3">
      <c r="C37" s="4"/>
      <c r="D37" s="6"/>
      <c r="E37" s="7"/>
      <c r="F37" s="7"/>
      <c r="G37" s="4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EF1A-DF6D-4173-AA75-38273A067445}">
  <dimension ref="A1:G14"/>
  <sheetViews>
    <sheetView zoomScale="85" zoomScaleNormal="85" workbookViewId="0">
      <selection activeCell="F3" sqref="F3"/>
    </sheetView>
  </sheetViews>
  <sheetFormatPr baseColWidth="10" defaultRowHeight="14.4" x14ac:dyDescent="0.3"/>
  <cols>
    <col min="1" max="1" width="24.44140625" customWidth="1"/>
    <col min="2" max="2" width="12" bestFit="1" customWidth="1"/>
    <col min="4" max="4" width="13.33203125" bestFit="1" customWidth="1"/>
    <col min="5" max="5" width="17" bestFit="1" customWidth="1"/>
    <col min="6" max="6" width="16.88671875" customWidth="1"/>
  </cols>
  <sheetData>
    <row r="1" spans="1:7" x14ac:dyDescent="0.3">
      <c r="A1" s="21"/>
      <c r="B1" s="21"/>
      <c r="C1" s="21"/>
      <c r="D1" s="21"/>
      <c r="E1" s="21"/>
      <c r="F1" s="21"/>
      <c r="G1" s="21"/>
    </row>
    <row r="2" spans="1:7" x14ac:dyDescent="0.3">
      <c r="A2" s="46" t="s">
        <v>60</v>
      </c>
      <c r="B2" s="3">
        <v>688</v>
      </c>
      <c r="C2" s="21"/>
      <c r="D2" s="24"/>
      <c r="E2" s="25" t="s">
        <v>10</v>
      </c>
      <c r="F2" s="25" t="s">
        <v>11</v>
      </c>
      <c r="G2" s="21"/>
    </row>
    <row r="3" spans="1:7" x14ac:dyDescent="0.3">
      <c r="A3" s="46" t="s">
        <v>3</v>
      </c>
      <c r="B3" s="3">
        <v>6</v>
      </c>
      <c r="C3" s="21"/>
      <c r="D3" s="22" t="s">
        <v>0</v>
      </c>
      <c r="E3" s="12">
        <v>0</v>
      </c>
      <c r="F3" s="12">
        <v>42.017000000000003</v>
      </c>
      <c r="G3" s="21"/>
    </row>
    <row r="4" spans="1:7" x14ac:dyDescent="0.3">
      <c r="A4" s="46" t="s">
        <v>12</v>
      </c>
      <c r="B4" s="3">
        <v>0</v>
      </c>
      <c r="C4" s="21"/>
      <c r="D4" s="22" t="s">
        <v>1</v>
      </c>
      <c r="E4" s="12">
        <v>788172</v>
      </c>
      <c r="F4" s="12">
        <v>1732224</v>
      </c>
      <c r="G4" s="21"/>
    </row>
    <row r="5" spans="1:7" x14ac:dyDescent="0.3">
      <c r="A5" s="46" t="s">
        <v>13</v>
      </c>
      <c r="B5" s="3">
        <v>42</v>
      </c>
      <c r="C5" s="21"/>
      <c r="D5" s="22" t="s">
        <v>2</v>
      </c>
      <c r="E5" s="10">
        <f>$B$6*E4/$B$9</f>
        <v>35.073103590087896</v>
      </c>
      <c r="F5" s="10">
        <f>$B$6*F4/$B$9</f>
        <v>77.08275832335633</v>
      </c>
      <c r="G5" s="21"/>
    </row>
    <row r="6" spans="1:7" x14ac:dyDescent="0.3">
      <c r="A6" s="46" t="s">
        <v>63</v>
      </c>
      <c r="B6" s="3">
        <f>1/i_Encoder</f>
        <v>4.4364433783989446E-5</v>
      </c>
      <c r="C6" s="21"/>
      <c r="D6" s="22" t="s">
        <v>17</v>
      </c>
      <c r="E6" s="10">
        <v>353358.210938</v>
      </c>
      <c r="F6" s="10">
        <v>-165209.21718800001</v>
      </c>
      <c r="G6" s="21"/>
    </row>
    <row r="7" spans="1:7" x14ac:dyDescent="0.3">
      <c r="A7" s="2" t="s">
        <v>58</v>
      </c>
      <c r="B7" s="3">
        <f>i_Motorization</f>
        <v>12381.909547738695</v>
      </c>
      <c r="C7" s="21"/>
      <c r="D7" s="22" t="s">
        <v>55</v>
      </c>
      <c r="E7" s="10">
        <f>$B$8*E6/B9</f>
        <v>28.62502092530481</v>
      </c>
      <c r="F7" s="10">
        <f>$B$8*F6/B9</f>
        <v>-13.383351943361223</v>
      </c>
      <c r="G7" s="21"/>
    </row>
    <row r="8" spans="1:7" x14ac:dyDescent="0.3">
      <c r="A8" s="2" t="s">
        <v>61</v>
      </c>
      <c r="B8" s="3">
        <f>1/B7</f>
        <v>8.0762987012987004E-5</v>
      </c>
      <c r="C8" s="21"/>
      <c r="D8" s="21"/>
      <c r="E8" s="21"/>
      <c r="F8" s="21"/>
      <c r="G8" s="21"/>
    </row>
    <row r="9" spans="1:7" x14ac:dyDescent="0.3">
      <c r="A9" s="23" t="s">
        <v>4</v>
      </c>
      <c r="B9" s="12">
        <f>correctionMotor</f>
        <v>0.99696921359068424</v>
      </c>
      <c r="C9" s="21"/>
      <c r="D9" s="21"/>
      <c r="E9" s="22" t="s">
        <v>5</v>
      </c>
      <c r="F9" s="12">
        <f>E3-F3</f>
        <v>-42.017000000000003</v>
      </c>
      <c r="G9" s="21"/>
    </row>
    <row r="10" spans="1:7" x14ac:dyDescent="0.3">
      <c r="A10" s="21"/>
      <c r="B10" s="21"/>
      <c r="C10" s="21"/>
      <c r="D10" s="21"/>
      <c r="E10" s="22" t="s">
        <v>6</v>
      </c>
      <c r="F10" s="12">
        <f>E4-F4</f>
        <v>-944052</v>
      </c>
      <c r="G10" s="21"/>
    </row>
    <row r="11" spans="1:7" x14ac:dyDescent="0.3">
      <c r="C11" s="21"/>
      <c r="D11" s="21"/>
      <c r="E11" s="22" t="s">
        <v>7</v>
      </c>
      <c r="F11" s="12">
        <f>E5-F5</f>
        <v>-42.009654733268434</v>
      </c>
      <c r="G11" s="21"/>
    </row>
    <row r="12" spans="1:7" x14ac:dyDescent="0.3">
      <c r="C12" s="21"/>
      <c r="D12" s="21"/>
      <c r="E12" s="22" t="s">
        <v>56</v>
      </c>
      <c r="F12" s="12">
        <f>E6-F6</f>
        <v>518567.42812599998</v>
      </c>
      <c r="G12" s="21"/>
    </row>
    <row r="13" spans="1:7" x14ac:dyDescent="0.3">
      <c r="C13" s="21"/>
      <c r="D13" s="21"/>
      <c r="E13" s="22" t="s">
        <v>57</v>
      </c>
      <c r="F13" s="12">
        <f>E7-F7</f>
        <v>42.008372868666029</v>
      </c>
      <c r="G13" s="21"/>
    </row>
    <row r="14" spans="1:7" x14ac:dyDescent="0.3">
      <c r="C14" s="21"/>
      <c r="D14" s="21"/>
      <c r="E14" s="21"/>
      <c r="F14" s="21"/>
      <c r="G14" s="21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28746-C0BF-4983-A8CD-D765D5285580}">
  <dimension ref="A1:K17"/>
  <sheetViews>
    <sheetView zoomScale="85" zoomScaleNormal="85" workbookViewId="0">
      <selection activeCell="B6" sqref="B6"/>
    </sheetView>
  </sheetViews>
  <sheetFormatPr baseColWidth="10" defaultRowHeight="14.4" x14ac:dyDescent="0.3"/>
  <cols>
    <col min="2" max="2" width="13.109375" bestFit="1" customWidth="1"/>
    <col min="3" max="3" width="12" bestFit="1" customWidth="1"/>
    <col min="4" max="4" width="3.88671875" customWidth="1"/>
    <col min="5" max="5" width="21.33203125" bestFit="1" customWidth="1"/>
    <col min="6" max="10" width="13.6640625" customWidth="1"/>
    <col min="12" max="12" width="81.33203125" customWidth="1"/>
  </cols>
  <sheetData>
    <row r="1" spans="1:11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x14ac:dyDescent="0.3">
      <c r="A2" s="3" t="s">
        <v>103</v>
      </c>
      <c r="B2" s="3">
        <v>1</v>
      </c>
      <c r="C2" s="49" t="s">
        <v>88</v>
      </c>
      <c r="D2" s="5"/>
      <c r="E2" s="12"/>
      <c r="F2" s="53" t="s">
        <v>89</v>
      </c>
      <c r="G2" s="53" t="s">
        <v>90</v>
      </c>
      <c r="H2" s="53" t="s">
        <v>91</v>
      </c>
      <c r="I2" s="53" t="s">
        <v>92</v>
      </c>
      <c r="J2" s="53" t="s">
        <v>93</v>
      </c>
      <c r="K2" s="4"/>
    </row>
    <row r="3" spans="1:11" x14ac:dyDescent="0.3">
      <c r="A3" s="3" t="s">
        <v>104</v>
      </c>
      <c r="B3" s="3">
        <v>12</v>
      </c>
      <c r="C3" s="49" t="s">
        <v>94</v>
      </c>
      <c r="D3" s="5"/>
      <c r="E3" s="53" t="s">
        <v>100</v>
      </c>
      <c r="F3" s="54">
        <v>0</v>
      </c>
      <c r="G3" s="54">
        <v>3.2399999999999998E-2</v>
      </c>
      <c r="H3" s="54">
        <v>6.4399999999999999E-2</v>
      </c>
      <c r="I3" s="54">
        <v>9.7000000000000003E-2</v>
      </c>
      <c r="J3" s="54">
        <v>0.12920000000000001</v>
      </c>
      <c r="K3" s="4"/>
    </row>
    <row r="4" spans="1:11" x14ac:dyDescent="0.3">
      <c r="A4" s="3" t="s">
        <v>105</v>
      </c>
      <c r="B4" s="3">
        <v>0</v>
      </c>
      <c r="C4" s="49" t="s">
        <v>95</v>
      </c>
      <c r="D4" s="5"/>
      <c r="E4" s="53" t="s">
        <v>96</v>
      </c>
      <c r="F4" s="12">
        <v>1730312</v>
      </c>
      <c r="G4" s="12">
        <v>1730988</v>
      </c>
      <c r="H4" s="12">
        <v>1731676</v>
      </c>
      <c r="I4" s="12">
        <v>1732379</v>
      </c>
      <c r="J4" s="12">
        <v>1733091</v>
      </c>
      <c r="K4" s="4"/>
    </row>
    <row r="5" spans="1:11" x14ac:dyDescent="0.3">
      <c r="A5" s="3" t="s">
        <v>97</v>
      </c>
      <c r="B5" s="3">
        <v>400</v>
      </c>
      <c r="C5" s="49" t="s">
        <v>98</v>
      </c>
      <c r="D5" s="5"/>
      <c r="E5" s="53" t="s">
        <v>17</v>
      </c>
      <c r="F5" s="55">
        <v>5974.9031249999998</v>
      </c>
      <c r="G5" s="55">
        <v>5574.9375</v>
      </c>
      <c r="H5" s="55">
        <v>5174.9296880000002</v>
      </c>
      <c r="I5" s="55">
        <v>4774.9359379999996</v>
      </c>
      <c r="J5" s="55">
        <v>4374.9281250000004</v>
      </c>
      <c r="K5" s="4"/>
    </row>
    <row r="6" spans="1:11" x14ac:dyDescent="0.3">
      <c r="A6" s="51" t="s">
        <v>97</v>
      </c>
      <c r="B6" s="51">
        <v>3.2305E-2</v>
      </c>
      <c r="C6" s="56" t="s">
        <v>48</v>
      </c>
      <c r="D6" s="5"/>
      <c r="E6" s="12"/>
      <c r="F6" s="12"/>
      <c r="G6" s="12"/>
      <c r="H6" s="12"/>
      <c r="I6" s="12"/>
      <c r="J6" s="12"/>
      <c r="K6" s="4"/>
    </row>
    <row r="7" spans="1:11" x14ac:dyDescent="0.3">
      <c r="A7" s="12"/>
      <c r="B7" s="52" t="s">
        <v>99</v>
      </c>
      <c r="C7" s="12"/>
      <c r="D7" s="4"/>
      <c r="E7" s="12"/>
      <c r="F7" s="53" t="s">
        <v>101</v>
      </c>
      <c r="G7" s="17">
        <f>G3-F3</f>
        <v>3.2399999999999998E-2</v>
      </c>
      <c r="H7" s="17">
        <f t="shared" ref="H7:I7" si="0">H3-G3</f>
        <v>3.2000000000000001E-2</v>
      </c>
      <c r="I7" s="17">
        <f t="shared" si="0"/>
        <v>3.2600000000000004E-2</v>
      </c>
      <c r="J7" s="17">
        <f>J3-I3</f>
        <v>3.2200000000000006E-2</v>
      </c>
      <c r="K7" s="4"/>
    </row>
    <row r="8" spans="1:11" x14ac:dyDescent="0.3">
      <c r="A8" s="4"/>
      <c r="B8" s="4"/>
      <c r="C8" s="4"/>
      <c r="D8" s="4"/>
      <c r="E8" s="12"/>
      <c r="F8" s="53" t="s">
        <v>106</v>
      </c>
      <c r="G8" s="17">
        <f>G4-F4</f>
        <v>676</v>
      </c>
      <c r="H8" s="17">
        <f>H4-G4</f>
        <v>688</v>
      </c>
      <c r="I8" s="17">
        <f>I4-H4</f>
        <v>703</v>
      </c>
      <c r="J8" s="17">
        <f>J4-I4</f>
        <v>712</v>
      </c>
      <c r="K8" s="4"/>
    </row>
    <row r="9" spans="1:11" x14ac:dyDescent="0.3">
      <c r="A9" s="46"/>
      <c r="B9" s="46" t="s">
        <v>60</v>
      </c>
      <c r="C9" s="3">
        <v>688</v>
      </c>
      <c r="D9" s="4"/>
      <c r="E9" s="12"/>
      <c r="F9" s="53" t="s">
        <v>102</v>
      </c>
      <c r="G9" s="17">
        <f t="shared" ref="G9:J9" si="1">G5-F5</f>
        <v>-399.96562499999982</v>
      </c>
      <c r="H9" s="17">
        <f t="shared" si="1"/>
        <v>-400.00781199999983</v>
      </c>
      <c r="I9" s="17">
        <f t="shared" si="1"/>
        <v>-399.99375000000055</v>
      </c>
      <c r="J9" s="17">
        <f t="shared" si="1"/>
        <v>-400.00781299999926</v>
      </c>
      <c r="K9" s="4"/>
    </row>
    <row r="10" spans="1:11" x14ac:dyDescent="0.3">
      <c r="A10" s="46"/>
      <c r="B10" s="46" t="s">
        <v>3</v>
      </c>
      <c r="C10" s="3">
        <v>6</v>
      </c>
      <c r="D10" s="4"/>
      <c r="E10" s="4"/>
      <c r="F10" s="4"/>
      <c r="G10" s="4"/>
      <c r="H10" s="4"/>
      <c r="I10" s="4"/>
      <c r="J10" s="4"/>
      <c r="K10" s="4"/>
    </row>
    <row r="11" spans="1:11" x14ac:dyDescent="0.3">
      <c r="A11" s="46"/>
      <c r="B11" s="46" t="s">
        <v>12</v>
      </c>
      <c r="C11" s="3">
        <v>0</v>
      </c>
      <c r="D11" s="4"/>
      <c r="E11" s="4"/>
      <c r="F11" s="12">
        <f>(-F5+5974.903125)/$C$14/$C$16</f>
        <v>0</v>
      </c>
      <c r="G11" s="12">
        <f>(-G5+5974.903125)/$C$14/$C$16</f>
        <v>3.2400617929991868E-2</v>
      </c>
      <c r="H11" s="12">
        <f>(-H5+5974.903125)/$C$14/$C$16</f>
        <v>6.480465336584719E-2</v>
      </c>
      <c r="I11" s="12">
        <f>(-I5+5974.903125)/$C$14/$C$16</f>
        <v>9.7207549660084241E-2</v>
      </c>
      <c r="J11" s="12">
        <f>(-J5+5974.903125)/$C$14/$C$16</f>
        <v>0.12961158517694801</v>
      </c>
      <c r="K11" s="4"/>
    </row>
    <row r="12" spans="1:11" x14ac:dyDescent="0.3">
      <c r="A12" s="46"/>
      <c r="B12" s="46" t="s">
        <v>13</v>
      </c>
      <c r="C12" s="3">
        <v>42</v>
      </c>
      <c r="D12" s="4"/>
      <c r="E12" s="4"/>
      <c r="F12" s="12">
        <f>(F4-1730312)*$C$13/$C$16</f>
        <v>0</v>
      </c>
      <c r="G12" s="12">
        <f>(G4-1730312)*$C$13/$C$16</f>
        <v>3.008152792398032E-2</v>
      </c>
      <c r="H12" s="12">
        <f>(H4-1730312)*$C$13/$C$16</f>
        <v>6.0697047467912948E-2</v>
      </c>
      <c r="I12" s="12">
        <f>(I4-1730312)*$C$13/$C$16</f>
        <v>9.1980056536785981E-2</v>
      </c>
      <c r="J12" s="12">
        <f>(J4-1730312)*$C$13/$C$16</f>
        <v>0.12366355932062323</v>
      </c>
      <c r="K12" s="4"/>
    </row>
    <row r="13" spans="1:11" x14ac:dyDescent="0.3">
      <c r="A13" s="46"/>
      <c r="B13" s="46" t="s">
        <v>63</v>
      </c>
      <c r="C13" s="3">
        <f>1/i_Encoder</f>
        <v>4.4364433783989446E-5</v>
      </c>
      <c r="D13" s="4"/>
      <c r="E13" s="4"/>
      <c r="F13" s="12"/>
      <c r="G13" s="12"/>
      <c r="H13" s="12"/>
      <c r="I13" s="12"/>
      <c r="J13" s="12"/>
      <c r="K13" s="4"/>
    </row>
    <row r="14" spans="1:11" x14ac:dyDescent="0.3">
      <c r="A14" s="2"/>
      <c r="B14" s="2" t="s">
        <v>58</v>
      </c>
      <c r="C14" s="3">
        <f>i_Motorization</f>
        <v>12381.909547738695</v>
      </c>
      <c r="D14" s="4"/>
      <c r="E14" s="4"/>
      <c r="F14" s="17">
        <f>F11-F3</f>
        <v>0</v>
      </c>
      <c r="G14" s="17">
        <f>G11-G3</f>
        <v>6.1792999186960351E-7</v>
      </c>
      <c r="H14" s="17">
        <f>H11-H3</f>
        <v>4.0465336584719069E-4</v>
      </c>
      <c r="I14" s="17">
        <f>I11-I3</f>
        <v>2.0754966008423859E-4</v>
      </c>
      <c r="J14" s="17">
        <f>J11-J3</f>
        <v>4.1158517694800389E-4</v>
      </c>
      <c r="K14" s="4"/>
    </row>
    <row r="15" spans="1:11" x14ac:dyDescent="0.3">
      <c r="A15" s="2"/>
      <c r="B15" s="2" t="s">
        <v>61</v>
      </c>
      <c r="C15" s="3">
        <f>1/C14</f>
        <v>8.0762987012987004E-5</v>
      </c>
      <c r="D15" s="4"/>
      <c r="E15" s="4"/>
      <c r="F15" s="17">
        <f>F12-F3</f>
        <v>0</v>
      </c>
      <c r="G15" s="17">
        <f>G12-G3</f>
        <v>-2.3184720760196786E-3</v>
      </c>
      <c r="H15" s="17">
        <f>H12-H3</f>
        <v>-3.7029525320870504E-3</v>
      </c>
      <c r="I15" s="17">
        <f>I12-I3</f>
        <v>-5.0199434632140216E-3</v>
      </c>
      <c r="J15" s="17">
        <f>J12-J3</f>
        <v>-5.5364406793767806E-3</v>
      </c>
      <c r="K15" s="4"/>
    </row>
    <row r="16" spans="1:11" x14ac:dyDescent="0.3">
      <c r="A16" s="23"/>
      <c r="B16" s="23" t="s">
        <v>4</v>
      </c>
      <c r="C16" s="12">
        <f>correctionMotor</f>
        <v>0.99696921359068424</v>
      </c>
      <c r="D16" s="4"/>
      <c r="E16" s="4"/>
      <c r="F16" s="4"/>
      <c r="G16" s="4"/>
      <c r="H16" s="4"/>
      <c r="I16" s="4"/>
      <c r="J16" s="4"/>
      <c r="K16" s="4"/>
    </row>
    <row r="17" spans="1:1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6</vt:i4>
      </vt:variant>
    </vt:vector>
  </HeadingPairs>
  <TitlesOfParts>
    <vt:vector size="15" baseType="lpstr">
      <vt:lpstr>CONVERSION</vt:lpstr>
      <vt:lpstr>PRECISION</vt:lpstr>
      <vt:lpstr>REP_P1</vt:lpstr>
      <vt:lpstr>REP_P2</vt:lpstr>
      <vt:lpstr>REP_P3</vt:lpstr>
      <vt:lpstr>REP_P4</vt:lpstr>
      <vt:lpstr>REP_P5</vt:lpstr>
      <vt:lpstr>RED_TORQUE</vt:lpstr>
      <vt:lpstr>RED_SPEED</vt:lpstr>
      <vt:lpstr>correctionEncoder</vt:lpstr>
      <vt:lpstr>correctionMotor</vt:lpstr>
      <vt:lpstr>i_Encoder</vt:lpstr>
      <vt:lpstr>i_Motorization</vt:lpstr>
      <vt:lpstr>offset_Encoder</vt:lpstr>
      <vt:lpstr>offset_Motor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Iñaki Roji Taboada</dc:creator>
  <cp:lastModifiedBy>Pedro</cp:lastModifiedBy>
  <dcterms:created xsi:type="dcterms:W3CDTF">2020-10-28T18:51:34Z</dcterms:created>
  <dcterms:modified xsi:type="dcterms:W3CDTF">2020-11-30T11:28:09Z</dcterms:modified>
</cp:coreProperties>
</file>