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3.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4.xml" ContentType="application/vnd.ms-excel.slicer+xml"/>
  <Override PartName="/xl/timelines/timeline3.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tables/table4.xml" ContentType="application/vnd.openxmlformats-officedocument.spreadsheetml.tab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24226"/>
  <mc:AlternateContent xmlns:mc="http://schemas.openxmlformats.org/markup-compatibility/2006">
    <mc:Choice Requires="x15">
      <x15ac:absPath xmlns:x15ac="http://schemas.microsoft.com/office/spreadsheetml/2010/11/ac" url="E:\Project-Excel\Logistic data\"/>
    </mc:Choice>
  </mc:AlternateContent>
  <xr:revisionPtr revIDLastSave="0" documentId="13_ncr:1_{37EF2C18-EB40-41B8-BA1F-4CE64441A49F}" xr6:coauthVersionLast="47" xr6:coauthVersionMax="47" xr10:uidLastSave="{00000000-0000-0000-0000-000000000000}"/>
  <bookViews>
    <workbookView xWindow="-110" yWindow="-110" windowWidth="19420" windowHeight="11020" xr2:uid="{00000000-000D-0000-FFFF-FFFF00000000}"/>
  </bookViews>
  <sheets>
    <sheet name="Db-Revenue" sheetId="5" r:id="rId1"/>
    <sheet name="Db-Operational" sheetId="12" r:id="rId2"/>
    <sheet name="Db-ServiceLevel" sheetId="15" r:id="rId3"/>
    <sheet name="Revenue" sheetId="2" r:id="rId4"/>
    <sheet name="Operational" sheetId="3" r:id="rId5"/>
    <sheet name="Service Level" sheetId="4" r:id="rId6"/>
    <sheet name="DATA DUMMY(CLEAN)" sheetId="1" r:id="rId7"/>
    <sheet name="DATA DUMMY(SOUCE)" sheetId="8" r:id="rId8"/>
    <sheet name="Graphic Resource" sheetId="10" state="hidden" r:id="rId9"/>
  </sheets>
  <definedNames>
    <definedName name="_xlcn.WorksheetConnection_LogisticandTransportation2024_DataAnalysis.xlsxtblRevenuePerCost1" hidden="1">tblRevenuePerCost[]</definedName>
    <definedName name="_xlcn.WorksheetConnection_LogisticandTransportation2024_DataAnalysisver2.xlsxtblRouteLate1" hidden="1">tblRouteLate</definedName>
    <definedName name="_xlcn.WorksheetConnection_tbl_DrivPerf1" hidden="1">tbl_DrivPerf[]</definedName>
    <definedName name="NativeTimeline_DeliveryDate">#N/A</definedName>
    <definedName name="_xlnm.Print_Area" localSheetId="0">'Db-Revenue'!$A$1:$S$28</definedName>
    <definedName name="Slicer_Months2">#N/A</definedName>
    <definedName name="Slicer_TruckType">#N/A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46BE6895-7355-4a93-B00E-2C351335B9C9}">
      <x15:slicerCaches xmlns:x14="http://schemas.microsoft.com/office/spreadsheetml/2009/9/main">
        <x14:slicerCache r:id="rId13"/>
      </x15:slicerCaches>
    </ext>
    <ext xmlns:x15="http://schemas.microsoft.com/office/spreadsheetml/2010/11/main" uri="{FCE2AD5D-F65C-4FA6-A056-5C36A1767C68}">
      <x15:dataModel>
        <x15:modelTables>
          <x15:modelTable id="tbl_DrivPerf" name="tbl_DrivPerf" connection="WorksheetConnection_tbl_DrivPerf"/>
          <x15:modelTable id="tblRevenuePerCost" name="tblRevenuePerCost" connection="WorksheetConnection_Logistic and Transportation 2024_Data Analysis.xlsx!tblRevenuePerCost"/>
          <x15:modelTable id="tblRouteLate" name="tblRouteLate" connection="WorksheetConnection_Logistic and Transportation 2024_Data Analysis (ver2).xlsx!tblRouteLat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A34" i="2"/>
  <c r="B73" i="4"/>
  <c r="B71" i="4"/>
  <c r="A71" i="4"/>
  <c r="C48" i="4"/>
  <c r="D48" i="4"/>
  <c r="B48" i="4"/>
  <c r="F34" i="2"/>
  <c r="B74" i="4" l="1"/>
  <c r="B72" i="4"/>
  <c r="A72" i="4"/>
  <c r="C49" i="4"/>
  <c r="D49" i="4"/>
  <c r="B49" i="4"/>
  <c r="A35" i="2"/>
  <c r="A36" i="2"/>
  <c r="A37" i="2"/>
  <c r="F73" i="2"/>
  <c r="F74" i="2"/>
  <c r="F75" i="2"/>
  <c r="F76" i="2"/>
  <c r="F77" i="2"/>
  <c r="F78" i="2"/>
  <c r="F79" i="2"/>
  <c r="F80" i="2"/>
  <c r="F81" i="2"/>
  <c r="F82" i="2"/>
  <c r="F83" i="2"/>
  <c r="F84" i="2"/>
  <c r="R102" i="1"/>
  <c r="A123" i="3"/>
  <c r="G123" i="3" s="1"/>
  <c r="A122" i="3"/>
  <c r="G122" i="3" s="1"/>
  <c r="A119" i="3"/>
  <c r="G119" i="3" s="1"/>
  <c r="A121" i="3"/>
  <c r="G121" i="3" s="1"/>
  <c r="A120" i="3"/>
  <c r="G120" i="3" s="1"/>
  <c r="A124" i="3"/>
  <c r="G124" i="3" s="1"/>
  <c r="A118" i="3"/>
  <c r="G118" i="3" s="1"/>
  <c r="H34" i="2"/>
  <c r="B77" i="2"/>
  <c r="E75" i="3"/>
  <c r="C77" i="3"/>
  <c r="B81" i="2"/>
  <c r="I12" i="2"/>
  <c r="D77" i="3"/>
  <c r="B77" i="3"/>
  <c r="C71" i="3"/>
  <c r="C78" i="3"/>
  <c r="B34" i="2"/>
  <c r="B74" i="2"/>
  <c r="E27" i="4"/>
  <c r="E74" i="3"/>
  <c r="E69" i="3"/>
  <c r="E80" i="3"/>
  <c r="E28" i="4"/>
  <c r="E48" i="4"/>
  <c r="B75" i="2"/>
  <c r="D70" i="3"/>
  <c r="C72" i="3"/>
  <c r="D121" i="3"/>
  <c r="B78" i="3"/>
  <c r="E73" i="3"/>
  <c r="F15" i="3"/>
  <c r="B83" i="2"/>
  <c r="I35" i="2"/>
  <c r="E79" i="3"/>
  <c r="D34" i="2"/>
  <c r="B82" i="2"/>
  <c r="E20" i="4"/>
  <c r="B79" i="3"/>
  <c r="C76" i="3"/>
  <c r="B69" i="3"/>
  <c r="C74" i="3"/>
  <c r="E23" i="4"/>
  <c r="E26" i="4"/>
  <c r="D37" i="2"/>
  <c r="D75" i="3"/>
  <c r="D69" i="3"/>
  <c r="C75" i="3"/>
  <c r="E19" i="4"/>
  <c r="C19" i="4" s="1"/>
  <c r="B73" i="2"/>
  <c r="C36" i="2"/>
  <c r="B70" i="3"/>
  <c r="C69" i="3"/>
  <c r="B80" i="3"/>
  <c r="E18" i="4"/>
  <c r="B76" i="3"/>
  <c r="B26" i="4"/>
  <c r="B18" i="4"/>
  <c r="E71" i="3"/>
  <c r="D72" i="3"/>
  <c r="B72" i="3"/>
  <c r="B73" i="3"/>
  <c r="E77" i="3"/>
  <c r="E15" i="3"/>
  <c r="E34" i="2"/>
  <c r="B84" i="2"/>
  <c r="B75" i="3"/>
  <c r="E17" i="4"/>
  <c r="E25" i="4"/>
  <c r="H37" i="2"/>
  <c r="B71" i="3"/>
  <c r="D76" i="3"/>
  <c r="D71" i="3"/>
  <c r="B74" i="3"/>
  <c r="H36" i="2"/>
  <c r="B80" i="2"/>
  <c r="E21" i="4"/>
  <c r="C21" i="4" s="1"/>
  <c r="E76" i="3"/>
  <c r="D79" i="3"/>
  <c r="B78" i="2"/>
  <c r="I34" i="2"/>
  <c r="E70" i="3"/>
  <c r="C79" i="3"/>
  <c r="I15" i="3"/>
  <c r="C18" i="4"/>
  <c r="B37" i="2"/>
  <c r="C34" i="2"/>
  <c r="I16" i="3"/>
  <c r="C119" i="3"/>
  <c r="D36" i="2"/>
  <c r="D35" i="2"/>
  <c r="C17" i="4"/>
  <c r="E72" i="3"/>
  <c r="D80" i="3"/>
  <c r="D73" i="3"/>
  <c r="J15" i="3"/>
  <c r="E37" i="2"/>
  <c r="E24" i="4"/>
  <c r="C24" i="4" s="1"/>
  <c r="B15" i="3"/>
  <c r="D78" i="3"/>
  <c r="C73" i="3"/>
  <c r="B79" i="2"/>
  <c r="E22" i="4"/>
  <c r="B76" i="2"/>
  <c r="D74" i="3"/>
  <c r="C70" i="3"/>
  <c r="D17" i="4"/>
  <c r="E78" i="3"/>
  <c r="C80" i="3"/>
  <c r="B21" i="4"/>
  <c r="H18" i="4" l="1"/>
  <c r="H26" i="4"/>
  <c r="H21" i="4"/>
  <c r="G17" i="4"/>
  <c r="G18" i="4"/>
  <c r="G21" i="4"/>
  <c r="G24" i="4"/>
  <c r="G19" i="4"/>
  <c r="E29" i="4"/>
  <c r="D38" i="2"/>
  <c r="F87" i="2"/>
  <c r="E49" i="4"/>
  <c r="H77" i="3"/>
  <c r="H78" i="3"/>
  <c r="H73" i="3"/>
  <c r="H71" i="3"/>
  <c r="H74" i="3"/>
  <c r="F69" i="3"/>
  <c r="H72" i="3"/>
  <c r="H80" i="3"/>
  <c r="H79" i="3"/>
  <c r="H70" i="3"/>
  <c r="H76" i="3"/>
  <c r="H75" i="3"/>
  <c r="G69" i="3"/>
  <c r="H69" i="3"/>
  <c r="I73" i="3"/>
  <c r="I69" i="3"/>
  <c r="I80" i="3"/>
  <c r="I71" i="3"/>
  <c r="I75" i="3"/>
  <c r="I79" i="3"/>
  <c r="I76" i="3"/>
  <c r="I78" i="3"/>
  <c r="I70" i="3"/>
  <c r="I77" i="3"/>
  <c r="I72" i="3"/>
  <c r="I74" i="3"/>
  <c r="E16" i="3"/>
  <c r="F16" i="3"/>
  <c r="B16" i="3"/>
  <c r="J16" i="3"/>
  <c r="D82" i="2"/>
  <c r="E82" i="2" s="1"/>
  <c r="D75" i="2"/>
  <c r="D79" i="2"/>
  <c r="E79" i="2" s="1"/>
  <c r="D83" i="2"/>
  <c r="E83" i="2" s="1"/>
  <c r="D74" i="2"/>
  <c r="E74" i="2" s="1"/>
  <c r="D76" i="2"/>
  <c r="D80" i="2"/>
  <c r="E80" i="2" s="1"/>
  <c r="D84" i="2"/>
  <c r="E84" i="2" s="1"/>
  <c r="D78" i="2"/>
  <c r="E78" i="2" s="1"/>
  <c r="D73" i="2"/>
  <c r="D77" i="2"/>
  <c r="E77" i="2" s="1"/>
  <c r="D81" i="2"/>
  <c r="E81" i="2" s="1"/>
  <c r="I13" i="2"/>
  <c r="B81" i="3"/>
  <c r="F70" i="3"/>
  <c r="F71" i="3"/>
  <c r="F72" i="3"/>
  <c r="F73" i="3"/>
  <c r="F74" i="3"/>
  <c r="F75" i="3"/>
  <c r="F76" i="3"/>
  <c r="F77" i="3"/>
  <c r="F78" i="3"/>
  <c r="F79" i="3"/>
  <c r="F80" i="3"/>
  <c r="I105" i="3"/>
  <c r="P2" i="1" a="1"/>
  <c r="P2" i="1" s="1"/>
  <c r="P3" i="1" a="1"/>
  <c r="P3" i="1" s="1"/>
  <c r="P4" i="1" a="1"/>
  <c r="P4" i="1" s="1"/>
  <c r="P5" i="1" a="1"/>
  <c r="P5" i="1" s="1"/>
  <c r="P6" i="1" a="1"/>
  <c r="P6" i="1" s="1"/>
  <c r="P7" i="1" a="1"/>
  <c r="P7" i="1" s="1"/>
  <c r="P8" i="1" a="1"/>
  <c r="P8" i="1" s="1"/>
  <c r="P9" i="1" a="1"/>
  <c r="P9" i="1" s="1"/>
  <c r="P10" i="1" a="1"/>
  <c r="P10" i="1" s="1"/>
  <c r="P11" i="1" a="1"/>
  <c r="P11" i="1" s="1"/>
  <c r="P12" i="1" a="1"/>
  <c r="P12" i="1" s="1"/>
  <c r="P13" i="1" a="1"/>
  <c r="P13" i="1" s="1"/>
  <c r="P14" i="1" a="1"/>
  <c r="P14" i="1" s="1"/>
  <c r="P15" i="1" a="1"/>
  <c r="P15" i="1" s="1"/>
  <c r="P16" i="1" a="1"/>
  <c r="P16" i="1" s="1"/>
  <c r="P17" i="1" a="1"/>
  <c r="P17" i="1" s="1"/>
  <c r="P18" i="1" a="1"/>
  <c r="P18" i="1" s="1"/>
  <c r="P19" i="1" a="1"/>
  <c r="P19" i="1" s="1"/>
  <c r="P20" i="1" a="1"/>
  <c r="P20" i="1" s="1"/>
  <c r="P21" i="1" a="1"/>
  <c r="P21" i="1" s="1"/>
  <c r="P22" i="1" a="1"/>
  <c r="P22" i="1" s="1"/>
  <c r="P23" i="1" a="1"/>
  <c r="P23" i="1" s="1"/>
  <c r="P24" i="1" a="1"/>
  <c r="P24" i="1" s="1"/>
  <c r="P25" i="1" a="1"/>
  <c r="P25" i="1" s="1"/>
  <c r="P26" i="1" a="1"/>
  <c r="P26" i="1" s="1"/>
  <c r="P27" i="1" a="1"/>
  <c r="P27" i="1" s="1"/>
  <c r="P28" i="1" a="1"/>
  <c r="P28" i="1" s="1"/>
  <c r="P29" i="1" a="1"/>
  <c r="P29" i="1" s="1"/>
  <c r="P30" i="1" a="1"/>
  <c r="P30" i="1" s="1"/>
  <c r="P31" i="1" a="1"/>
  <c r="P31" i="1" s="1"/>
  <c r="P32" i="1" a="1"/>
  <c r="P32" i="1" s="1"/>
  <c r="P33" i="1" a="1"/>
  <c r="P33" i="1" s="1"/>
  <c r="P34" i="1" a="1"/>
  <c r="P34" i="1" s="1"/>
  <c r="P35" i="1" a="1"/>
  <c r="P35" i="1" s="1"/>
  <c r="P36" i="1" a="1"/>
  <c r="P36" i="1" s="1"/>
  <c r="P37" i="1" a="1"/>
  <c r="P37" i="1" s="1"/>
  <c r="P38" i="1" a="1"/>
  <c r="P38" i="1" s="1"/>
  <c r="P39" i="1" a="1"/>
  <c r="P39" i="1" s="1"/>
  <c r="P40" i="1" a="1"/>
  <c r="P40" i="1" s="1"/>
  <c r="P41" i="1" a="1"/>
  <c r="P41" i="1" s="1"/>
  <c r="P42" i="1" a="1"/>
  <c r="P42" i="1" s="1"/>
  <c r="P43" i="1" a="1"/>
  <c r="P43" i="1" s="1"/>
  <c r="P44" i="1" a="1"/>
  <c r="P44" i="1" s="1"/>
  <c r="P45" i="1" a="1"/>
  <c r="P45" i="1" s="1"/>
  <c r="P46" i="1" a="1"/>
  <c r="P46" i="1" s="1"/>
  <c r="P47" i="1" a="1"/>
  <c r="P47" i="1" s="1"/>
  <c r="P48" i="1" a="1"/>
  <c r="P48" i="1" s="1"/>
  <c r="P49" i="1" a="1"/>
  <c r="P49" i="1" s="1"/>
  <c r="P50" i="1" a="1"/>
  <c r="P50" i="1" s="1"/>
  <c r="P51" i="1" a="1"/>
  <c r="P51" i="1" s="1"/>
  <c r="P52" i="1" a="1"/>
  <c r="P52" i="1" s="1"/>
  <c r="P53" i="1" a="1"/>
  <c r="P53" i="1" s="1"/>
  <c r="P54" i="1" a="1"/>
  <c r="P54" i="1" s="1"/>
  <c r="P55" i="1" a="1"/>
  <c r="P55" i="1" s="1"/>
  <c r="P56" i="1" a="1"/>
  <c r="P56" i="1" s="1"/>
  <c r="P57" i="1" a="1"/>
  <c r="P57" i="1" s="1"/>
  <c r="P58" i="1" a="1"/>
  <c r="P58" i="1" s="1"/>
  <c r="P59" i="1" a="1"/>
  <c r="P59" i="1" s="1"/>
  <c r="P60" i="1" a="1"/>
  <c r="P60" i="1" s="1"/>
  <c r="P61" i="1" a="1"/>
  <c r="P61" i="1" s="1"/>
  <c r="P62" i="1" a="1"/>
  <c r="P62" i="1" s="1"/>
  <c r="P63" i="1" a="1"/>
  <c r="P63" i="1" s="1"/>
  <c r="P64" i="1" a="1"/>
  <c r="P64" i="1" s="1"/>
  <c r="P65" i="1" a="1"/>
  <c r="P65" i="1" s="1"/>
  <c r="P66" i="1" a="1"/>
  <c r="P66" i="1" s="1"/>
  <c r="P67" i="1" a="1"/>
  <c r="P67" i="1" s="1"/>
  <c r="P68" i="1" a="1"/>
  <c r="P68" i="1" s="1"/>
  <c r="P69" i="1" a="1"/>
  <c r="P69" i="1" s="1"/>
  <c r="P70" i="1" a="1"/>
  <c r="P70" i="1" s="1"/>
  <c r="P71" i="1" a="1"/>
  <c r="P71" i="1" s="1"/>
  <c r="P72" i="1" a="1"/>
  <c r="P72" i="1" s="1"/>
  <c r="P73" i="1" a="1"/>
  <c r="P73" i="1" s="1"/>
  <c r="P74" i="1" a="1"/>
  <c r="P74" i="1" s="1"/>
  <c r="P75" i="1" a="1"/>
  <c r="P75" i="1" s="1"/>
  <c r="P76" i="1" a="1"/>
  <c r="P76" i="1" s="1"/>
  <c r="P77" i="1" a="1"/>
  <c r="P77" i="1" s="1"/>
  <c r="P78" i="1" a="1"/>
  <c r="P78" i="1" s="1"/>
  <c r="P79" i="1" a="1"/>
  <c r="P79" i="1" s="1"/>
  <c r="P80" i="1" a="1"/>
  <c r="P80" i="1" s="1"/>
  <c r="P81" i="1" a="1"/>
  <c r="P81" i="1" s="1"/>
  <c r="P82" i="1" a="1"/>
  <c r="P82" i="1" s="1"/>
  <c r="P83" i="1" a="1"/>
  <c r="P83" i="1" s="1"/>
  <c r="P84" i="1" a="1"/>
  <c r="P84" i="1" s="1"/>
  <c r="P85" i="1" a="1"/>
  <c r="P85" i="1" s="1"/>
  <c r="P86" i="1" a="1"/>
  <c r="P86" i="1" s="1"/>
  <c r="P87" i="1" a="1"/>
  <c r="P87" i="1" s="1"/>
  <c r="P88" i="1" a="1"/>
  <c r="P88" i="1" s="1"/>
  <c r="P89" i="1" a="1"/>
  <c r="P89" i="1" s="1"/>
  <c r="P90" i="1" a="1"/>
  <c r="P90" i="1" s="1"/>
  <c r="P91" i="1" a="1"/>
  <c r="P91" i="1" s="1"/>
  <c r="P92" i="1" a="1"/>
  <c r="P92" i="1" s="1"/>
  <c r="P93" i="1" a="1"/>
  <c r="P93" i="1" s="1"/>
  <c r="P94" i="1" a="1"/>
  <c r="P94" i="1" s="1"/>
  <c r="P95" i="1" a="1"/>
  <c r="P95" i="1" s="1"/>
  <c r="P96" i="1" a="1"/>
  <c r="P96" i="1" s="1"/>
  <c r="P97" i="1" a="1"/>
  <c r="P97" i="1" s="1"/>
  <c r="P98" i="1" a="1"/>
  <c r="P98" i="1" s="1"/>
  <c r="P99" i="1" a="1"/>
  <c r="P99" i="1" s="1"/>
  <c r="P100" i="1" a="1"/>
  <c r="P100" i="1" s="1"/>
  <c r="P101" i="1" a="1"/>
  <c r="P101" i="1" s="1"/>
  <c r="C26" i="4"/>
  <c r="C28" i="4"/>
  <c r="C37" i="2"/>
  <c r="D119" i="3"/>
  <c r="D122" i="3"/>
  <c r="B25" i="4"/>
  <c r="C120" i="3"/>
  <c r="D18" i="4"/>
  <c r="B124" i="3"/>
  <c r="C20" i="4"/>
  <c r="B35" i="2"/>
  <c r="C118" i="3"/>
  <c r="F35" i="2"/>
  <c r="B22" i="4"/>
  <c r="C25" i="4"/>
  <c r="C123" i="3"/>
  <c r="I37" i="2"/>
  <c r="B122" i="3"/>
  <c r="F36" i="2"/>
  <c r="D123" i="3"/>
  <c r="D23" i="4"/>
  <c r="I36" i="2"/>
  <c r="D120" i="3"/>
  <c r="B36" i="2"/>
  <c r="B121" i="3"/>
  <c r="F37" i="2"/>
  <c r="B23" i="4"/>
  <c r="B27" i="4"/>
  <c r="C22" i="4"/>
  <c r="C27" i="4"/>
  <c r="D118" i="3"/>
  <c r="C23" i="4"/>
  <c r="B19" i="4"/>
  <c r="D124" i="3"/>
  <c r="D19" i="4"/>
  <c r="E36" i="2"/>
  <c r="D22" i="4"/>
  <c r="B17" i="4"/>
  <c r="D27" i="4"/>
  <c r="D25" i="4"/>
  <c r="B28" i="4"/>
  <c r="B119" i="3"/>
  <c r="E35" i="2"/>
  <c r="D20" i="4"/>
  <c r="B118" i="3"/>
  <c r="B123" i="3"/>
  <c r="D24" i="4"/>
  <c r="C35" i="2"/>
  <c r="B120" i="3"/>
  <c r="C122" i="3"/>
  <c r="B24" i="4"/>
  <c r="B20" i="4"/>
  <c r="D21" i="4"/>
  <c r="H35" i="2"/>
  <c r="D28" i="4"/>
  <c r="D26" i="4"/>
  <c r="C124" i="3"/>
  <c r="C121" i="3"/>
  <c r="G26" i="4" l="1"/>
  <c r="G20" i="4"/>
  <c r="H27" i="4"/>
  <c r="H23" i="4"/>
  <c r="H19" i="4"/>
  <c r="G22" i="4"/>
  <c r="G28" i="4"/>
  <c r="H24" i="4"/>
  <c r="G25" i="4"/>
  <c r="B38" i="2"/>
  <c r="H20" i="4"/>
  <c r="H28" i="4"/>
  <c r="H22" i="4"/>
  <c r="G27" i="4"/>
  <c r="H25" i="4"/>
  <c r="G23" i="4"/>
  <c r="C29" i="4"/>
  <c r="G29" i="4" s="1"/>
  <c r="H17" i="4"/>
  <c r="B29" i="4"/>
  <c r="H29" i="4" s="1"/>
  <c r="H38" i="2"/>
  <c r="E38" i="2"/>
  <c r="F20" i="4"/>
  <c r="D29" i="4"/>
  <c r="C38" i="2"/>
  <c r="F38" i="2"/>
  <c r="I38" i="2"/>
  <c r="J69" i="3"/>
  <c r="F81" i="3"/>
  <c r="E76" i="2"/>
  <c r="D87" i="2"/>
  <c r="E75" i="2"/>
  <c r="E73" i="2"/>
  <c r="E122" i="3"/>
  <c r="F122" i="3" s="1"/>
  <c r="E121" i="3"/>
  <c r="F121" i="3" s="1"/>
  <c r="E119" i="3"/>
  <c r="F119" i="3" s="1"/>
  <c r="E123" i="3"/>
  <c r="F123" i="3" s="1"/>
  <c r="E120" i="3"/>
  <c r="F120" i="3" s="1"/>
  <c r="E124" i="3"/>
  <c r="F124" i="3" s="1"/>
  <c r="D125" i="3"/>
  <c r="C125" i="3"/>
  <c r="E118" i="3"/>
  <c r="F118" i="3" s="1"/>
  <c r="B125" i="3"/>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M34" i="2"/>
  <c r="E87" i="2" l="1"/>
  <c r="H124" i="3" a="1"/>
  <c r="H124" i="3" s="1"/>
  <c r="H121" i="3" a="1"/>
  <c r="H121" i="3" s="1"/>
  <c r="H120" i="3" a="1"/>
  <c r="H120" i="3" s="1"/>
  <c r="H122" i="3" a="1"/>
  <c r="H122" i="3" s="1"/>
  <c r="H123" i="3" a="1"/>
  <c r="H123" i="3" s="1"/>
  <c r="H119" i="3" a="1"/>
  <c r="H119" i="3" s="1"/>
  <c r="H118" i="3" a="1"/>
  <c r="H118" i="3" s="1"/>
  <c r="I106" i="3"/>
  <c r="E125" i="3"/>
  <c r="I107" i="3" s="1"/>
  <c r="G78" i="3"/>
  <c r="J78" i="3" s="1"/>
  <c r="G73" i="3"/>
  <c r="J73" i="3" s="1"/>
  <c r="G74" i="3"/>
  <c r="J74" i="3" s="1"/>
  <c r="C81" i="3"/>
  <c r="G79" i="3"/>
  <c r="J79" i="3" s="1"/>
  <c r="G72" i="3"/>
  <c r="J72" i="3" s="1"/>
  <c r="G70" i="3"/>
  <c r="J70" i="3" s="1"/>
  <c r="G80" i="3"/>
  <c r="J80" i="3" s="1"/>
  <c r="G75" i="3"/>
  <c r="J75" i="3" s="1"/>
  <c r="G77" i="3"/>
  <c r="J77" i="3" s="1"/>
  <c r="G76" i="3"/>
  <c r="J76" i="3" s="1"/>
  <c r="G71" i="3"/>
  <c r="J71" i="3" s="1"/>
  <c r="D81" i="3"/>
  <c r="E81" i="3"/>
  <c r="J37" i="2"/>
  <c r="J36" i="2"/>
  <c r="M37" i="2"/>
  <c r="K34" i="2"/>
  <c r="M36" i="2"/>
  <c r="G35" i="2"/>
  <c r="G37" i="2"/>
  <c r="L37" i="2"/>
  <c r="K36" i="2"/>
  <c r="K35" i="2"/>
  <c r="G36" i="2"/>
  <c r="M35" i="2"/>
  <c r="M38" i="2" l="1"/>
  <c r="G81" i="3"/>
  <c r="J74" i="1"/>
  <c r="J89" i="1"/>
  <c r="J35" i="1"/>
  <c r="J94" i="1"/>
  <c r="J40" i="1"/>
  <c r="J46" i="1"/>
  <c r="J28" i="1"/>
  <c r="J63" i="1"/>
  <c r="J49" i="1"/>
  <c r="J70" i="1"/>
  <c r="J75" i="1"/>
  <c r="J44" i="1"/>
  <c r="J88" i="1"/>
  <c r="J18" i="1"/>
  <c r="J36" i="1"/>
  <c r="J51" i="1"/>
  <c r="J37" i="1"/>
  <c r="J78" i="1"/>
  <c r="J56" i="1"/>
  <c r="J64" i="1"/>
  <c r="J13" i="1"/>
  <c r="J54" i="1"/>
  <c r="J76" i="1"/>
  <c r="J95" i="1"/>
  <c r="J34" i="1"/>
  <c r="J79" i="1"/>
  <c r="J43" i="1"/>
  <c r="J39" i="1"/>
  <c r="J90" i="1"/>
  <c r="J3" i="1"/>
  <c r="J100" i="1"/>
  <c r="J71" i="1"/>
  <c r="J6" i="1"/>
  <c r="J67" i="1"/>
  <c r="J50" i="1"/>
  <c r="J86" i="1"/>
  <c r="J58" i="1"/>
  <c r="J22" i="1"/>
  <c r="J65" i="1"/>
  <c r="J82" i="1"/>
  <c r="J4" i="1"/>
  <c r="J69" i="1"/>
  <c r="J38" i="1"/>
  <c r="J11" i="1"/>
  <c r="J60" i="1"/>
  <c r="J17" i="1"/>
  <c r="J2" i="1"/>
  <c r="J20" i="1"/>
  <c r="J72" i="1"/>
  <c r="J45" i="1"/>
  <c r="J33" i="1"/>
  <c r="J41" i="1"/>
  <c r="J52" i="1"/>
  <c r="J21" i="1"/>
  <c r="J30" i="1"/>
  <c r="J25" i="1"/>
  <c r="J68" i="1"/>
  <c r="J19" i="1"/>
  <c r="J5" i="1"/>
  <c r="J93" i="1"/>
  <c r="J14" i="1"/>
  <c r="J66" i="1"/>
  <c r="J47" i="1"/>
  <c r="J91" i="1"/>
  <c r="J80" i="1"/>
  <c r="J7" i="1"/>
  <c r="J99" i="1"/>
  <c r="J81" i="1"/>
  <c r="J42" i="1"/>
  <c r="J57" i="1"/>
  <c r="J23" i="1"/>
  <c r="J97" i="1"/>
  <c r="J9" i="1"/>
  <c r="J15" i="1"/>
  <c r="J85" i="1"/>
  <c r="J77" i="1"/>
  <c r="J62" i="1"/>
  <c r="J92" i="1"/>
  <c r="J29" i="1"/>
  <c r="J59" i="1"/>
  <c r="J8" i="1"/>
  <c r="J16" i="1"/>
  <c r="J61" i="1"/>
  <c r="J96" i="1"/>
  <c r="J10" i="1"/>
  <c r="J55" i="1"/>
  <c r="J87" i="1"/>
  <c r="J27" i="1"/>
  <c r="J12" i="1"/>
  <c r="J98" i="1"/>
  <c r="J48" i="1"/>
  <c r="J83" i="1"/>
  <c r="J26" i="1"/>
  <c r="J84" i="1"/>
  <c r="J73" i="1"/>
  <c r="J31" i="1"/>
  <c r="J101" i="1"/>
  <c r="J24" i="1"/>
  <c r="J53" i="1"/>
  <c r="J32" i="1"/>
  <c r="B87" i="2"/>
  <c r="C87" i="2"/>
  <c r="K37" i="2"/>
  <c r="L36" i="2"/>
  <c r="L35" i="2"/>
  <c r="G34" i="2"/>
  <c r="J34" i="2"/>
  <c r="L34" i="2"/>
  <c r="J35" i="2"/>
  <c r="K38" i="2" l="1"/>
  <c r="L38" i="2"/>
  <c r="G38" i="2"/>
  <c r="J38" i="2"/>
  <c r="F25" i="4"/>
  <c r="F21" i="4"/>
  <c r="F22" i="4"/>
  <c r="F28" i="4"/>
  <c r="F19" i="4"/>
  <c r="F27" i="4"/>
  <c r="F23" i="4"/>
  <c r="F18" i="4"/>
  <c r="F24" i="4"/>
  <c r="F26" i="4"/>
  <c r="F17" i="4"/>
  <c r="F29" i="4" l="1"/>
  <c r="I29"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Fiqri Artsam</author>
  </authors>
  <commentList>
    <comment ref="C72" authorId="0" shapeId="0" xr:uid="{4B365107-5FCE-4BC7-ACF1-BAB8C732309F}">
      <text>
        <r>
          <rPr>
            <b/>
            <sz val="9"/>
            <color indexed="81"/>
            <rFont val="Tahoma"/>
            <family val="2"/>
          </rPr>
          <t>Assumed: You can replace it later</t>
        </r>
        <r>
          <rPr>
            <sz val="9"/>
            <color indexed="81"/>
            <rFont val="Tahoma"/>
            <family val="2"/>
          </rPr>
          <t xml:space="preserve">
</t>
        </r>
      </text>
    </comment>
    <comment ref="C86" authorId="0" shapeId="0" xr:uid="{9152CC90-6B59-4706-B510-A892165C3633}">
      <text>
        <r>
          <rPr>
            <b/>
            <sz val="9"/>
            <color indexed="81"/>
            <rFont val="Tahoma"/>
            <family val="2"/>
          </rPr>
          <t>Assumed: You can replace it later</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35ABC8-D3D9-4443-AD01-3AED3537656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7098244-B350-4AB0-8940-BD6F8783DD0A}" name="WorksheetConnection_Logistic and Transportation 2024_Data Analysis (ver2).xlsx!tblRouteLate" type="102" refreshedVersion="7" minRefreshableVersion="5">
    <extLst>
      <ext xmlns:x15="http://schemas.microsoft.com/office/spreadsheetml/2010/11/main" uri="{DE250136-89BD-433C-8126-D09CA5730AF9}">
        <x15:connection id="tblRouteLate">
          <x15:rangePr sourceName="_xlcn.WorksheetConnection_LogisticandTransportation2024_DataAnalysisver2.xlsxtblRouteLate1"/>
        </x15:connection>
      </ext>
    </extLst>
  </connection>
  <connection id="3" xr16:uid="{51FAB894-F58C-4CCD-9A5B-4EAEDB0D5D1F}" name="WorksheetConnection_Logistic and Transportation 2024_Data Analysis.xlsx!tblRevenuePerCost" type="102" refreshedVersion="7" minRefreshableVersion="5">
    <extLst>
      <ext xmlns:x15="http://schemas.microsoft.com/office/spreadsheetml/2010/11/main" uri="{DE250136-89BD-433C-8126-D09CA5730AF9}">
        <x15:connection id="tblRevenuePerCost">
          <x15:rangePr sourceName="_xlcn.WorksheetConnection_LogisticandTransportation2024_DataAnalysis.xlsxtblRevenuePerCost1"/>
        </x15:connection>
      </ext>
    </extLst>
  </connection>
  <connection id="4" xr16:uid="{89D6BD5B-FF31-4B74-95E6-27E7C3A2FFF1}" name="WorksheetConnection_tbl_DrivPerf" type="102" refreshedVersion="7" minRefreshableVersion="5">
    <extLst>
      <ext xmlns:x15="http://schemas.microsoft.com/office/spreadsheetml/2010/11/main" uri="{DE250136-89BD-433C-8126-D09CA5730AF9}">
        <x15:connection id="tbl_DrivPerf">
          <x15:rangePr sourceName="_xlcn.WorksheetConnection_tbl_DrivPerf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<sst xmlns="http://schemas.openxmlformats.org/spreadsheetml/2006/main" count="1739" uniqueCount="215">
  <si>
    <t>OrderID</t>
  </si>
  <si>
    <t>Customer</t>
  </si>
  <si>
    <t>Origin</t>
  </si>
  <si>
    <t>Destination</t>
  </si>
  <si>
    <t>TruckType</t>
  </si>
  <si>
    <t>Distance_km</t>
  </si>
  <si>
    <t>FuelCost_per_km</t>
  </si>
  <si>
    <t>Driver</t>
  </si>
  <si>
    <t>DeliveryDate</t>
  </si>
  <si>
    <t>Status</t>
  </si>
  <si>
    <t>Revenue</t>
  </si>
  <si>
    <t>ORD1000</t>
  </si>
  <si>
    <t>ORD1001</t>
  </si>
  <si>
    <t>ORD1002</t>
  </si>
  <si>
    <t>ORD1003</t>
  </si>
  <si>
    <t>ORD1004</t>
  </si>
  <si>
    <t>ORD1005</t>
  </si>
  <si>
    <t>ORD1006</t>
  </si>
  <si>
    <t>ORD1007</t>
  </si>
  <si>
    <t>ORD1008</t>
  </si>
  <si>
    <t>ORD1009</t>
  </si>
  <si>
    <t>ORD1010</t>
  </si>
  <si>
    <t>ORD1011</t>
  </si>
  <si>
    <t>ORD1012</t>
  </si>
  <si>
    <t>ORD1013</t>
  </si>
  <si>
    <t>ORD1014</t>
  </si>
  <si>
    <t>ORD1015</t>
  </si>
  <si>
    <t>ORD1016</t>
  </si>
  <si>
    <t>ORD1017</t>
  </si>
  <si>
    <t>ORD1018</t>
  </si>
  <si>
    <t>ORD1019</t>
  </si>
  <si>
    <t>ORD1020</t>
  </si>
  <si>
    <t>ORD1021</t>
  </si>
  <si>
    <t>ORD1022</t>
  </si>
  <si>
    <t>ORD1023</t>
  </si>
  <si>
    <t>ORD1024</t>
  </si>
  <si>
    <t>ORD1025</t>
  </si>
  <si>
    <t>ORD1026</t>
  </si>
  <si>
    <t>ORD1027</t>
  </si>
  <si>
    <t>ORD1028</t>
  </si>
  <si>
    <t>ORD1029</t>
  </si>
  <si>
    <t>ORD1030</t>
  </si>
  <si>
    <t>ORD1031</t>
  </si>
  <si>
    <t>ORD1032</t>
  </si>
  <si>
    <t>ORD1033</t>
  </si>
  <si>
    <t>ORD1034</t>
  </si>
  <si>
    <t>ORD1035</t>
  </si>
  <si>
    <t>ORD1036</t>
  </si>
  <si>
    <t>ORD1037</t>
  </si>
  <si>
    <t>ORD1038</t>
  </si>
  <si>
    <t>ORD1039</t>
  </si>
  <si>
    <t>ORD1040</t>
  </si>
  <si>
    <t>ORD1041</t>
  </si>
  <si>
    <t>ORD1042</t>
  </si>
  <si>
    <t>ORD1043</t>
  </si>
  <si>
    <t>ORD1044</t>
  </si>
  <si>
    <t>ORD1045</t>
  </si>
  <si>
    <t>ORD1046</t>
  </si>
  <si>
    <t>ORD1047</t>
  </si>
  <si>
    <t>ORD1048</t>
  </si>
  <si>
    <t>ORD1049</t>
  </si>
  <si>
    <t>ORD1050</t>
  </si>
  <si>
    <t>ORD1051</t>
  </si>
  <si>
    <t>ORD1052</t>
  </si>
  <si>
    <t>ORD1053</t>
  </si>
  <si>
    <t>ORD1054</t>
  </si>
  <si>
    <t>ORD1055</t>
  </si>
  <si>
    <t>ORD1056</t>
  </si>
  <si>
    <t>ORD1057</t>
  </si>
  <si>
    <t>ORD1058</t>
  </si>
  <si>
    <t>ORD1059</t>
  </si>
  <si>
    <t>ORD1060</t>
  </si>
  <si>
    <t>ORD1061</t>
  </si>
  <si>
    <t>ORD1062</t>
  </si>
  <si>
    <t>ORD1063</t>
  </si>
  <si>
    <t>ORD1064</t>
  </si>
  <si>
    <t>ORD1065</t>
  </si>
  <si>
    <t>ORD1066</t>
  </si>
  <si>
    <t>ORD1067</t>
  </si>
  <si>
    <t>ORD1068</t>
  </si>
  <si>
    <t>ORD1069</t>
  </si>
  <si>
    <t>ORD1070</t>
  </si>
  <si>
    <t>ORD1071</t>
  </si>
  <si>
    <t>ORD1072</t>
  </si>
  <si>
    <t>ORD1073</t>
  </si>
  <si>
    <t>ORD1074</t>
  </si>
  <si>
    <t>ORD1075</t>
  </si>
  <si>
    <t>ORD1076</t>
  </si>
  <si>
    <t>ORD1077</t>
  </si>
  <si>
    <t>ORD1078</t>
  </si>
  <si>
    <t>ORD1079</t>
  </si>
  <si>
    <t>ORD1080</t>
  </si>
  <si>
    <t>ORD1081</t>
  </si>
  <si>
    <t>ORD1082</t>
  </si>
  <si>
    <t>ORD1083</t>
  </si>
  <si>
    <t>ORD1084</t>
  </si>
  <si>
    <t>ORD1085</t>
  </si>
  <si>
    <t>ORD1086</t>
  </si>
  <si>
    <t>ORD1087</t>
  </si>
  <si>
    <t>ORD1088</t>
  </si>
  <si>
    <t>ORD1089</t>
  </si>
  <si>
    <t>ORD1090</t>
  </si>
  <si>
    <t>ORD1091</t>
  </si>
  <si>
    <t>ORD1092</t>
  </si>
  <si>
    <t>ORD1093</t>
  </si>
  <si>
    <t>ORD1094</t>
  </si>
  <si>
    <t>ORD1095</t>
  </si>
  <si>
    <t>ORD1096</t>
  </si>
  <si>
    <t>ORD1097</t>
  </si>
  <si>
    <t>ORD1098</t>
  </si>
  <si>
    <t>ORD1099</t>
  </si>
  <si>
    <t>PT Berkah Abadi</t>
  </si>
  <si>
    <t>PT Sumber Makmur</t>
  </si>
  <si>
    <t>CV Logindo</t>
  </si>
  <si>
    <t>CV Transindo</t>
  </si>
  <si>
    <t>PT Lintas Jaya</t>
  </si>
  <si>
    <t>PT Nusantara</t>
  </si>
  <si>
    <t>Jakarta</t>
  </si>
  <si>
    <t>Bandung</t>
  </si>
  <si>
    <t>Medan</t>
  </si>
  <si>
    <t>Surabaya</t>
  </si>
  <si>
    <t>Semarang</t>
  </si>
  <si>
    <t>Makassar</t>
  </si>
  <si>
    <t>Denpasar</t>
  </si>
  <si>
    <t>Yogyakarta</t>
  </si>
  <si>
    <t>Palembang</t>
  </si>
  <si>
    <t>CDD</t>
  </si>
  <si>
    <t>Wingbox</t>
  </si>
  <si>
    <t>Fuso</t>
  </si>
  <si>
    <t>Tronton</t>
  </si>
  <si>
    <t>Joko</t>
  </si>
  <si>
    <t>Andi</t>
  </si>
  <si>
    <t>Tono</t>
  </si>
  <si>
    <t>Eko</t>
  </si>
  <si>
    <t>Budi</t>
  </si>
  <si>
    <t>Rizal</t>
  </si>
  <si>
    <t>Slamet</t>
  </si>
  <si>
    <t>On-time</t>
  </si>
  <si>
    <t>Late</t>
  </si>
  <si>
    <t>Cancelled</t>
  </si>
  <si>
    <t>Grand Total</t>
  </si>
  <si>
    <t>Sum of Revenue</t>
  </si>
  <si>
    <t>Truck Type</t>
  </si>
  <si>
    <t>Jan</t>
  </si>
  <si>
    <t>Feb</t>
  </si>
  <si>
    <t>Mar</t>
  </si>
  <si>
    <t>Months</t>
  </si>
  <si>
    <t>Total</t>
  </si>
  <si>
    <t>(All)</t>
  </si>
  <si>
    <t>May</t>
  </si>
  <si>
    <t>Count of OrderID</t>
  </si>
  <si>
    <t>Fuel Cost</t>
  </si>
  <si>
    <t>Route</t>
  </si>
  <si>
    <t>Route_Scope</t>
  </si>
  <si>
    <t>Within City</t>
  </si>
  <si>
    <t>Intercity</t>
  </si>
  <si>
    <t>Total_FuelCost</t>
  </si>
  <si>
    <t>Route Scope</t>
  </si>
  <si>
    <t>Apr</t>
  </si>
  <si>
    <t>Jun</t>
  </si>
  <si>
    <t>Jul</t>
  </si>
  <si>
    <t>Aug</t>
  </si>
  <si>
    <t>Sep</t>
  </si>
  <si>
    <t>Oct</t>
  </si>
  <si>
    <t>Nov</t>
  </si>
  <si>
    <t>Dec</t>
  </si>
  <si>
    <t>Total Fuel Cost</t>
  </si>
  <si>
    <t>Total Total Revenue</t>
  </si>
  <si>
    <t>Total Revenue</t>
  </si>
  <si>
    <t>Months (QA34)</t>
  </si>
  <si>
    <t>Total Revenue-I</t>
  </si>
  <si>
    <t>Total Revenue-W</t>
  </si>
  <si>
    <t>Grand Total Revenue</t>
  </si>
  <si>
    <t>Count of Status</t>
  </si>
  <si>
    <t>Total Order</t>
  </si>
  <si>
    <t>Driver's Performance Rate**</t>
  </si>
  <si>
    <t>**) The formula for Driver's Performance Rate is:</t>
  </si>
  <si>
    <t>Perf_Score</t>
  </si>
  <si>
    <t>Base_Score</t>
  </si>
  <si>
    <t>Name</t>
  </si>
  <si>
    <t>Avaerage Distance (km)</t>
  </si>
  <si>
    <t>Route Mastery (Mode Route)</t>
  </si>
  <si>
    <t>Total Contribution</t>
  </si>
  <si>
    <t>🚩Top Distance Champion</t>
  </si>
  <si>
    <t>🥇Best Performing Driver</t>
  </si>
  <si>
    <t>⏲️Most Active Driver</t>
  </si>
  <si>
    <t>Count oE OrderID</t>
  </si>
  <si>
    <t>Fuel Cost-I</t>
  </si>
  <si>
    <t>Fuel Cost-W</t>
  </si>
  <si>
    <t xml:space="preserve">Grand Total Fuel Cost </t>
  </si>
  <si>
    <t>Margin Profit</t>
  </si>
  <si>
    <t>Intercity - Margin Profit</t>
  </si>
  <si>
    <t>Within City - Margin Profit</t>
  </si>
  <si>
    <t>Row Labels</t>
  </si>
  <si>
    <t>Column Labels</t>
  </si>
  <si>
    <t>Rest</t>
  </si>
  <si>
    <t>Target</t>
  </si>
  <si>
    <t>Percentage</t>
  </si>
  <si>
    <t>Actual</t>
  </si>
  <si>
    <t>Average of FuelCost_per_km</t>
  </si>
  <si>
    <t>Average of Distance_km</t>
  </si>
  <si>
    <t>Sum of Distance_km</t>
  </si>
  <si>
    <t>Min of FuelCost_per_km</t>
  </si>
  <si>
    <t>Max of FuelCost_per_km</t>
  </si>
  <si>
    <t>Rest2</t>
  </si>
  <si>
    <t>Rest3</t>
  </si>
  <si>
    <t>Sum of Late</t>
  </si>
  <si>
    <t>Potentian_Lost</t>
  </si>
  <si>
    <t>Sum of Potentian_Lost</t>
  </si>
  <si>
    <t>Loss/Revenue</t>
  </si>
  <si>
    <t>Semarang - Surabaya</t>
  </si>
  <si>
    <t>Semarang - Yogyakarta</t>
  </si>
  <si>
    <t>Surabaya - Bandung</t>
  </si>
  <si>
    <t>Surabaya - Yogyakarta</t>
  </si>
  <si>
    <t>from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</si>
</sst>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Rp&quot;* #,##0.00_-;\-&quot;Rp&quot;* #,##0.00_-;_-&quot;Rp&quot;* &quot;-&quot;??_-;_-@_-"/>
    <numFmt numFmtId="43" formatCode="_-* #,##0.00_-;\-* #,##0.00_-;_-* &quot;-&quot;??_-;_-@_-"/>
    <numFmt numFmtId="164" formatCode="yyyy\-mm\-dd\ hh:mm:ss"/>
    <numFmt numFmtId="165" formatCode="_-* #,##0_-;\-* #,##0_-;_-* &quot;-&quot;??_-;_-@_-"/>
    <numFmt numFmtId="166" formatCode="_-[$Rp-3809]* #,##0.00_-;\-[$Rp-3809]* #,##0.00_-;_-[$Rp-3809]* &quot;-&quot;??_-;_-@_-"/>
  </numFmts>
  <fonts count="12"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sz val="8"/>
      <name val="Calibri"/>
      <family val="2"/>
      <scheme val="minor"/>
    </font>
    <font>
      <i/>
      <sz val="11"/>
      <color theme="1"/>
      <name val="Calibri"/>
      <family val="2"/>
      <scheme val="minor"/>
    </font>
    <font>
      <sz val="11"/>
      <color theme="0"/>
      <name val="Calibri"/>
      <family val="2"/>
      <scheme val="minor"/>
    </font>
    <font>
      <b/>
      <sz val="11"/>
      <color theme="0" tint="-0.14999847407452621"/>
      <name val="Calibri"/>
      <family val="2"/>
      <scheme val="minor"/>
    </font>
    <font>
      <sz val="11"/>
      <color theme="0" tint="-0.14999847407452621"/>
      <name val="Calibri"/>
      <family val="2"/>
      <scheme val="minor"/>
    </font>
    <font>
      <sz val="11"/>
      <color theme="1"/>
      <name val="Calibri"/>
      <family val="2"/>
      <charset val="1"/>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3" tint="0.79998168889431442"/>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3" tint="-0.249977111117893"/>
        <bgColor indexed="64"/>
      </patternFill>
    </fill>
    <fill>
      <patternFill patternType="solid">
        <fgColor theme="0" tint="-0.249977111117893"/>
        <bgColor indexed="64"/>
      </patternFill>
    </fill>
  </fills>
  <borders count="13">
    <border>
      <left/>
      <right/>
      <top/>
      <bottom/>
      <diagonal/>
    </border>
    <border>
      <left style="thin">
        <color auto="1"/>
      </left>
      <right style="thin">
        <color auto="1"/>
      </right>
      <top/>
      <bottom style="thin">
        <color auto="1"/>
      </bottom>
      <diagonal/>
    </border>
    <border>
      <left/>
      <right/>
      <top/>
      <bottom style="thin">
        <color indexed="64"/>
      </bottom>
      <diagonal/>
    </border>
    <border>
      <left/>
      <right/>
      <top style="thin">
        <color indexed="64"/>
      </top>
      <bottom style="double">
        <color indexed="64"/>
      </bottom>
      <diagonal/>
    </border>
    <border>
      <left/>
      <right/>
      <top/>
      <bottom style="thin">
        <color theme="4" tint="0.39997558519241921"/>
      </bottom>
      <diagonal/>
    </border>
    <border>
      <left/>
      <right/>
      <top style="thin">
        <color theme="4" tint="0.39997558519241921"/>
      </top>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auto="1"/>
      </left>
      <right style="thin">
        <color auto="1"/>
      </right>
      <top style="thin">
        <color auto="1"/>
      </top>
      <bottom style="thin">
        <color auto="1"/>
      </bottom>
      <diagonal/>
    </border>
  </borders>
  <cellStyleXfs count="5">
    <xf numFmtId="0" fontId="0" fillId="0" borderId="0"/>
    <xf numFmtId="9" fontId="2" fillId="0" borderId="0" applyFont="0" applyFill="0" applyBorder="0" applyAlignment="0" applyProtection="0"/>
    <xf numFmtId="43" fontId="2" fillId="0" borderId="0" applyFont="0" applyFill="0" applyBorder="0" applyAlignment="0" applyProtection="0"/>
    <xf numFmtId="0" fontId="9" fillId="0" borderId="0"/>
    <xf numFmtId="44" fontId="2" fillId="0" borderId="0" applyFont="0" applyFill="0" applyBorder="0" applyAlignment="0" applyProtection="0"/>
  </cellStyleXfs>
  <cellXfs count="90">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1" fillId="0" borderId="3" xfId="0" applyFont="1" applyBorder="1"/>
    <xf numFmtId="9" fontId="0" fillId="0" borderId="0" xfId="1" applyFont="1"/>
    <xf numFmtId="9" fontId="1" fillId="0" borderId="3" xfId="1" applyFont="1" applyBorder="1"/>
    <xf numFmtId="0" fontId="0" fillId="0" borderId="0" xfId="0" applyAlignment="1">
      <alignment horizontal="left" vertical="top" wrapText="1"/>
    </xf>
    <xf numFmtId="165" fontId="0" fillId="0" borderId="0" xfId="0" applyNumberFormat="1"/>
    <xf numFmtId="0" fontId="1" fillId="2" borderId="1" xfId="0" applyFont="1" applyFill="1" applyBorder="1" applyAlignment="1">
      <alignment horizontal="center" vertical="top"/>
    </xf>
    <xf numFmtId="0" fontId="1" fillId="0" borderId="2" xfId="0" applyFont="1" applyBorder="1" applyAlignment="1">
      <alignment horizontal="center"/>
    </xf>
    <xf numFmtId="165" fontId="0" fillId="0" borderId="0" xfId="0" applyNumberFormat="1" applyAlignment="1">
      <alignment horizontal="center"/>
    </xf>
    <xf numFmtId="0" fontId="0" fillId="0" borderId="0" xfId="0" applyBorder="1"/>
    <xf numFmtId="0" fontId="1" fillId="3" borderId="4" xfId="0" applyFont="1" applyFill="1" applyBorder="1" applyAlignment="1">
      <alignment horizontal="center"/>
    </xf>
    <xf numFmtId="0" fontId="1" fillId="3" borderId="5" xfId="0" applyNumberFormat="1" applyFont="1" applyFill="1" applyBorder="1"/>
    <xf numFmtId="0" fontId="0" fillId="0" borderId="0" xfId="0" pivotButton="1" applyAlignment="1">
      <alignment horizontal="center"/>
    </xf>
    <xf numFmtId="1" fontId="1" fillId="3" borderId="5" xfId="0" applyNumberFormat="1" applyFont="1" applyFill="1" applyBorder="1"/>
    <xf numFmtId="9" fontId="1" fillId="3" borderId="5" xfId="0" applyNumberFormat="1" applyFont="1" applyFill="1" applyBorder="1"/>
    <xf numFmtId="0" fontId="0" fillId="4" borderId="0" xfId="0" applyFill="1" applyAlignment="1">
      <alignment horizontal="center"/>
    </xf>
    <xf numFmtId="0" fontId="0" fillId="4" borderId="0" xfId="0" applyFill="1" applyAlignment="1">
      <alignment horizontal="left" vertical="top" wrapText="1"/>
    </xf>
    <xf numFmtId="0" fontId="0" fillId="4" borderId="0" xfId="0" applyFill="1" applyAlignment="1">
      <alignment vertical="top"/>
    </xf>
    <xf numFmtId="1" fontId="0" fillId="4" borderId="0" xfId="1" applyNumberFormat="1" applyFont="1" applyFill="1" applyAlignment="1">
      <alignment vertical="top"/>
    </xf>
    <xf numFmtId="0" fontId="0" fillId="4" borderId="0" xfId="1" applyNumberFormat="1" applyFont="1" applyFill="1" applyAlignment="1">
      <alignment vertical="top"/>
    </xf>
    <xf numFmtId="9" fontId="0" fillId="4" borderId="0" xfId="1" applyFont="1" applyFill="1" applyAlignment="1">
      <alignment horizontal="center" vertical="top"/>
    </xf>
    <xf numFmtId="2" fontId="0" fillId="4" borderId="0" xfId="1" applyNumberFormat="1" applyFont="1" applyFill="1" applyAlignment="1">
      <alignment horizontal="right" vertical="top"/>
    </xf>
    <xf numFmtId="165" fontId="0" fillId="4" borderId="0" xfId="2" applyNumberFormat="1" applyFont="1" applyFill="1" applyAlignment="1">
      <alignment vertical="top"/>
    </xf>
    <xf numFmtId="10" fontId="0" fillId="4" borderId="0" xfId="1" applyNumberFormat="1" applyFont="1" applyFill="1"/>
    <xf numFmtId="165" fontId="1" fillId="3" borderId="0" xfId="2" applyNumberFormat="1" applyFont="1" applyFill="1" applyBorder="1" applyAlignment="1">
      <alignment horizontal="left"/>
    </xf>
    <xf numFmtId="165" fontId="1" fillId="3" borderId="0" xfId="2" applyNumberFormat="1" applyFont="1" applyFill="1" applyBorder="1"/>
    <xf numFmtId="0" fontId="1" fillId="3" borderId="0" xfId="0" applyNumberFormat="1" applyFont="1" applyFill="1" applyBorder="1"/>
    <xf numFmtId="0" fontId="6" fillId="5" borderId="6" xfId="0" applyFont="1" applyFill="1" applyBorder="1"/>
    <xf numFmtId="2" fontId="0" fillId="6" borderId="7" xfId="0" applyNumberFormat="1" applyFill="1" applyBorder="1" applyAlignment="1">
      <alignment horizontal="center"/>
    </xf>
    <xf numFmtId="0" fontId="6" fillId="7" borderId="8" xfId="0" applyFont="1" applyFill="1" applyBorder="1"/>
    <xf numFmtId="0" fontId="0" fillId="8" borderId="9" xfId="0" applyFill="1" applyBorder="1" applyAlignment="1">
      <alignment horizontal="center"/>
    </xf>
    <xf numFmtId="0" fontId="6" fillId="9" borderId="10" xfId="0" applyFont="1" applyFill="1" applyBorder="1"/>
    <xf numFmtId="0" fontId="0" fillId="2" borderId="11" xfId="0" applyFill="1" applyBorder="1" applyAlignment="1">
      <alignment horizontal="center"/>
    </xf>
    <xf numFmtId="0" fontId="1" fillId="3" borderId="5" xfId="0" applyFont="1" applyFill="1" applyBorder="1" applyAlignment="1">
      <alignment horizontal="left"/>
    </xf>
    <xf numFmtId="0" fontId="0" fillId="4" borderId="0" xfId="0" applyFill="1"/>
    <xf numFmtId="0" fontId="1" fillId="3" borderId="5" xfId="0" applyFont="1" applyFill="1" applyBorder="1" applyAlignment="1">
      <alignment horizontal="right"/>
    </xf>
    <xf numFmtId="9" fontId="1" fillId="3" borderId="0" xfId="0" applyNumberFormat="1" applyFont="1" applyFill="1" applyBorder="1"/>
    <xf numFmtId="0" fontId="7" fillId="3" borderId="4" xfId="0" applyFont="1" applyFill="1" applyBorder="1" applyAlignment="1">
      <alignment horizontal="center"/>
    </xf>
    <xf numFmtId="10" fontId="8" fillId="4" borderId="0" xfId="0" applyNumberFormat="1" applyFont="1" applyFill="1"/>
    <xf numFmtId="10" fontId="7" fillId="3" borderId="5" xfId="1" applyNumberFormat="1" applyFont="1" applyFill="1" applyBorder="1" applyAlignment="1">
      <alignment horizontal="right"/>
    </xf>
    <xf numFmtId="0" fontId="5" fillId="0" borderId="0" xfId="0" applyFont="1" applyAlignment="1">
      <alignment horizontal="left" vertical="top" wrapText="1"/>
    </xf>
    <xf numFmtId="0" fontId="0" fillId="0" borderId="0" xfId="0" applyAlignment="1">
      <alignment horizontal="left" vertical="top" wrapText="1"/>
    </xf>
    <xf numFmtId="0" fontId="0" fillId="0" borderId="12" xfId="0" applyBorder="1"/>
    <xf numFmtId="0" fontId="0" fillId="10" borderId="0" xfId="0" applyFill="1"/>
    <xf numFmtId="165" fontId="0" fillId="0" borderId="0" xfId="2" applyNumberFormat="1" applyFont="1"/>
    <xf numFmtId="165" fontId="0" fillId="0" borderId="0" xfId="2" applyNumberFormat="1" applyFont="1" applyBorder="1"/>
    <xf numFmtId="10" fontId="0" fillId="0" borderId="0" xfId="1" applyNumberFormat="1" applyFont="1" applyBorder="1"/>
    <xf numFmtId="43" fontId="0" fillId="0" borderId="0" xfId="0" applyNumberFormat="1"/>
    <xf numFmtId="166" fontId="0" fillId="0" borderId="0" xfId="0" applyNumberFormat="1"/>
    <xf numFmtId="2" fontId="0" fillId="0" borderId="0" xfId="0" applyNumberFormat="1"/>
    <xf numFmtId="43" fontId="0" fillId="0" borderId="0" xfId="2" applyNumberFormat="1" applyFont="1"/>
    <xf numFmtId="43" fontId="0" fillId="0" borderId="0" xfId="2" applyFont="1"/>
    <xf numFmtId="165" fontId="5" fillId="0" borderId="0" xfId="0" applyNumberFormat="1" applyFont="1" applyAlignment="1">
      <alignment horizontal="left" vertical="top" wrapText="1"/>
    </xf>
    <xf numFmtId="43" fontId="5" fillId="0" borderId="0" xfId="0" applyNumberFormat="1" applyFont="1" applyAlignment="1">
      <alignment horizontal="left" vertical="top" wrapText="1"/>
    </xf>
    <xf numFmtId="0" fontId="1" fillId="0" borderId="0" xfId="0" applyFont="1" applyBorder="1" applyAlignment="1">
      <alignment horizontal="center"/>
    </xf>
    <xf numFmtId="9" fontId="1" fillId="0" borderId="0" xfId="1" applyFont="1" applyBorder="1"/>
    <xf numFmtId="44" fontId="0" fillId="0" borderId="0" xfId="4" applyFont="1"/>
    <xf numFmtId="166" fontId="0" fillId="0" borderId="0" xfId="2" applyNumberFormat="1" applyFont="1"/>
    <xf numFmtId="0" fontId="0" fillId="0" borderId="2" xfId="0" applyBorder="1"/>
    <xf numFmtId="10" fontId="0" fillId="0" borderId="0" xfId="0" applyNumberFormat="1"/>
    <xf numFmtId="0" fontId="1" fillId="0" borderId="2" xfId="0" applyFont="1" applyFill="1" applyBorder="1" applyAlignment="1">
      <alignment horizontal="center"/>
    </xf>
    <xf numFmtId="10" fontId="0" fillId="0" borderId="0" xfId="1" applyNumberFormat="1" applyFont="1"/>
    <xf numFmtId="165" fontId="0" fillId="0" borderId="2" xfId="2" applyNumberFormat="1" applyFont="1" applyBorder="1"/>
    <xf numFmtId="10" fontId="0" fillId="0" borderId="2" xfId="1" applyNumberFormat="1" applyFont="1" applyBorder="1"/>
    <xf numFmtId="9" fontId="0" fillId="0" borderId="2" xfId="1" applyFont="1" applyBorder="1"/>
    <xf numFmtId="0" fontId="0" fillId="4" borderId="0" xfId="0" applyFill="1" applyBorder="1" applyAlignment="1">
      <alignment vertical="top"/>
    </xf>
    <xf numFmtId="1" fontId="0" fillId="4" borderId="0" xfId="1" applyNumberFormat="1" applyFont="1" applyFill="1" applyBorder="1" applyAlignment="1">
      <alignment vertical="top"/>
    </xf>
    <xf numFmtId="0" fontId="0" fillId="4" borderId="0" xfId="1" applyNumberFormat="1" applyFont="1" applyFill="1" applyBorder="1" applyAlignment="1">
      <alignment vertical="top"/>
    </xf>
    <xf numFmtId="9" fontId="0" fillId="4" borderId="0" xfId="1" applyFont="1" applyFill="1" applyBorder="1" applyAlignment="1">
      <alignment horizontal="center" vertical="top"/>
    </xf>
    <xf numFmtId="0" fontId="0" fillId="4" borderId="0" xfId="0" applyFill="1" applyBorder="1" applyAlignment="1">
      <alignment horizontal="left" vertical="top" wrapText="1"/>
    </xf>
    <xf numFmtId="9" fontId="0" fillId="0" borderId="0" xfId="0" applyNumberFormat="1"/>
    <xf numFmtId="9" fontId="0" fillId="4" borderId="0" xfId="1" applyFont="1" applyFill="1"/>
    <xf numFmtId="9" fontId="1" fillId="3" borderId="5" xfId="1" applyFont="1" applyFill="1" applyBorder="1" applyAlignment="1">
      <alignment horizontal="right"/>
    </xf>
    <xf numFmtId="0" fontId="0" fillId="0" borderId="0" xfId="0" applyAlignment="1">
      <alignment horizontal="center" vertical="center" wrapText="1"/>
    </xf>
    <xf numFmtId="0" fontId="1" fillId="3" borderId="4" xfId="0" applyNumberFormat="1" applyFont="1" applyFill="1" applyBorder="1" applyAlignment="1">
      <alignment horizontal="center"/>
    </xf>
    <xf numFmtId="0" fontId="0" fillId="4" borderId="0" xfId="1" applyNumberFormat="1" applyFont="1" applyFill="1"/>
    <xf numFmtId="0" fontId="0" fillId="0" borderId="0" xfId="0" applyAlignment="1">
      <alignment horizontal="left" indent="1"/>
    </xf>
    <xf numFmtId="0" fontId="0" fillId="0" borderId="0" xfId="0" applyAlignment="1">
      <alignment horizontal="left" indent="2"/>
    </xf>
    <xf numFmtId="0" fontId="0" fillId="0" borderId="0" xfId="0" applyAlignment="1">
      <alignment horizontal="center" vertical="center" wrapText="1"/>
    </xf>
    <xf numFmtId="0" fontId="0" fillId="0" borderId="0" xfId="0" applyAlignment="1">
      <alignment horizontal="center"/>
    </xf>
    <xf numFmtId="0" fontId="5"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center" vertical="center" wrapText="1"/>
    </xf>
    <xf numFmtId="0" fontId="0" fillId="0" borderId="0" xfId="0" applyAlignment="1">
      <alignment horizontal="center"/>
    </xf>
  </cellXfs>
  <cellStyles count="5">
    <cellStyle name="Comma" xfId="2" builtinId="3"/>
    <cellStyle name="Currency" xfId="4" builtinId="4"/>
    <cellStyle name="Normal" xfId="0" builtinId="0"/>
    <cellStyle name="Normal 2" xfId="3" xr:uid="{1C91A9B4-B65C-4A31-95E2-31CD742920FC}"/>
    <cellStyle name="Percent" xfId="1" builtinId="5"/>
  </cellStyles>
  <dxfs count="633">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alignment horizontal="center"/>
    </dxf>
    <dxf>
      <alignment horizontal="center"/>
    </dxf>
    <dxf>
      <alignment horizontal="center"/>
    </dxf>
    <dxf>
      <numFmt numFmtId="166" formatCode="_-[$Rp-3809]* #,##0.00_-;\-[$Rp-3809]* #,##0.00_-;_-[$Rp-3809]*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numFmt numFmtId="165" formatCode="_-* #,##0_-;\-* #,##0_-;_-* &quot;-&quot;??_-;_-@_-"/>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164" formatCode="yyyy\-mm\-dd\ hh:mm:ss"/>
    </dxf>
    <dxf>
      <numFmt numFmtId="0" formatCode="General"/>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color theme="0" tint="-0.14999847407452621"/>
      </font>
      <numFmt numFmtId="14" formatCode="0.00%"/>
      <fill>
        <patternFill patternType="solid">
          <fgColor indexed="64"/>
          <bgColor theme="0"/>
        </patternFill>
      </fill>
    </dxf>
    <dxf>
      <font>
        <b val="0"/>
        <i val="0"/>
        <strike val="0"/>
        <condense val="0"/>
        <extend val="0"/>
        <outline val="0"/>
        <shadow val="0"/>
        <u val="none"/>
        <vertAlign val="baseline"/>
        <sz val="11"/>
        <color theme="0" tint="-0.14999847407452621"/>
        <name val="Calibri"/>
        <family val="2"/>
        <scheme val="minor"/>
      </font>
      <numFmt numFmtId="14" formatCode="0.00%"/>
      <fill>
        <patternFill patternType="solid">
          <fgColor indexed="64"/>
          <bgColor theme="0"/>
        </patternFill>
      </fill>
    </dxf>
    <dxf>
      <font>
        <b val="0"/>
        <i val="0"/>
        <strike val="0"/>
        <condense val="0"/>
        <extend val="0"/>
        <outline val="0"/>
        <shadow val="0"/>
        <u val="none"/>
        <vertAlign val="baseline"/>
        <sz val="11"/>
        <color theme="0" tint="-0.14999847407452621"/>
        <name val="Calibri"/>
        <family val="2"/>
        <scheme val="minor"/>
      </font>
      <numFmt numFmtId="14" formatCode="0.00%"/>
      <fill>
        <patternFill patternType="solid">
          <fgColor indexed="64"/>
          <bgColor theme="0"/>
        </patternFill>
      </fill>
    </dxf>
    <dxf>
      <font>
        <b val="0"/>
        <i val="0"/>
        <strike val="0"/>
        <condense val="0"/>
        <extend val="0"/>
        <outline val="0"/>
        <shadow val="0"/>
        <u val="none"/>
        <vertAlign val="baseline"/>
        <sz val="11"/>
        <color theme="0" tint="-0.14999847407452621"/>
        <name val="Calibri"/>
        <family val="2"/>
        <scheme val="minor"/>
      </font>
      <numFmt numFmtId="14" formatCode="0.00%"/>
      <fill>
        <patternFill patternType="solid">
          <fgColor indexed="64"/>
          <bgColor theme="0"/>
        </patternFill>
      </fill>
    </dxf>
    <dxf>
      <font>
        <color theme="0" tint="-0.14999847407452621"/>
      </font>
      <numFmt numFmtId="14" formatCode="0.00%"/>
      <fill>
        <patternFill patternType="solid">
          <fgColor indexed="64"/>
          <bgColor theme="0"/>
        </patternFill>
      </fill>
    </dxf>
    <dxf>
      <font>
        <b val="0"/>
        <i val="0"/>
        <strike val="0"/>
        <condense val="0"/>
        <extend val="0"/>
        <outline val="0"/>
        <shadow val="0"/>
        <u val="none"/>
        <vertAlign val="baseline"/>
        <sz val="11"/>
        <color theme="0" tint="-0.14999847407452621"/>
        <name val="Calibri"/>
        <family val="2"/>
        <scheme val="minor"/>
      </font>
      <numFmt numFmtId="14" formatCode="0.00%"/>
      <fill>
        <patternFill patternType="solid">
          <fgColor indexed="64"/>
          <bgColor theme="0"/>
        </patternFill>
      </fill>
    </dxf>
    <dxf>
      <font>
        <strike val="0"/>
        <outline val="0"/>
        <shadow val="0"/>
        <u val="none"/>
        <vertAlign val="baseline"/>
        <sz val="11"/>
        <color theme="0" tint="-0.14999847407452621"/>
        <name val="Calibri"/>
        <family val="2"/>
        <scheme val="minor"/>
      </font>
      <numFmt numFmtId="14" formatCode="0.00%"/>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13" formatCode="0%"/>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numFmt numFmtId="165" formatCode="_-* #,##0_-;\-* #,##0_-;_-* &quot;-&quot;??_-;_-@_-"/>
    </dxf>
    <dxf>
      <alignment horizontal="center"/>
    </dxf>
    <dxf>
      <alignment horizontal="center"/>
    </dxf>
    <dxf>
      <alignment horizontal="center"/>
    </dxf>
    <dxf>
      <numFmt numFmtId="0" formatCode="General"/>
      <fill>
        <patternFill patternType="solid">
          <fgColor indexed="64"/>
          <bgColor theme="0"/>
        </patternFill>
      </fill>
    </dxf>
    <dxf>
      <font>
        <b val="0"/>
        <i val="0"/>
        <strike val="0"/>
        <condense val="0"/>
        <extend val="0"/>
        <outline val="0"/>
        <shadow val="0"/>
        <u val="none"/>
        <vertAlign val="baseline"/>
        <sz val="11"/>
        <color theme="1"/>
        <name val="Calibri"/>
        <family val="2"/>
        <scheme val="minor"/>
      </font>
      <numFmt numFmtId="1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5" formatCode="_-* #,##0_-;\-* #,##0_-;_-* &quot;-&quot;??_-;_-@_-"/>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 #,##0_-;_-* &quot;-&quot;??_-;_-@_-"/>
      <alignment horizontal="left" vertical="bottom" textRotation="0" wrapText="0" indent="0" justifyLastLine="0" shrinkToFit="0" readingOrder="0"/>
    </dxf>
    <dxf>
      <numFmt numFmtId="165" formatCode="_-* #,##0_-;\-* #,##0_-;_-* &quot;-&quot;??_-;_-@_-"/>
      <alignment horizontal="left" vertical="bottom" textRotation="0" wrapText="0" indent="0" justifyLastLine="0" shrinkToFit="0" readingOrder="0"/>
    </dxf>
    <dxf>
      <numFmt numFmtId="165" formatCode="_-* #,##0_-;\-* #,##0_-;_-* &quot;-&quot;??_-;_-@_-"/>
      <alignment horizontal="left" vertical="bottom" textRotation="0" wrapText="0" indent="0" justifyLastLine="0" shrinkToFit="0" readingOrder="0"/>
    </dxf>
    <dxf>
      <numFmt numFmtId="165" formatCode="_-* #,##0_-;\-* #,##0_-;_-* &quot;-&quot;??_-;_-@_-"/>
      <alignment horizontal="left" vertical="bottom" textRotation="0" wrapText="0" indent="0" justifyLastLine="0" shrinkToFit="0" readingOrder="0"/>
    </dxf>
    <dxf>
      <numFmt numFmtId="0" formatCode="General"/>
      <fill>
        <patternFill patternType="solid">
          <fgColor indexed="64"/>
          <bgColor theme="0"/>
        </patternFill>
      </fill>
      <alignment horizontal="general" vertical="top" textRotation="0" wrapText="0" indent="0" justifyLastLine="0" shrinkToFit="0" readingOrder="0"/>
    </dxf>
    <dxf>
      <numFmt numFmtId="165" formatCode="_-* #,##0_-;\-* #,##0_-;_-* &quot;-&quot;??_-;_-@_-"/>
      <alignment horizontal="left" vertical="bottom" textRotation="0" wrapText="0" indent="0" justifyLastLine="0" shrinkToFit="0" readingOrder="0"/>
    </dxf>
    <dxf>
      <border outline="0">
        <bottom style="double">
          <color indexed="64"/>
        </bottom>
      </border>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numFmt numFmtId="165" formatCode="_-* #,##0_-;\-* #,##0_-;_-* &quot;-&quot;??_-;_-@_-"/>
    </dxf>
    <dxf>
      <numFmt numFmtId="35" formatCode="_-* #,##0.00_-;\-* #,##0.00_-;_-* &quot;-&quot;??_-;_-@_-"/>
    </dxf>
    <dxf>
      <numFmt numFmtId="35" formatCode="_-* #,##0.00_-;\-* #,##0.00_-;_-* &quot;-&quot;??_-;_-@_-"/>
    </dxf>
    <dxf>
      <numFmt numFmtId="166" formatCode="_-[$Rp-3809]* #,##0.00_-;\-[$Rp-3809]* #,##0.00_-;_-[$Rp-3809]* &quot;-&quot;??_-;_-@_-"/>
    </dxf>
    <dxf>
      <numFmt numFmtId="13" formatCode="0%"/>
      <border diagonalUp="0" diagonalDown="0" outline="0">
        <left/>
        <right/>
        <top style="thin">
          <color indexed="64"/>
        </top>
        <bottom/>
      </border>
    </dxf>
    <dxf>
      <numFmt numFmtId="14" formatCode="0.00%"/>
      <border diagonalUp="0" diagonalDown="0" outline="0">
        <left/>
        <right/>
        <top style="thin">
          <color indexed="64"/>
        </top>
        <bottom style="double">
          <color indexed="64"/>
        </bottom>
      </border>
    </dxf>
    <dxf>
      <numFmt numFmtId="14" formatCode="0.00%"/>
    </dxf>
    <dxf>
      <font>
        <b val="0"/>
        <i val="0"/>
        <strike val="0"/>
        <condense val="0"/>
        <extend val="0"/>
        <outline val="0"/>
        <shadow val="0"/>
        <u val="none"/>
        <vertAlign val="baseline"/>
        <sz val="11"/>
        <color theme="1"/>
        <name val="Calibri"/>
        <family val="2"/>
        <scheme val="minor"/>
      </font>
      <numFmt numFmtId="14" formatCode="0.00%"/>
      <border diagonalUp="0" diagonalDown="0" outline="0">
        <left/>
        <right/>
        <top style="thin">
          <color indexed="64"/>
        </top>
        <bottom style="double">
          <color indexed="64"/>
        </bottom>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65" formatCode="_-* #,##0_-;\-* #,##0_-;_-* &quot;-&quot;??_-;_-@_-"/>
      <border diagonalUp="0" diagonalDown="0" outline="0">
        <left/>
        <right/>
        <top style="thin">
          <color indexed="64"/>
        </top>
        <bottom style="double">
          <color indexed="64"/>
        </bottom>
      </border>
    </dxf>
    <dxf>
      <font>
        <b val="0"/>
        <i val="0"/>
        <strike val="0"/>
        <condense val="0"/>
        <extend val="0"/>
        <outline val="0"/>
        <shadow val="0"/>
        <u val="none"/>
        <vertAlign val="baseline"/>
        <sz val="11"/>
        <color theme="1"/>
        <name val="Calibri"/>
        <family val="2"/>
        <scheme val="minor"/>
      </font>
      <numFmt numFmtId="165" formatCode="_-* #,##0_-;\-* #,##0_-;_-* &quot;-&quot;??_-;_-@_-"/>
    </dxf>
    <dxf>
      <font>
        <b val="0"/>
        <i val="0"/>
        <strike val="0"/>
        <condense val="0"/>
        <extend val="0"/>
        <outline val="0"/>
        <shadow val="0"/>
        <u val="none"/>
        <vertAlign val="baseline"/>
        <sz val="11"/>
        <color theme="1"/>
        <name val="Calibri"/>
        <family val="2"/>
        <scheme val="minor"/>
      </font>
      <numFmt numFmtId="165" formatCode="_-* #,##0_-;\-* #,##0_-;_-* &quot;-&quot;??_-;_-@_-"/>
    </dxf>
    <dxf>
      <border diagonalUp="0" diagonalDown="0" outline="0">
        <left/>
        <right/>
        <top style="thin">
          <color indexed="64"/>
        </top>
        <bottom style="double">
          <color indexed="64"/>
        </bottom>
      </border>
    </dxf>
    <dxf>
      <border>
        <top style="thin">
          <color indexed="64"/>
        </top>
      </border>
    </dxf>
    <dxf>
      <border outline="0">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5" formatCode="_-* #,##0_-;\-* #,##0_-;_-* &quot;-&quot;??_-;_-@_-"/>
    </dxf>
    <dxf>
      <numFmt numFmtId="165" formatCode="_-* #,##0_-;\-* #,##0_-;_-* &quot;-&quot;??_-;_-@_-"/>
    </dxf>
    <dxf>
      <numFmt numFmtId="165" formatCode="_-* #,##0_-;\-* #,##0_-;_-* &quot;-&quot;??_-;_-@_-"/>
    </dxf>
    <dxf>
      <numFmt numFmtId="35" formatCode="_-* #,##0.00_-;\-* #,##0.00_-;_-* &quot;-&quot;??_-;_-@_-"/>
    </dxf>
    <dxf>
      <numFmt numFmtId="35" formatCode="_-* #,##0.00_-;\-* #,##0.00_-;_-* &quot;-&quot;??_-;_-@_-"/>
    </dxf>
    <dxf>
      <numFmt numFmtId="165" formatCode="_-* #,##0_-;\-* #,##0_-;_-* &quot;-&quot;??_-;_-@_-"/>
    </dxf>
    <dxf>
      <font>
        <sz val="11"/>
        <color theme="6" tint="-0.24994659260841701"/>
        <name val="Calibri"/>
        <family val="2"/>
        <scheme val="minor"/>
      </font>
    </dxf>
    <dxf>
      <fill>
        <patternFill patternType="none">
          <fgColor indexed="64"/>
          <bgColor auto="1"/>
        </patternFill>
      </fill>
      <border diagonalUp="0" diagonalDown="0">
        <left/>
        <right/>
        <top/>
        <bottom/>
        <vertical/>
        <horizontal/>
      </border>
    </dxf>
    <dxf>
      <fill>
        <patternFill patternType="solid">
          <bgColor theme="6" tint="0.79998168889431442"/>
        </patternFill>
      </fill>
    </dxf>
  </dxfs>
  <tableStyles count="3" defaultTableStyle="TableStyleMedium2" defaultPivotStyle="PivotStyleLight16">
    <tableStyle name="Slicer Style 2" pivot="0" table="0" count="0" xr9:uid="{7D064578-C2D7-43A1-8F1C-625E73E0EF07}"/>
    <tableStyle name="SlicerMatcha" pivot="0" table="0" count="5" xr9:uid="{8387363D-54CA-470C-B27D-6D9988C47134}">
      <tableStyleElement type="wholeTable" dxfId="632"/>
    </tableStyle>
    <tableStyle name="TimelineMatcha" pivot="0" table="0" count="8" xr9:uid="{B91585B2-E8C3-48CD-89AD-9E6C7548CA45}">
      <tableStyleElement type="wholeTable" dxfId="631"/>
      <tableStyleElement type="headerRow" dxfId="630"/>
    </tableStyle>
  </tableStyles>
  <colors>
    <mruColors>
      <color rgb="FFADBA94"/>
      <color rgb="FF8E9879"/>
      <color rgb="FF7F7649"/>
      <color rgb="FFFFFF01"/>
    </mruColors>
  </colors>
  <extLst>
    <ext xmlns:x14="http://schemas.microsoft.com/office/spreadsheetml/2009/9/main" uri="{46F421CA-312F-682f-3DD2-61675219B42D}">
      <x14:dxfs count="4">
        <dxf>
          <font>
            <b/>
            <i val="0"/>
            <sz val="7"/>
            <color theme="6" tint="-0.499984740745262"/>
            <name val="Microsoft YaHei UI"/>
            <family val="2"/>
            <scheme val="none"/>
          </font>
          <fill>
            <patternFill>
              <bgColor theme="6" tint="0.59996337778862885"/>
            </patternFill>
          </fill>
          <border>
            <bottom style="thick">
              <color theme="6" tint="-0.499984740745262"/>
            </bottom>
          </border>
        </dxf>
        <dxf>
          <font>
            <b/>
            <i val="0"/>
            <sz val="7"/>
            <color theme="6" tint="-0.499984740745262"/>
            <name val="Microsoft YaHei UI"/>
            <family val="2"/>
            <scheme val="none"/>
          </font>
          <border>
            <left/>
            <right/>
            <top/>
            <bottom style="thick">
              <color theme="6" tint="-0.499984740745262"/>
            </bottom>
          </border>
        </dxf>
        <dxf>
          <font>
            <b val="0"/>
            <i val="0"/>
            <sz val="8"/>
            <color theme="6" tint="-0.499984740745262"/>
            <name val="Microsoft YaHei UI"/>
            <family val="2"/>
            <scheme val="none"/>
          </font>
          <fill>
            <patternFill>
              <bgColor theme="6" tint="0.39994506668294322"/>
            </patternFill>
          </fill>
        </dxf>
        <dxf>
          <font>
            <b val="0"/>
            <i val="0"/>
            <sz val="8"/>
            <color theme="6" tint="-0.499984740745262"/>
            <name val="Microsoft YaHei UI"/>
            <family val="2"/>
            <scheme val="none"/>
          </font>
          <fill>
            <patternFill>
              <bgColor theme="6" tint="0.59996337778862885"/>
            </patternFill>
          </fill>
        </dxf>
      </x14:dxfs>
    </ext>
    <ext xmlns:x14="http://schemas.microsoft.com/office/spreadsheetml/2009/9/main" uri="{EB79DEF2-80B8-43e5-95BD-54CBDDF9020C}">
      <x14:slicerStyles defaultSlicerStyle="SlicerMatcha">
        <x14:slicerStyle name="Slicer Style 2"/>
        <x14:slicerStyle name="SlicerMatcha">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A0A4C193-F2C1-4fcb-8827-314CF55A85BB}">
      <x15:dxfs count="6">
        <dxf>
          <fill>
            <patternFill patternType="solid">
              <fgColor theme="0" tint="-0.14996795556505021"/>
              <bgColor theme="6" tint="0.59996337778862885"/>
            </patternFill>
          </fill>
        </dxf>
        <dxf>
          <fill>
            <patternFill patternType="solid">
              <fgColor theme="0"/>
              <bgColor theme="6"/>
            </patternFill>
          </fill>
          <border diagonalUp="0" diagonalDown="0">
            <left/>
            <right/>
            <top/>
            <bottom/>
            <vertical/>
            <horizontal/>
          </border>
        </dxf>
        <dxf>
          <font>
            <sz val="9"/>
            <color theme="6" tint="-0.24994659260841701"/>
            <name val="Calibri"/>
            <family val="2"/>
            <scheme val="minor"/>
          </font>
        </dxf>
        <dxf>
          <font>
            <sz val="9"/>
            <color theme="6" tint="-0.24994659260841701"/>
            <name val="Calibri"/>
            <family val="2"/>
            <scheme val="minor"/>
          </font>
        </dxf>
        <dxf>
          <font>
            <sz val="9"/>
            <color theme="6" tint="-0.24994659260841701"/>
            <name val="Calibri"/>
            <family val="2"/>
            <scheme val="minor"/>
          </font>
        </dxf>
        <dxf>
          <font>
            <sz val="10"/>
            <color theme="6" tint="-0.24994659260841701"/>
            <name val="Calibri"/>
            <family val="2"/>
            <scheme val="minor"/>
          </font>
        </dxf>
      </x15:dxfs>
    </ext>
    <ext xmlns:x15="http://schemas.microsoft.com/office/spreadsheetml/2010/11/main" uri="{9260A510-F301-46a8-8635-F512D64BE5F5}">
      <x15:timelineStyles defaultTimelineStyle="TimeSlicerStyleLight1">
        <x15:timelineStyle name="TimelineMatcha">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11/relationships/timelineCache" Target="timelineCaches/timeline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(ver2).xlsx]Revenue!pvtRevenuebyMonth</c:name>
    <c:fmtId val="17"/>
  </c:pivotSource>
  <c:chart>
    <c:autoTitleDeleted val="1"/>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c:spPr>
      </c:pivotFmt>
      <c:pivotFmt>
        <c:idx val="8"/>
        <c:spPr>
          <a:solidFill>
            <a:schemeClr val="tx2">
              <a:lumMod val="60000"/>
              <a:lumOff val="40000"/>
            </a:schemeClr>
          </a:solidFill>
          <a:ln>
            <a:noFill/>
          </a:ln>
          <a:effectLst/>
        </c:spPr>
      </c:pivotFmt>
      <c:pivotFmt>
        <c:idx val="9"/>
        <c:spPr>
          <a:solidFill>
            <a:schemeClr val="tx2">
              <a:lumMod val="60000"/>
              <a:lumOff val="40000"/>
            </a:schemeClr>
          </a:solidFill>
          <a:ln>
            <a:noFill/>
          </a:ln>
          <a:effectLst/>
        </c:spPr>
      </c:pivotFmt>
      <c:pivotFmt>
        <c:idx val="10"/>
        <c:spPr>
          <a:solidFill>
            <a:schemeClr val="accent2">
              <a:lumMod val="75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3">
              <a:lumMod val="75000"/>
            </a:schemeClr>
          </a:solidFill>
          <a:ln>
            <a:noFill/>
          </a:ln>
          <a:effectLst/>
        </c:spPr>
      </c:pivotFmt>
      <c:pivotFmt>
        <c:idx val="14"/>
        <c:spPr>
          <a:solidFill>
            <a:schemeClr val="accent3">
              <a:lumMod val="75000"/>
            </a:schemeClr>
          </a:solidFill>
          <a:ln>
            <a:noFill/>
          </a:ln>
          <a:effectLst/>
        </c:spPr>
      </c:pivotFmt>
      <c:pivotFmt>
        <c:idx val="15"/>
        <c:spPr>
          <a:solidFill>
            <a:schemeClr val="accent3">
              <a:lumMod val="75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75000"/>
            </a:schemeClr>
          </a:solidFill>
          <a:ln>
            <a:noFill/>
          </a:ln>
          <a:effectLst/>
        </c:spPr>
      </c:pivotFmt>
      <c:pivotFmt>
        <c:idx val="19"/>
        <c:spPr>
          <a:solidFill>
            <a:schemeClr val="tx2">
              <a:lumMod val="60000"/>
              <a:lumOff val="40000"/>
            </a:schemeClr>
          </a:solidFill>
          <a:ln>
            <a:noFill/>
          </a:ln>
          <a:effectLst/>
        </c:spPr>
      </c:pivotFmt>
      <c:pivotFmt>
        <c:idx val="20"/>
        <c:spPr>
          <a:solidFill>
            <a:schemeClr val="tx2">
              <a:lumMod val="60000"/>
              <a:lumOff val="40000"/>
            </a:schemeClr>
          </a:solidFill>
          <a:ln>
            <a:noFill/>
          </a:ln>
          <a:effectLst/>
        </c:spPr>
      </c:pivotFmt>
      <c:pivotFmt>
        <c:idx val="21"/>
        <c:spPr>
          <a:solidFill>
            <a:schemeClr val="tx2">
              <a:lumMod val="60000"/>
              <a:lumOff val="40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tx2">
              <a:lumMod val="60000"/>
              <a:lumOff val="40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60000"/>
              <a:lumOff val="40000"/>
            </a:schemeClr>
          </a:solidFill>
          <a:ln>
            <a:noFill/>
          </a:ln>
          <a:effectLst/>
        </c:spPr>
      </c:pivotFmt>
      <c:pivotFmt>
        <c:idx val="27"/>
        <c:spPr>
          <a:solidFill>
            <a:schemeClr val="tx2">
              <a:lumMod val="60000"/>
              <a:lumOff val="40000"/>
            </a:schemeClr>
          </a:solidFill>
          <a:ln>
            <a:noFill/>
          </a:ln>
          <a:effectLst/>
        </c:spPr>
      </c:pivotFmt>
      <c:pivotFmt>
        <c:idx val="28"/>
        <c:spPr>
          <a:solidFill>
            <a:schemeClr val="accent2">
              <a:lumMod val="75000"/>
            </a:schemeClr>
          </a:solidFill>
          <a:ln>
            <a:noFill/>
          </a:ln>
          <a:effectLst/>
        </c:spPr>
      </c:pivotFmt>
      <c:pivotFmt>
        <c:idx val="29"/>
        <c:spPr>
          <a:solidFill>
            <a:schemeClr val="accent2">
              <a:lumMod val="75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75000"/>
            </a:schemeClr>
          </a:solidFill>
          <a:ln>
            <a:noFill/>
          </a:ln>
          <a:effectLst/>
        </c:spPr>
      </c:pivotFmt>
      <c:pivotFmt>
        <c:idx val="33"/>
        <c:spPr>
          <a:solidFill>
            <a:schemeClr val="accent2">
              <a:lumMod val="75000"/>
            </a:schemeClr>
          </a:solidFill>
          <a:ln>
            <a:noFill/>
          </a:ln>
          <a:effectLst/>
        </c:spPr>
      </c:pivotFmt>
      <c:pivotFmt>
        <c:idx val="34"/>
        <c:spPr>
          <a:solidFill>
            <a:schemeClr val="accent2">
              <a:lumMod val="75000"/>
            </a:schemeClr>
          </a:solidFill>
          <a:ln>
            <a:noFill/>
          </a:ln>
          <a:effectLst/>
        </c:spPr>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3">
              <a:lumMod val="75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75000"/>
            </a:schemeClr>
          </a:solidFill>
          <a:ln>
            <a:noFill/>
          </a:ln>
          <a:effectLst/>
        </c:spPr>
      </c:pivotFmt>
      <c:pivotFmt>
        <c:idx val="40"/>
        <c:spPr>
          <a:solidFill>
            <a:schemeClr val="accent3">
              <a:lumMod val="75000"/>
            </a:schemeClr>
          </a:solidFill>
          <a:ln>
            <a:noFill/>
          </a:ln>
          <a:effectLst/>
        </c:spPr>
      </c:pivotFmt>
      <c:pivotFmt>
        <c:idx val="41"/>
        <c:spPr>
          <a:solidFill>
            <a:schemeClr val="accent3">
              <a:lumMod val="75000"/>
            </a:schemeClr>
          </a:solidFill>
          <a:ln>
            <a:noFill/>
          </a:ln>
          <a:effectLst/>
        </c:spPr>
      </c:pivotFmt>
      <c:pivotFmt>
        <c:idx val="42"/>
        <c:spPr>
          <a:solidFill>
            <a:schemeClr val="accent3">
              <a:lumMod val="75000"/>
            </a:schemeClr>
          </a:solidFill>
          <a:ln>
            <a:noFill/>
          </a:ln>
          <a:effectLst/>
        </c:spPr>
      </c:pivotFmt>
      <c:pivotFmt>
        <c:idx val="43"/>
        <c:spPr>
          <a:solidFill>
            <a:schemeClr val="accent3">
              <a:lumMod val="75000"/>
            </a:schemeClr>
          </a:solidFill>
          <a:ln>
            <a:noFill/>
          </a:ln>
          <a:effectLst/>
        </c:spPr>
      </c:pivotFmt>
      <c:pivotFmt>
        <c:idx val="44"/>
        <c:spPr>
          <a:solidFill>
            <a:schemeClr val="accent3">
              <a:lumMod val="75000"/>
            </a:schemeClr>
          </a:solidFill>
          <a:ln>
            <a:noFill/>
          </a:ln>
          <a:effectLst/>
        </c:spPr>
      </c:pivotFmt>
      <c:pivotFmt>
        <c:idx val="45"/>
        <c:spPr>
          <a:solidFill>
            <a:schemeClr val="accent3">
              <a:lumMod val="75000"/>
            </a:schemeClr>
          </a:solidFill>
          <a:ln>
            <a:noFill/>
          </a:ln>
          <a:effectLst/>
        </c:spPr>
      </c:pivotFmt>
      <c:pivotFmt>
        <c:idx val="46"/>
        <c:spPr>
          <a:solidFill>
            <a:schemeClr val="bg2">
              <a:lumMod val="75000"/>
            </a:schemeClr>
          </a:solidFill>
          <a:ln>
            <a:noFill/>
          </a:ln>
          <a:effectLst/>
        </c:spPr>
      </c:pivotFmt>
      <c:pivotFmt>
        <c:idx val="47"/>
        <c:spPr>
          <a:solidFill>
            <a:schemeClr val="bg2">
              <a:lumMod val="75000"/>
            </a:schemeClr>
          </a:solidFill>
          <a:ln>
            <a:noFill/>
          </a:ln>
          <a:effectLst/>
        </c:spPr>
      </c:pivotFmt>
      <c:pivotFmt>
        <c:idx val="48"/>
        <c:spPr>
          <a:solidFill>
            <a:schemeClr val="bg2">
              <a:lumMod val="75000"/>
            </a:schemeClr>
          </a:solidFill>
          <a:ln>
            <a:noFill/>
          </a:ln>
          <a:effectLst/>
        </c:spPr>
      </c:pivotFmt>
      <c:pivotFmt>
        <c:idx val="49"/>
        <c:spPr>
          <a:solidFill>
            <a:schemeClr val="bg2">
              <a:lumMod val="75000"/>
            </a:schemeClr>
          </a:solidFill>
          <a:ln>
            <a:noFill/>
          </a:ln>
          <a:effectLst/>
        </c:spPr>
      </c:pivotFmt>
      <c:pivotFmt>
        <c:idx val="50"/>
        <c:spPr>
          <a:solidFill>
            <a:schemeClr val="bg2">
              <a:lumMod val="75000"/>
            </a:schemeClr>
          </a:solidFill>
          <a:ln>
            <a:noFill/>
          </a:ln>
          <a:effectLst/>
        </c:spPr>
      </c:pivotFmt>
      <c:pivotFmt>
        <c:idx val="51"/>
        <c:spPr>
          <a:solidFill>
            <a:schemeClr val="bg2">
              <a:lumMod val="75000"/>
            </a:schemeClr>
          </a:solidFill>
          <a:ln>
            <a:noFill/>
          </a:ln>
          <a:effectLst/>
        </c:spPr>
      </c:pivotFmt>
      <c:pivotFmt>
        <c:idx val="52"/>
        <c:spPr>
          <a:solidFill>
            <a:schemeClr val="bg2">
              <a:lumMod val="75000"/>
            </a:schemeClr>
          </a:solidFill>
          <a:ln>
            <a:noFill/>
          </a:ln>
          <a:effectLst/>
        </c:spPr>
      </c:pivotFmt>
      <c:pivotFmt>
        <c:idx val="53"/>
        <c:spPr>
          <a:solidFill>
            <a:schemeClr val="bg2">
              <a:lumMod val="75000"/>
            </a:schemeClr>
          </a:solidFill>
          <a:ln>
            <a:noFill/>
          </a:ln>
          <a:effectLst/>
        </c:spPr>
      </c:pivotFmt>
      <c:pivotFmt>
        <c:idx val="54"/>
        <c:spPr>
          <a:solidFill>
            <a:schemeClr val="bg2">
              <a:lumMod val="75000"/>
            </a:schemeClr>
          </a:solidFill>
          <a:ln>
            <a:noFill/>
          </a:ln>
          <a:effectLst/>
        </c:spPr>
      </c:pivotFmt>
      <c:pivotFmt>
        <c:idx val="55"/>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tx2">
              <a:lumMod val="60000"/>
              <a:lumOff val="40000"/>
            </a:schemeClr>
          </a:solidFill>
          <a:ln>
            <a:noFill/>
          </a:ln>
          <a:effectLst/>
        </c:spPr>
      </c:pivotFmt>
      <c:pivotFmt>
        <c:idx val="57"/>
        <c:spPr>
          <a:solidFill>
            <a:schemeClr val="tx2">
              <a:lumMod val="60000"/>
              <a:lumOff val="40000"/>
            </a:schemeClr>
          </a:solidFill>
          <a:ln>
            <a:noFill/>
          </a:ln>
          <a:effectLst/>
        </c:spPr>
      </c:pivotFmt>
      <c:pivotFmt>
        <c:idx val="58"/>
        <c:spPr>
          <a:solidFill>
            <a:schemeClr val="tx2">
              <a:lumMod val="60000"/>
              <a:lumOff val="40000"/>
            </a:schemeClr>
          </a:solidFill>
          <a:ln>
            <a:noFill/>
          </a:ln>
          <a:effectLst/>
        </c:spPr>
      </c:pivotFmt>
      <c:pivotFmt>
        <c:idx val="59"/>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lumMod val="75000"/>
            </a:schemeClr>
          </a:solidFill>
          <a:ln>
            <a:noFill/>
          </a:ln>
          <a:effectLst/>
        </c:spPr>
      </c:pivotFmt>
      <c:pivotFmt>
        <c:idx val="61"/>
        <c:spPr>
          <a:solidFill>
            <a:schemeClr val="accent2">
              <a:lumMod val="75000"/>
            </a:schemeClr>
          </a:solidFill>
          <a:ln>
            <a:noFill/>
          </a:ln>
          <a:effectLst/>
        </c:spPr>
      </c:pivotFmt>
      <c:pivotFmt>
        <c:idx val="62"/>
        <c:spPr>
          <a:solidFill>
            <a:schemeClr val="accent2">
              <a:lumMod val="75000"/>
            </a:schemeClr>
          </a:solidFill>
          <a:ln>
            <a:noFill/>
          </a:ln>
          <a:effectLst/>
        </c:spPr>
      </c:pivotFmt>
      <c:pivotFmt>
        <c:idx val="63"/>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75000"/>
            </a:schemeClr>
          </a:solidFill>
          <a:ln>
            <a:noFill/>
          </a:ln>
          <a:effectLst/>
        </c:spPr>
      </c:pivotFmt>
      <c:pivotFmt>
        <c:idx val="67"/>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bg2">
              <a:lumMod val="75000"/>
            </a:schemeClr>
          </a:solidFill>
          <a:ln>
            <a:noFill/>
          </a:ln>
          <a:effectLst/>
        </c:spPr>
      </c:pivotFmt>
      <c:pivotFmt>
        <c:idx val="69"/>
        <c:spPr>
          <a:solidFill>
            <a:schemeClr val="bg2">
              <a:lumMod val="75000"/>
            </a:schemeClr>
          </a:solidFill>
          <a:ln>
            <a:noFill/>
          </a:ln>
          <a:effectLst/>
        </c:spPr>
      </c:pivotFmt>
      <c:pivotFmt>
        <c:idx val="70"/>
        <c:spPr>
          <a:solidFill>
            <a:schemeClr val="bg2">
              <a:lumMod val="75000"/>
            </a:schemeClr>
          </a:solidFill>
          <a:ln>
            <a:noFill/>
          </a:ln>
          <a:effectLst/>
        </c:spPr>
      </c:pivotFmt>
      <c:pivotFmt>
        <c:idx val="7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tx2"/>
          </a:solidFill>
          <a:ln>
            <a:noFill/>
          </a:ln>
          <a:effectLst/>
        </c:spPr>
      </c:pivotFmt>
      <c:pivotFmt>
        <c:idx val="73"/>
        <c:spPr>
          <a:solidFill>
            <a:schemeClr val="tx2"/>
          </a:solidFill>
          <a:ln>
            <a:noFill/>
          </a:ln>
          <a:effectLst/>
        </c:spPr>
      </c:pivotFmt>
      <c:pivotFmt>
        <c:idx val="74"/>
        <c:spPr>
          <a:solidFill>
            <a:schemeClr val="tx2"/>
          </a:solidFill>
          <a:ln>
            <a:noFill/>
          </a:ln>
          <a:effectLst/>
        </c:spPr>
      </c:pivotFmt>
      <c:pivotFmt>
        <c:idx val="7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lumMod val="75000"/>
            </a:schemeClr>
          </a:solidFill>
          <a:ln>
            <a:noFill/>
          </a:ln>
          <a:effectLst/>
        </c:spPr>
      </c:pivotFmt>
      <c:pivotFmt>
        <c:idx val="77"/>
        <c:spPr>
          <a:solidFill>
            <a:schemeClr val="accent2">
              <a:lumMod val="75000"/>
            </a:schemeClr>
          </a:solidFill>
          <a:ln>
            <a:noFill/>
          </a:ln>
          <a:effectLst/>
        </c:spPr>
      </c:pivotFmt>
      <c:pivotFmt>
        <c:idx val="78"/>
        <c:spPr>
          <a:solidFill>
            <a:schemeClr val="accent2">
              <a:lumMod val="75000"/>
            </a:schemeClr>
          </a:solidFill>
          <a:ln>
            <a:noFill/>
          </a:ln>
          <a:effectLst/>
        </c:spPr>
      </c:pivotFmt>
      <c:pivotFmt>
        <c:idx val="79"/>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3">
              <a:lumMod val="75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bg2">
              <a:lumMod val="75000"/>
            </a:schemeClr>
          </a:solidFill>
          <a:ln>
            <a:noFill/>
          </a:ln>
          <a:effectLst/>
        </c:spPr>
      </c:pivotFmt>
      <c:pivotFmt>
        <c:idx val="85"/>
        <c:spPr>
          <a:solidFill>
            <a:schemeClr val="bg2">
              <a:lumMod val="75000"/>
            </a:schemeClr>
          </a:solidFill>
          <a:ln>
            <a:noFill/>
          </a:ln>
          <a:effectLst/>
        </c:spPr>
      </c:pivotFmt>
      <c:pivotFmt>
        <c:idx val="86"/>
        <c:spPr>
          <a:solidFill>
            <a:schemeClr val="bg2">
              <a:lumMod val="75000"/>
            </a:schemeClr>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tx2"/>
          </a:solidFill>
          <a:ln>
            <a:noFill/>
          </a:ln>
          <a:effectLst/>
        </c:spPr>
      </c:pivotFmt>
      <c:pivotFmt>
        <c:idx val="89"/>
        <c:spPr>
          <a:solidFill>
            <a:schemeClr val="tx2"/>
          </a:solidFill>
          <a:ln>
            <a:noFill/>
          </a:ln>
          <a:effectLst/>
        </c:spPr>
      </c:pivotFmt>
      <c:pivotFmt>
        <c:idx val="90"/>
        <c:spPr>
          <a:solidFill>
            <a:schemeClr val="tx2"/>
          </a:solidFill>
          <a:ln>
            <a:noFill/>
          </a:ln>
          <a:effectLst/>
        </c:spPr>
      </c:pivotFmt>
      <c:pivotFmt>
        <c:idx val="91"/>
        <c:spPr>
          <a:solidFill>
            <a:schemeClr val="accent2">
              <a:lumMod val="75000"/>
            </a:schemeClr>
          </a:solidFill>
          <a:ln>
            <a:noFill/>
          </a:ln>
          <a:effectLst/>
        </c:spPr>
      </c:pivotFmt>
      <c:pivotFmt>
        <c:idx val="92"/>
        <c:spPr>
          <a:solidFill>
            <a:schemeClr val="accent2">
              <a:lumMod val="75000"/>
            </a:schemeClr>
          </a:solidFill>
          <a:ln>
            <a:noFill/>
          </a:ln>
          <a:effectLst/>
        </c:spPr>
      </c:pivotFmt>
      <c:pivotFmt>
        <c:idx val="93"/>
        <c:spPr>
          <a:solidFill>
            <a:schemeClr val="accent2">
              <a:lumMod val="75000"/>
            </a:schemeClr>
          </a:solidFill>
          <a:ln>
            <a:noFill/>
          </a:ln>
          <a:effectLst/>
        </c:spPr>
      </c:pivotFmt>
      <c:pivotFmt>
        <c:idx val="94"/>
        <c:spPr>
          <a:solidFill>
            <a:schemeClr val="accent3">
              <a:lumMod val="75000"/>
            </a:schemeClr>
          </a:solidFill>
          <a:ln>
            <a:noFill/>
          </a:ln>
          <a:effectLst/>
        </c:spPr>
      </c:pivotFmt>
      <c:pivotFmt>
        <c:idx val="95"/>
        <c:spPr>
          <a:solidFill>
            <a:schemeClr val="accent3">
              <a:lumMod val="75000"/>
            </a:schemeClr>
          </a:solidFill>
          <a:ln>
            <a:noFill/>
          </a:ln>
          <a:effectLst/>
        </c:spPr>
      </c:pivotFmt>
      <c:pivotFmt>
        <c:idx val="96"/>
        <c:spPr>
          <a:solidFill>
            <a:schemeClr val="accent3">
              <a:lumMod val="75000"/>
            </a:schemeClr>
          </a:solidFill>
          <a:ln>
            <a:noFill/>
          </a:ln>
          <a:effectLst/>
        </c:spPr>
      </c:pivotFmt>
      <c:pivotFmt>
        <c:idx val="97"/>
        <c:spPr>
          <a:solidFill>
            <a:schemeClr val="bg2">
              <a:lumMod val="75000"/>
            </a:schemeClr>
          </a:solidFill>
          <a:ln>
            <a:noFill/>
          </a:ln>
          <a:effectLst/>
        </c:spPr>
      </c:pivotFmt>
      <c:pivotFmt>
        <c:idx val="98"/>
        <c:spPr>
          <a:solidFill>
            <a:schemeClr val="bg2">
              <a:lumMod val="75000"/>
            </a:schemeClr>
          </a:solidFill>
          <a:ln>
            <a:noFill/>
          </a:ln>
          <a:effectLst/>
        </c:spPr>
      </c:pivotFmt>
      <c:pivotFmt>
        <c:idx val="99"/>
        <c:spPr>
          <a:solidFill>
            <a:schemeClr val="bg2">
              <a:lumMod val="75000"/>
            </a:schemeClr>
          </a:solidFill>
          <a:ln>
            <a:noFill/>
          </a:ln>
          <a:effectLst/>
        </c:spPr>
      </c:pivotFmt>
    </c:pivotFmts>
    <c:plotArea>
      <c:layout/>
      <c:barChart>
        <c:barDir val="col"/>
        <c:grouping val="stacked"/>
        <c:varyColors val="0"/>
        <c:ser>
          <c:idx val="0"/>
          <c:order val="0"/>
          <c:tx>
            <c:strRef>
              <c:f>Revenue!$B$17:$B$18</c:f>
              <c:strCache>
                <c:ptCount val="1"/>
                <c:pt idx="0">
                  <c:v>CDD</c:v>
                </c:pt>
              </c:strCache>
            </c:strRef>
          </c:tx>
          <c:spPr>
            <a:solidFill>
              <a:schemeClr val="tx2"/>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1-85CF-48BB-8623-0EFC55121ABA}"/>
              </c:ext>
            </c:extLst>
          </c:dPt>
          <c:dPt>
            <c:idx val="1"/>
            <c:invertIfNegative val="0"/>
            <c:bubble3D val="0"/>
            <c:spPr>
              <a:solidFill>
                <a:schemeClr val="tx2"/>
              </a:solidFill>
              <a:ln>
                <a:noFill/>
              </a:ln>
              <a:effectLst/>
            </c:spPr>
            <c:extLst>
              <c:ext xmlns:c16="http://schemas.microsoft.com/office/drawing/2014/chart" uri="{C3380CC4-5D6E-409C-BE32-E72D297353CC}">
                <c16:uniqueId val="{00000003-85CF-48BB-8623-0EFC55121ABA}"/>
              </c:ext>
            </c:extLst>
          </c:dPt>
          <c:dPt>
            <c:idx val="2"/>
            <c:invertIfNegative val="0"/>
            <c:bubble3D val="0"/>
            <c:spPr>
              <a:solidFill>
                <a:schemeClr val="tx2"/>
              </a:solidFill>
              <a:ln>
                <a:noFill/>
              </a:ln>
              <a:effectLst/>
            </c:spPr>
            <c:extLst>
              <c:ext xmlns:c16="http://schemas.microsoft.com/office/drawing/2014/chart" uri="{C3380CC4-5D6E-409C-BE32-E72D297353CC}">
                <c16:uniqueId val="{00000005-85CF-48BB-8623-0EFC55121ABA}"/>
              </c:ext>
            </c:extLst>
          </c:dPt>
          <c:dPt>
            <c:idx val="9"/>
            <c:invertIfNegative val="0"/>
            <c:bubble3D val="0"/>
            <c:spPr>
              <a:solidFill>
                <a:schemeClr val="tx2"/>
              </a:solidFill>
              <a:ln>
                <a:noFill/>
              </a:ln>
              <a:effectLst/>
            </c:spPr>
            <c:extLst>
              <c:ext xmlns:c16="http://schemas.microsoft.com/office/drawing/2014/chart" uri="{C3380CC4-5D6E-409C-BE32-E72D297353CC}">
                <c16:uniqueId val="{00000004-5692-41DE-B079-B18BF7647C47}"/>
              </c:ext>
            </c:extLst>
          </c:dPt>
          <c:dPt>
            <c:idx val="10"/>
            <c:invertIfNegative val="0"/>
            <c:bubble3D val="0"/>
            <c:spPr>
              <a:solidFill>
                <a:schemeClr val="tx2"/>
              </a:solidFill>
              <a:ln>
                <a:noFill/>
              </a:ln>
              <a:effectLst/>
            </c:spPr>
            <c:extLst>
              <c:ext xmlns:c16="http://schemas.microsoft.com/office/drawing/2014/chart" uri="{C3380CC4-5D6E-409C-BE32-E72D297353CC}">
                <c16:uniqueId val="{00000006-5692-41DE-B079-B18BF7647C47}"/>
              </c:ext>
            </c:extLst>
          </c:dPt>
          <c:dPt>
            <c:idx val="11"/>
            <c:invertIfNegative val="0"/>
            <c:bubble3D val="0"/>
            <c:spPr>
              <a:solidFill>
                <a:schemeClr val="tx2"/>
              </a:solidFill>
              <a:ln>
                <a:noFill/>
              </a:ln>
              <a:effectLst/>
            </c:spPr>
            <c:extLst>
              <c:ext xmlns:c16="http://schemas.microsoft.com/office/drawing/2014/chart" uri="{C3380CC4-5D6E-409C-BE32-E72D297353CC}">
                <c16:uniqueId val="{00000008-5692-41DE-B079-B18BF7647C47}"/>
              </c:ext>
            </c:extLst>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Revenue!$B$19:$B$31</c:f>
              <c:numCache>
                <c:formatCode>_-* #,##0_-;\-* #,##0_-;_-* "-"??_-;_-@_-</c:formatCode>
                <c:ptCount val="12"/>
                <c:pt idx="0">
                  <c:v>4095907</c:v>
                </c:pt>
                <c:pt idx="1">
                  <c:v>1205016</c:v>
                </c:pt>
                <c:pt idx="2">
                  <c:v>6069217</c:v>
                </c:pt>
                <c:pt idx="3">
                  <c:v>2200770</c:v>
                </c:pt>
                <c:pt idx="4">
                  <c:v>5495189</c:v>
                </c:pt>
                <c:pt idx="5">
                  <c:v>2120068</c:v>
                </c:pt>
                <c:pt idx="6">
                  <c:v>3611010</c:v>
                </c:pt>
                <c:pt idx="8">
                  <c:v>1671647</c:v>
                </c:pt>
                <c:pt idx="9">
                  <c:v>432287</c:v>
                </c:pt>
                <c:pt idx="10">
                  <c:v>2404940</c:v>
                </c:pt>
              </c:numCache>
            </c:numRef>
          </c:val>
          <c:extLst>
            <c:ext xmlns:c16="http://schemas.microsoft.com/office/drawing/2014/chart" uri="{C3380CC4-5D6E-409C-BE32-E72D297353CC}">
              <c16:uniqueId val="{00000006-85CF-48BB-8623-0EFC55121ABA}"/>
            </c:ext>
          </c:extLst>
        </c:ser>
        <c:ser>
          <c:idx val="1"/>
          <c:order val="1"/>
          <c:tx>
            <c:strRef>
              <c:f>Revenue!$C$17:$C$18</c:f>
              <c:strCache>
                <c:ptCount val="1"/>
                <c:pt idx="0">
                  <c:v>Fuso</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dPt>
          <c:dPt>
            <c:idx val="1"/>
            <c:invertIfNegative val="0"/>
            <c:bubble3D val="0"/>
            <c:spPr>
              <a:solidFill>
                <a:schemeClr val="accent2">
                  <a:lumMod val="75000"/>
                </a:schemeClr>
              </a:solidFill>
              <a:ln>
                <a:noFill/>
              </a:ln>
              <a:effectLst/>
            </c:spPr>
          </c:dPt>
          <c:dPt>
            <c:idx val="2"/>
            <c:invertIfNegative val="0"/>
            <c:bubble3D val="0"/>
            <c:spPr>
              <a:solidFill>
                <a:schemeClr val="accent2">
                  <a:lumMod val="75000"/>
                </a:schemeClr>
              </a:solidFill>
              <a:ln>
                <a:noFill/>
              </a:ln>
              <a:effectLst/>
            </c:spPr>
          </c:dPt>
          <c:dPt>
            <c:idx val="9"/>
            <c:invertIfNegative val="0"/>
            <c:bubble3D val="0"/>
            <c:spPr>
              <a:solidFill>
                <a:schemeClr val="accent2">
                  <a:lumMod val="75000"/>
                </a:schemeClr>
              </a:solidFill>
              <a:ln>
                <a:noFill/>
              </a:ln>
              <a:effectLst/>
            </c:spPr>
          </c:dPt>
          <c:dPt>
            <c:idx val="10"/>
            <c:invertIfNegative val="0"/>
            <c:bubble3D val="0"/>
            <c:spPr>
              <a:solidFill>
                <a:schemeClr val="accent2">
                  <a:lumMod val="75000"/>
                </a:schemeClr>
              </a:solidFill>
              <a:ln>
                <a:noFill/>
              </a:ln>
              <a:effectLst/>
            </c:spPr>
          </c:dPt>
          <c:dPt>
            <c:idx val="11"/>
            <c:invertIfNegative val="0"/>
            <c:bubble3D val="0"/>
            <c:spPr>
              <a:solidFill>
                <a:schemeClr val="accent2">
                  <a:lumMod val="75000"/>
                </a:schemeClr>
              </a:solidFill>
              <a:ln>
                <a:noFill/>
              </a:ln>
              <a:effectLst/>
            </c:spPr>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Revenue!$C$19:$C$31</c:f>
              <c:numCache>
                <c:formatCode>_-* #,##0_-;\-* #,##0_-;_-* "-"??_-;_-@_-</c:formatCode>
                <c:ptCount val="12"/>
                <c:pt idx="0">
                  <c:v>573604</c:v>
                </c:pt>
                <c:pt idx="1">
                  <c:v>1904277</c:v>
                </c:pt>
                <c:pt idx="2">
                  <c:v>1230991</c:v>
                </c:pt>
                <c:pt idx="3">
                  <c:v>885899</c:v>
                </c:pt>
                <c:pt idx="4">
                  <c:v>3943156</c:v>
                </c:pt>
                <c:pt idx="5">
                  <c:v>3046411</c:v>
                </c:pt>
                <c:pt idx="6">
                  <c:v>2049212</c:v>
                </c:pt>
                <c:pt idx="7">
                  <c:v>1534600</c:v>
                </c:pt>
                <c:pt idx="8">
                  <c:v>1146778</c:v>
                </c:pt>
                <c:pt idx="9">
                  <c:v>1280505</c:v>
                </c:pt>
                <c:pt idx="10">
                  <c:v>1077275</c:v>
                </c:pt>
                <c:pt idx="11">
                  <c:v>1832994</c:v>
                </c:pt>
              </c:numCache>
            </c:numRef>
          </c:val>
          <c:extLst>
            <c:ext xmlns:c16="http://schemas.microsoft.com/office/drawing/2014/chart" uri="{C3380CC4-5D6E-409C-BE32-E72D297353CC}">
              <c16:uniqueId val="{0000003F-11AB-47DC-BF9C-2838B510A68C}"/>
            </c:ext>
          </c:extLst>
        </c:ser>
        <c:ser>
          <c:idx val="2"/>
          <c:order val="2"/>
          <c:tx>
            <c:strRef>
              <c:f>Revenue!$D$17:$D$18</c:f>
              <c:strCache>
                <c:ptCount val="1"/>
                <c:pt idx="0">
                  <c:v>Tronton</c:v>
                </c:pt>
              </c:strCache>
            </c:strRef>
          </c:tx>
          <c:spPr>
            <a:solidFill>
              <a:schemeClr val="accent3">
                <a:lumMod val="75000"/>
              </a:schemeClr>
            </a:solidFill>
            <a:ln>
              <a:noFill/>
            </a:ln>
            <a:effectLst/>
          </c:spPr>
          <c:invertIfNegative val="0"/>
          <c:dPt>
            <c:idx val="0"/>
            <c:invertIfNegative val="0"/>
            <c:bubble3D val="0"/>
            <c:spPr>
              <a:solidFill>
                <a:schemeClr val="accent3">
                  <a:lumMod val="75000"/>
                </a:schemeClr>
              </a:solidFill>
              <a:ln>
                <a:noFill/>
              </a:ln>
              <a:effectLst/>
            </c:spPr>
          </c:dPt>
          <c:dPt>
            <c:idx val="1"/>
            <c:invertIfNegative val="0"/>
            <c:bubble3D val="0"/>
            <c:spPr>
              <a:solidFill>
                <a:schemeClr val="accent3">
                  <a:lumMod val="75000"/>
                </a:schemeClr>
              </a:solidFill>
              <a:ln>
                <a:noFill/>
              </a:ln>
              <a:effectLst/>
            </c:spPr>
          </c:dPt>
          <c:dPt>
            <c:idx val="2"/>
            <c:invertIfNegative val="0"/>
            <c:bubble3D val="0"/>
            <c:spPr>
              <a:solidFill>
                <a:schemeClr val="accent3">
                  <a:lumMod val="75000"/>
                </a:schemeClr>
              </a:solidFill>
              <a:ln>
                <a:noFill/>
              </a:ln>
              <a:effectLst/>
            </c:spPr>
          </c:dPt>
          <c:dPt>
            <c:idx val="9"/>
            <c:invertIfNegative val="0"/>
            <c:bubble3D val="0"/>
            <c:spPr>
              <a:solidFill>
                <a:schemeClr val="accent3">
                  <a:lumMod val="75000"/>
                </a:schemeClr>
              </a:solidFill>
              <a:ln>
                <a:noFill/>
              </a:ln>
              <a:effectLst/>
            </c:spPr>
          </c:dPt>
          <c:dPt>
            <c:idx val="10"/>
            <c:invertIfNegative val="0"/>
            <c:bubble3D val="0"/>
            <c:spPr>
              <a:solidFill>
                <a:schemeClr val="accent3">
                  <a:lumMod val="75000"/>
                </a:schemeClr>
              </a:solidFill>
              <a:ln>
                <a:noFill/>
              </a:ln>
              <a:effectLst/>
            </c:spPr>
          </c:dPt>
          <c:dPt>
            <c:idx val="11"/>
            <c:invertIfNegative val="0"/>
            <c:bubble3D val="0"/>
            <c:spPr>
              <a:solidFill>
                <a:schemeClr val="accent3">
                  <a:lumMod val="75000"/>
                </a:schemeClr>
              </a:solidFill>
              <a:ln>
                <a:noFill/>
              </a:ln>
              <a:effectLst/>
            </c:spPr>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Revenue!$D$19:$D$31</c:f>
              <c:numCache>
                <c:formatCode>_-* #,##0_-;\-* #,##0_-;_-* "-"??_-;_-@_-</c:formatCode>
                <c:ptCount val="12"/>
                <c:pt idx="0">
                  <c:v>1599229</c:v>
                </c:pt>
                <c:pt idx="2">
                  <c:v>225972</c:v>
                </c:pt>
                <c:pt idx="3">
                  <c:v>1379520</c:v>
                </c:pt>
                <c:pt idx="4">
                  <c:v>2495826</c:v>
                </c:pt>
                <c:pt idx="5">
                  <c:v>4211333</c:v>
                </c:pt>
                <c:pt idx="6">
                  <c:v>150637</c:v>
                </c:pt>
                <c:pt idx="7">
                  <c:v>1423532</c:v>
                </c:pt>
                <c:pt idx="8">
                  <c:v>1708423</c:v>
                </c:pt>
                <c:pt idx="9">
                  <c:v>8755848</c:v>
                </c:pt>
                <c:pt idx="10">
                  <c:v>1485142</c:v>
                </c:pt>
                <c:pt idx="11">
                  <c:v>4860899</c:v>
                </c:pt>
              </c:numCache>
            </c:numRef>
          </c:val>
          <c:extLst>
            <c:ext xmlns:c16="http://schemas.microsoft.com/office/drawing/2014/chart" uri="{C3380CC4-5D6E-409C-BE32-E72D297353CC}">
              <c16:uniqueId val="{00000040-11AB-47DC-BF9C-2838B510A68C}"/>
            </c:ext>
          </c:extLst>
        </c:ser>
        <c:ser>
          <c:idx val="3"/>
          <c:order val="3"/>
          <c:tx>
            <c:strRef>
              <c:f>Revenue!$E$17:$E$18</c:f>
              <c:strCache>
                <c:ptCount val="1"/>
                <c:pt idx="0">
                  <c:v>Wingbox</c:v>
                </c:pt>
              </c:strCache>
            </c:strRef>
          </c:tx>
          <c:spPr>
            <a:solidFill>
              <a:schemeClr val="bg2">
                <a:lumMod val="75000"/>
              </a:schemeClr>
            </a:solidFill>
            <a:ln>
              <a:noFill/>
            </a:ln>
            <a:effectLst/>
          </c:spPr>
          <c:invertIfNegative val="0"/>
          <c:dPt>
            <c:idx val="0"/>
            <c:invertIfNegative val="0"/>
            <c:bubble3D val="0"/>
            <c:spPr>
              <a:solidFill>
                <a:schemeClr val="bg2">
                  <a:lumMod val="75000"/>
                </a:schemeClr>
              </a:solidFill>
              <a:ln>
                <a:noFill/>
              </a:ln>
              <a:effectLst/>
            </c:spPr>
          </c:dPt>
          <c:dPt>
            <c:idx val="1"/>
            <c:invertIfNegative val="0"/>
            <c:bubble3D val="0"/>
            <c:spPr>
              <a:solidFill>
                <a:schemeClr val="bg2">
                  <a:lumMod val="75000"/>
                </a:schemeClr>
              </a:solidFill>
              <a:ln>
                <a:noFill/>
              </a:ln>
              <a:effectLst/>
            </c:spPr>
          </c:dPt>
          <c:dPt>
            <c:idx val="2"/>
            <c:invertIfNegative val="0"/>
            <c:bubble3D val="0"/>
            <c:spPr>
              <a:solidFill>
                <a:schemeClr val="bg2">
                  <a:lumMod val="75000"/>
                </a:schemeClr>
              </a:solidFill>
              <a:ln>
                <a:noFill/>
              </a:ln>
              <a:effectLst/>
            </c:spPr>
          </c:dPt>
          <c:dPt>
            <c:idx val="9"/>
            <c:invertIfNegative val="0"/>
            <c:bubble3D val="0"/>
            <c:spPr>
              <a:solidFill>
                <a:schemeClr val="bg2">
                  <a:lumMod val="75000"/>
                </a:schemeClr>
              </a:solidFill>
              <a:ln>
                <a:noFill/>
              </a:ln>
              <a:effectLst/>
            </c:spPr>
          </c:dPt>
          <c:dPt>
            <c:idx val="10"/>
            <c:invertIfNegative val="0"/>
            <c:bubble3D val="0"/>
            <c:spPr>
              <a:solidFill>
                <a:schemeClr val="bg2">
                  <a:lumMod val="75000"/>
                </a:schemeClr>
              </a:solidFill>
              <a:ln>
                <a:noFill/>
              </a:ln>
              <a:effectLst/>
            </c:spPr>
          </c:dPt>
          <c:dPt>
            <c:idx val="11"/>
            <c:invertIfNegative val="0"/>
            <c:bubble3D val="0"/>
            <c:spPr>
              <a:solidFill>
                <a:schemeClr val="bg2">
                  <a:lumMod val="75000"/>
                </a:schemeClr>
              </a:solidFill>
              <a:ln>
                <a:noFill/>
              </a:ln>
              <a:effectLst/>
            </c:spPr>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Revenue!$E$19:$E$31</c:f>
              <c:numCache>
                <c:formatCode>_-* #,##0_-;\-* #,##0_-;_-* "-"??_-;_-@_-</c:formatCode>
                <c:ptCount val="12"/>
                <c:pt idx="0">
                  <c:v>1609530</c:v>
                </c:pt>
                <c:pt idx="2">
                  <c:v>1853138</c:v>
                </c:pt>
                <c:pt idx="3">
                  <c:v>852414</c:v>
                </c:pt>
                <c:pt idx="5">
                  <c:v>2218663</c:v>
                </c:pt>
                <c:pt idx="6">
                  <c:v>1410896</c:v>
                </c:pt>
                <c:pt idx="7">
                  <c:v>2805966</c:v>
                </c:pt>
                <c:pt idx="8">
                  <c:v>4277593</c:v>
                </c:pt>
                <c:pt idx="9">
                  <c:v>1941095</c:v>
                </c:pt>
                <c:pt idx="10">
                  <c:v>1244190</c:v>
                </c:pt>
                <c:pt idx="11">
                  <c:v>3295051</c:v>
                </c:pt>
              </c:numCache>
            </c:numRef>
          </c:val>
          <c:extLst>
            <c:ext xmlns:c16="http://schemas.microsoft.com/office/drawing/2014/chart" uri="{C3380CC4-5D6E-409C-BE32-E72D297353CC}">
              <c16:uniqueId val="{00000041-11AB-47DC-BF9C-2838B510A68C}"/>
            </c:ext>
          </c:extLst>
        </c:ser>
        <c:dLbls>
          <c:showLegendKey val="0"/>
          <c:showVal val="0"/>
          <c:showCatName val="0"/>
          <c:showSerName val="0"/>
          <c:showPercent val="0"/>
          <c:showBubbleSize val="0"/>
        </c:dLbls>
        <c:gapWidth val="25"/>
        <c:overlap val="100"/>
        <c:axId val="82162511"/>
        <c:axId val="82175823"/>
      </c:barChart>
      <c:catAx>
        <c:axId val="82162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5823"/>
        <c:crosses val="autoZero"/>
        <c:auto val="1"/>
        <c:lblAlgn val="ctr"/>
        <c:lblOffset val="100"/>
        <c:noMultiLvlLbl val="0"/>
      </c:catAx>
      <c:valAx>
        <c:axId val="82175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Revenue (in Millions</a:t>
                </a:r>
                <a:r>
                  <a:rPr lang="en-ID" baseline="0"/>
                  <a:t> </a:t>
                </a:r>
                <a:r>
                  <a:rPr lang="en-ID"/>
                  <a:t>IDR)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2511"/>
        <c:crosses val="autoZero"/>
        <c:crossBetween val="between"/>
        <c:dispUnits>
          <c:builtInUnit val="millions"/>
        </c:dispUnits>
      </c:valAx>
      <c:spPr>
        <a:gradFill flip="none" rotWithShape="1">
          <a:gsLst>
            <a:gs pos="0">
              <a:srgbClr val="8E9879"/>
            </a:gs>
            <a:gs pos="100000">
              <a:schemeClr val="accent3">
                <a:lumMod val="20000"/>
                <a:lumOff val="80000"/>
              </a:schemeClr>
            </a:gs>
          </a:gsLst>
          <a:lin ang="16200000" scaled="1"/>
          <a:tileRect/>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[Logistic and Transportation 2024_Data Analysis (ver2).xlsx]Revenue!pvtTopCust</c:name>
    <c:fmtId val="1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E98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panose="020B0503020204020204" pitchFamily="34" charset="-122"/>
                  <a:ea typeface="Microsoft YaHei" panose="020B0503020204020204" pitchFamily="34" charset="-122"/>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E9879"/>
          </a:solidFill>
          <a:ln>
            <a:noFill/>
          </a:ln>
          <a:effectLst/>
        </c:spPr>
        <c:dLbl>
          <c:idx val="0"/>
          <c:layout>
            <c:manualLayout>
              <c:x val="0"/>
              <c:y val="-7.5757575757575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E9879"/>
          </a:solidFill>
          <a:ln>
            <a:noFill/>
          </a:ln>
          <a:effectLst/>
        </c:spPr>
        <c:dLbl>
          <c:idx val="0"/>
          <c:layout>
            <c:manualLayout>
              <c:x val="0"/>
              <c:y val="-6.06060606060606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77000"/>
            </a:schemeClr>
          </a:solidFill>
          <a:ln>
            <a:noFill/>
          </a:ln>
          <a:effectLst/>
        </c:spPr>
        <c:dLbl>
          <c:idx val="0"/>
          <c:layout>
            <c:manualLayout>
              <c:x val="-4.9019041570986066E-17"/>
              <c:y val="-1.504890895410082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panose="020B0503020204020204" pitchFamily="34" charset="-122"/>
                  <a:ea typeface="Microsoft YaHei" panose="020B0503020204020204" pitchFamily="34" charset="-122"/>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tint val="77000"/>
            </a:schemeClr>
          </a:solidFill>
          <a:ln>
            <a:noFill/>
          </a:ln>
          <a:effectLst/>
        </c:spPr>
        <c:dLbl>
          <c:idx val="0"/>
          <c:layout>
            <c:manualLayout>
              <c:x val="-4.9019041570986066E-17"/>
              <c:y val="-1.504890895410082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panose="020B0503020204020204" pitchFamily="34" charset="-122"/>
                  <a:ea typeface="Microsoft YaHei" panose="020B0503020204020204" pitchFamily="34" charset="-122"/>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tint val="77000"/>
            </a:schemeClr>
          </a:solidFill>
          <a:ln>
            <a:noFill/>
          </a:ln>
          <a:effectLst/>
        </c:spPr>
        <c:dLbl>
          <c:idx val="0"/>
          <c:layout>
            <c:manualLayout>
              <c:x val="0"/>
              <c:y val="-2.257336343115124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panose="020B0503020204020204" pitchFamily="34" charset="-122"/>
                  <a:ea typeface="Microsoft YaHei" panose="020B0503020204020204" pitchFamily="34" charset="-122"/>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tint val="77000"/>
            </a:schemeClr>
          </a:solidFill>
          <a:ln>
            <a:noFill/>
          </a:ln>
          <a:effectLst/>
        </c:spPr>
        <c:dLbl>
          <c:idx val="0"/>
          <c:layout>
            <c:manualLayout>
              <c:x val="0"/>
              <c:y val="-2.272727272727272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panose="020B0503020204020204" pitchFamily="34" charset="-122"/>
                  <a:ea typeface="Microsoft YaHei" panose="020B0503020204020204" pitchFamily="34" charset="-122"/>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tint val="77000"/>
            </a:schemeClr>
          </a:solidFill>
          <a:ln>
            <a:noFill/>
          </a:ln>
          <a:effectLst/>
        </c:spPr>
        <c:dLbl>
          <c:idx val="0"/>
          <c:layout>
            <c:manualLayout>
              <c:x val="-4.9019041570986066E-17"/>
              <c:y val="-1.504890895410082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panose="020B0503020204020204" pitchFamily="34" charset="-122"/>
                  <a:ea typeface="Microsoft YaHei" panose="020B0503020204020204" pitchFamily="34" charset="-122"/>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8E9879"/>
          </a:solidFill>
          <a:ln>
            <a:noFill/>
          </a:ln>
          <a:effectLst/>
        </c:spPr>
        <c:dLbl>
          <c:idx val="0"/>
          <c:layout>
            <c:manualLayout>
              <c:x val="2.6737967914439481E-3"/>
              <c:y val="-5.30303030303030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8E9879"/>
          </a:solidFill>
          <a:ln>
            <a:noFill/>
          </a:ln>
          <a:effectLst/>
        </c:spPr>
        <c:dLbl>
          <c:idx val="0"/>
          <c:layout>
            <c:manualLayout>
              <c:x val="0"/>
              <c:y val="-6.81818181818181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8E9879"/>
          </a:solidFill>
          <a:ln>
            <a:noFill/>
          </a:ln>
          <a:effectLst/>
        </c:spPr>
        <c:dLbl>
          <c:idx val="0"/>
          <c:layout>
            <c:manualLayout>
              <c:x val="0"/>
              <c:y val="-5.3030303030303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Revenue!$B$45</c:f>
              <c:strCache>
                <c:ptCount val="1"/>
                <c:pt idx="0">
                  <c:v>Sum of Revenue</c:v>
                </c:pt>
              </c:strCache>
            </c:strRef>
          </c:tx>
          <c:spPr>
            <a:solidFill>
              <a:srgbClr val="8E9879"/>
            </a:solidFill>
            <a:ln>
              <a:noFill/>
            </a:ln>
            <a:effectLst/>
          </c:spPr>
          <c:invertIfNegative val="0"/>
          <c:dPt>
            <c:idx val="0"/>
            <c:invertIfNegative val="0"/>
            <c:bubble3D val="0"/>
            <c:spPr>
              <a:solidFill>
                <a:srgbClr val="8E9879"/>
              </a:solidFill>
              <a:ln>
                <a:noFill/>
              </a:ln>
              <a:effectLst/>
            </c:spPr>
            <c:extLst>
              <c:ext xmlns:c16="http://schemas.microsoft.com/office/drawing/2014/chart" uri="{C3380CC4-5D6E-409C-BE32-E72D297353CC}">
                <c16:uniqueId val="{00000011-2497-4A29-8FFD-7BC2E27DD0D3}"/>
              </c:ext>
            </c:extLst>
          </c:dPt>
          <c:dPt>
            <c:idx val="1"/>
            <c:invertIfNegative val="0"/>
            <c:bubble3D val="0"/>
            <c:spPr>
              <a:solidFill>
                <a:srgbClr val="8E9879"/>
              </a:solidFill>
              <a:ln>
                <a:noFill/>
              </a:ln>
              <a:effectLst/>
            </c:spPr>
            <c:extLst>
              <c:ext xmlns:c16="http://schemas.microsoft.com/office/drawing/2014/chart" uri="{C3380CC4-5D6E-409C-BE32-E72D297353CC}">
                <c16:uniqueId val="{00000001-431F-4738-BEA4-89ECB2288FCD}"/>
              </c:ext>
            </c:extLst>
          </c:dPt>
          <c:dPt>
            <c:idx val="2"/>
            <c:invertIfNegative val="0"/>
            <c:bubble3D val="0"/>
            <c:spPr>
              <a:solidFill>
                <a:srgbClr val="8E9879"/>
              </a:solidFill>
              <a:ln>
                <a:noFill/>
              </a:ln>
              <a:effectLst/>
            </c:spPr>
            <c:extLst>
              <c:ext xmlns:c16="http://schemas.microsoft.com/office/drawing/2014/chart" uri="{C3380CC4-5D6E-409C-BE32-E72D297353CC}">
                <c16:uniqueId val="{00000003-431F-4738-BEA4-89ECB2288FCD}"/>
              </c:ext>
            </c:extLst>
          </c:dPt>
          <c:dPt>
            <c:idx val="3"/>
            <c:invertIfNegative val="0"/>
            <c:bubble3D val="0"/>
            <c:spPr>
              <a:solidFill>
                <a:srgbClr val="8E9879"/>
              </a:solidFill>
              <a:ln>
                <a:noFill/>
              </a:ln>
              <a:effectLst/>
            </c:spPr>
            <c:extLst>
              <c:ext xmlns:c16="http://schemas.microsoft.com/office/drawing/2014/chart" uri="{C3380CC4-5D6E-409C-BE32-E72D297353CC}">
                <c16:uniqueId val="{00000004-A1E5-49F5-9604-99FF92507741}"/>
              </c:ext>
            </c:extLst>
          </c:dPt>
          <c:dPt>
            <c:idx val="4"/>
            <c:invertIfNegative val="0"/>
            <c:bubble3D val="0"/>
            <c:spPr>
              <a:solidFill>
                <a:srgbClr val="8E9879"/>
              </a:solidFill>
              <a:ln>
                <a:noFill/>
              </a:ln>
              <a:effectLst/>
            </c:spPr>
            <c:extLst>
              <c:ext xmlns:c16="http://schemas.microsoft.com/office/drawing/2014/chart" uri="{C3380CC4-5D6E-409C-BE32-E72D297353CC}">
                <c16:uniqueId val="{00000003-A1E5-49F5-9604-99FF92507741}"/>
              </c:ext>
            </c:extLst>
          </c:dPt>
          <c:dLbls>
            <c:dLbl>
              <c:idx val="0"/>
              <c:layout>
                <c:manualLayout>
                  <c:x val="0"/>
                  <c:y val="-5.30303030303030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497-4A29-8FFD-7BC2E27DD0D3}"/>
                </c:ext>
              </c:extLst>
            </c:dLbl>
            <c:dLbl>
              <c:idx val="1"/>
              <c:layout>
                <c:manualLayout>
                  <c:x val="0"/>
                  <c:y val="-6.81818181818181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1F-4738-BEA4-89ECB2288FCD}"/>
                </c:ext>
              </c:extLst>
            </c:dLbl>
            <c:dLbl>
              <c:idx val="2"/>
              <c:layout>
                <c:manualLayout>
                  <c:x val="2.6737967914439481E-3"/>
                  <c:y val="-5.30303030303030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1F-4738-BEA4-89ECB2288FCD}"/>
                </c:ext>
              </c:extLst>
            </c:dLbl>
            <c:dLbl>
              <c:idx val="3"/>
              <c:layout>
                <c:manualLayout>
                  <c:x val="0"/>
                  <c:y val="-6.06060606060606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E5-49F5-9604-99FF92507741}"/>
                </c:ext>
              </c:extLst>
            </c:dLbl>
            <c:dLbl>
              <c:idx val="4"/>
              <c:layout>
                <c:manualLayout>
                  <c:x val="0"/>
                  <c:y val="-7.5757575757575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E5-49F5-9604-99FF925077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Revenue!$A$46:$A$51</c:f>
              <c:strCache>
                <c:ptCount val="5"/>
                <c:pt idx="0">
                  <c:v>CV Transindo</c:v>
                </c:pt>
                <c:pt idx="1">
                  <c:v>PT Lintas Jaya</c:v>
                </c:pt>
                <c:pt idx="2">
                  <c:v>PT Sumber Makmur</c:v>
                </c:pt>
                <c:pt idx="3">
                  <c:v>PT Berkah Abadi</c:v>
                </c:pt>
                <c:pt idx="4">
                  <c:v>CV Logindo</c:v>
                </c:pt>
              </c:strCache>
            </c:strRef>
          </c:cat>
          <c:val>
            <c:numRef>
              <c:f>Revenue!$B$46:$B$51</c:f>
              <c:numCache>
                <c:formatCode>_-* #,##0_-;\-* #,##0_-;_-* "-"??_-;_-@_-</c:formatCode>
                <c:ptCount val="5"/>
                <c:pt idx="0">
                  <c:v>12037965</c:v>
                </c:pt>
                <c:pt idx="1">
                  <c:v>13641545</c:v>
                </c:pt>
                <c:pt idx="2">
                  <c:v>18229861</c:v>
                </c:pt>
                <c:pt idx="3">
                  <c:v>20523785</c:v>
                </c:pt>
                <c:pt idx="4">
                  <c:v>22420039</c:v>
                </c:pt>
              </c:numCache>
            </c:numRef>
          </c:val>
          <c:extLst>
            <c:ext xmlns:c16="http://schemas.microsoft.com/office/drawing/2014/chart" uri="{C3380CC4-5D6E-409C-BE32-E72D297353CC}">
              <c16:uniqueId val="{00000000-A1E5-49F5-9604-99FF92507741}"/>
            </c:ext>
          </c:extLst>
        </c:ser>
        <c:ser>
          <c:idx val="1"/>
          <c:order val="1"/>
          <c:tx>
            <c:strRef>
              <c:f>Revenue!$C$45</c:f>
              <c:strCache>
                <c:ptCount val="1"/>
                <c:pt idx="0">
                  <c:v>Count of OrderID</c:v>
                </c:pt>
              </c:strCache>
            </c:strRef>
          </c:tx>
          <c:spPr>
            <a:solidFill>
              <a:schemeClr val="accent3">
                <a:tint val="77000"/>
              </a:schemeClr>
            </a:solidFill>
            <a:ln>
              <a:noFill/>
            </a:ln>
            <a:effectLst/>
          </c:spPr>
          <c:invertIfNegative val="0"/>
          <c:dPt>
            <c:idx val="0"/>
            <c:invertIfNegative val="0"/>
            <c:bubble3D val="0"/>
            <c:spPr>
              <a:solidFill>
                <a:schemeClr val="accent3">
                  <a:tint val="77000"/>
                </a:schemeClr>
              </a:solidFill>
              <a:ln>
                <a:noFill/>
              </a:ln>
              <a:effectLst/>
            </c:spPr>
            <c:extLst>
              <c:ext xmlns:c16="http://schemas.microsoft.com/office/drawing/2014/chart" uri="{C3380CC4-5D6E-409C-BE32-E72D297353CC}">
                <c16:uniqueId val="{00000005-F5CF-4C10-98C1-C4ADDD703D66}"/>
              </c:ext>
            </c:extLst>
          </c:dPt>
          <c:dPt>
            <c:idx val="1"/>
            <c:invertIfNegative val="0"/>
            <c:bubble3D val="0"/>
            <c:spPr>
              <a:solidFill>
                <a:schemeClr val="accent3">
                  <a:tint val="77000"/>
                </a:schemeClr>
              </a:solidFill>
              <a:ln>
                <a:noFill/>
              </a:ln>
              <a:effectLst/>
            </c:spPr>
            <c:extLst>
              <c:ext xmlns:c16="http://schemas.microsoft.com/office/drawing/2014/chart" uri="{C3380CC4-5D6E-409C-BE32-E72D297353CC}">
                <c16:uniqueId val="{00000004-F5CF-4C10-98C1-C4ADDD703D66}"/>
              </c:ext>
            </c:extLst>
          </c:dPt>
          <c:dPt>
            <c:idx val="2"/>
            <c:invertIfNegative val="0"/>
            <c:bubble3D val="0"/>
            <c:spPr>
              <a:solidFill>
                <a:schemeClr val="accent3">
                  <a:tint val="77000"/>
                </a:schemeClr>
              </a:solidFill>
              <a:ln>
                <a:noFill/>
              </a:ln>
              <a:effectLst/>
            </c:spPr>
            <c:extLst>
              <c:ext xmlns:c16="http://schemas.microsoft.com/office/drawing/2014/chart" uri="{C3380CC4-5D6E-409C-BE32-E72D297353CC}">
                <c16:uniqueId val="{00000003-F5CF-4C10-98C1-C4ADDD703D66}"/>
              </c:ext>
            </c:extLst>
          </c:dPt>
          <c:dPt>
            <c:idx val="3"/>
            <c:invertIfNegative val="0"/>
            <c:bubble3D val="0"/>
            <c:spPr>
              <a:solidFill>
                <a:schemeClr val="accent3">
                  <a:tint val="77000"/>
                </a:schemeClr>
              </a:solidFill>
              <a:ln>
                <a:noFill/>
              </a:ln>
              <a:effectLst/>
            </c:spPr>
            <c:extLst>
              <c:ext xmlns:c16="http://schemas.microsoft.com/office/drawing/2014/chart" uri="{C3380CC4-5D6E-409C-BE32-E72D297353CC}">
                <c16:uniqueId val="{00000002-F5CF-4C10-98C1-C4ADDD703D66}"/>
              </c:ext>
            </c:extLst>
          </c:dPt>
          <c:dPt>
            <c:idx val="4"/>
            <c:invertIfNegative val="0"/>
            <c:bubble3D val="0"/>
            <c:spPr>
              <a:solidFill>
                <a:schemeClr val="accent3">
                  <a:tint val="77000"/>
                </a:schemeClr>
              </a:solidFill>
              <a:ln>
                <a:noFill/>
              </a:ln>
              <a:effectLst/>
            </c:spPr>
            <c:extLst>
              <c:ext xmlns:c16="http://schemas.microsoft.com/office/drawing/2014/chart" uri="{C3380CC4-5D6E-409C-BE32-E72D297353CC}">
                <c16:uniqueId val="{00000001-F5CF-4C10-98C1-C4ADDD703D66}"/>
              </c:ext>
            </c:extLst>
          </c:dPt>
          <c:dLbls>
            <c:dLbl>
              <c:idx val="0"/>
              <c:layout>
                <c:manualLayout>
                  <c:x val="-4.9019041570986066E-17"/>
                  <c:y val="-1.50489089541008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CF-4C10-98C1-C4ADDD703D66}"/>
                </c:ext>
              </c:extLst>
            </c:dLbl>
            <c:dLbl>
              <c:idx val="1"/>
              <c:layout>
                <c:manualLayout>
                  <c:x val="0"/>
                  <c:y val="-2.27272727272727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CF-4C10-98C1-C4ADDD703D66}"/>
                </c:ext>
              </c:extLst>
            </c:dLbl>
            <c:dLbl>
              <c:idx val="2"/>
              <c:layout>
                <c:manualLayout>
                  <c:x val="0"/>
                  <c:y val="-2.25733634311512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CF-4C10-98C1-C4ADDD703D66}"/>
                </c:ext>
              </c:extLst>
            </c:dLbl>
            <c:dLbl>
              <c:idx val="3"/>
              <c:layout>
                <c:manualLayout>
                  <c:x val="-4.9019041570986066E-17"/>
                  <c:y val="-1.50489089541008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CF-4C10-98C1-C4ADDD703D66}"/>
                </c:ext>
              </c:extLst>
            </c:dLbl>
            <c:dLbl>
              <c:idx val="4"/>
              <c:layout>
                <c:manualLayout>
                  <c:x val="-4.9019041570986066E-17"/>
                  <c:y val="-1.50489089541008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CF-4C10-98C1-C4ADDD703D6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panose="020B0503020204020204" pitchFamily="34" charset="-122"/>
                    <a:ea typeface="Microsoft YaHei" panose="020B0503020204020204" pitchFamily="34" charset="-122"/>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Revenue!$A$46:$A$51</c:f>
              <c:strCache>
                <c:ptCount val="5"/>
                <c:pt idx="0">
                  <c:v>CV Transindo</c:v>
                </c:pt>
                <c:pt idx="1">
                  <c:v>PT Lintas Jaya</c:v>
                </c:pt>
                <c:pt idx="2">
                  <c:v>PT Sumber Makmur</c:v>
                </c:pt>
                <c:pt idx="3">
                  <c:v>PT Berkah Abadi</c:v>
                </c:pt>
                <c:pt idx="4">
                  <c:v>CV Logindo</c:v>
                </c:pt>
              </c:strCache>
            </c:strRef>
          </c:cat>
          <c:val>
            <c:numRef>
              <c:f>Revenue!$C$46:$C$51</c:f>
              <c:numCache>
                <c:formatCode>_-* #,##0_-;\-* #,##0_-;_-* "-"??_-;_-@_-</c:formatCode>
                <c:ptCount val="5"/>
                <c:pt idx="0">
                  <c:v>13</c:v>
                </c:pt>
                <c:pt idx="1">
                  <c:v>16</c:v>
                </c:pt>
                <c:pt idx="2">
                  <c:v>17</c:v>
                </c:pt>
                <c:pt idx="3">
                  <c:v>21</c:v>
                </c:pt>
                <c:pt idx="4">
                  <c:v>21</c:v>
                </c:pt>
              </c:numCache>
            </c:numRef>
          </c:val>
          <c:extLst>
            <c:ext xmlns:c16="http://schemas.microsoft.com/office/drawing/2014/chart" uri="{C3380CC4-5D6E-409C-BE32-E72D297353CC}">
              <c16:uniqueId val="{00000001-A1E5-49F5-9604-99FF92507741}"/>
            </c:ext>
          </c:extLst>
        </c:ser>
        <c:dLbls>
          <c:dLblPos val="outEnd"/>
          <c:showLegendKey val="0"/>
          <c:showVal val="1"/>
          <c:showCatName val="0"/>
          <c:showSerName val="0"/>
          <c:showPercent val="0"/>
          <c:showBubbleSize val="0"/>
        </c:dLbls>
        <c:gapWidth val="150"/>
        <c:axId val="83894591"/>
        <c:axId val="83909567"/>
      </c:barChart>
      <c:catAx>
        <c:axId val="8389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icrosoft YaHei" panose="020B0503020204020204" pitchFamily="34" charset="-122"/>
                <a:ea typeface="Microsoft YaHei" panose="020B0503020204020204" pitchFamily="34" charset="-122"/>
                <a:cs typeface="+mn-cs"/>
              </a:defRPr>
            </a:pPr>
            <a:endParaRPr lang="en-US"/>
          </a:p>
        </c:txPr>
        <c:crossAx val="83909567"/>
        <c:crosses val="autoZero"/>
        <c:auto val="1"/>
        <c:lblAlgn val="ctr"/>
        <c:lblOffset val="100"/>
        <c:noMultiLvlLbl val="0"/>
      </c:catAx>
      <c:valAx>
        <c:axId val="83909567"/>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Transaction Value</a:t>
                </a:r>
                <a:r>
                  <a:rPr lang="en-ID" baseline="0"/>
                  <a:t> (IDR)</a:t>
                </a:r>
                <a:endParaRPr lang="en-ID"/>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crossAx val="83894591"/>
        <c:crosses val="autoZero"/>
        <c:crossBetween val="between"/>
      </c:valAx>
      <c:spPr>
        <a:gradFill flip="none" rotWithShape="1">
          <a:gsLst>
            <a:gs pos="0">
              <a:srgbClr val="8E9879"/>
            </a:gs>
            <a:gs pos="100000">
              <a:schemeClr val="accent3">
                <a:lumMod val="20000"/>
                <a:lumOff val="80000"/>
              </a:schemeClr>
            </a:gs>
          </a:gsLst>
          <a:lin ang="0" scaled="1"/>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(ver2).xlsx]Revenue!pvtSumRevenue</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51535240753656E-2"/>
          <c:y val="0.24130966647978699"/>
          <c:w val="0.91429776826453379"/>
          <c:h val="0.51738051972279608"/>
        </c:manualLayout>
      </c:layout>
      <c:barChart>
        <c:barDir val="col"/>
        <c:grouping val="clustered"/>
        <c:varyColors val="0"/>
        <c:ser>
          <c:idx val="0"/>
          <c:order val="0"/>
          <c:tx>
            <c:strRef>
              <c:f>Revenue!$I$18</c:f>
              <c:strCache>
                <c:ptCount val="1"/>
                <c:pt idx="0">
                  <c:v>Total</c:v>
                </c:pt>
              </c:strCache>
            </c:strRef>
          </c:tx>
          <c:spPr>
            <a:solidFill>
              <a:schemeClr val="accent3">
                <a:lumMod val="50000"/>
              </a:schemeClr>
            </a:solidFill>
            <a:ln>
              <a:noFill/>
            </a:ln>
            <a:effectLst/>
          </c:spPr>
          <c:invertIfNegative val="0"/>
          <c:dPt>
            <c:idx val="9"/>
            <c:invertIfNegative val="0"/>
            <c:bubble3D val="0"/>
            <c:extLst>
              <c:ext xmlns:c16="http://schemas.microsoft.com/office/drawing/2014/chart" uri="{C3380CC4-5D6E-409C-BE32-E72D297353CC}">
                <c16:uniqueId val="{00000001-695D-4AEB-A736-9886DBA98C66}"/>
              </c:ext>
            </c:extLst>
          </c:dPt>
          <c:cat>
            <c:strRef>
              <c:f>Revenue!$H$19:$H$31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Revenue!$I$19:$I$31</c:f>
              <c:numCache>
                <c:formatCode>_-* #,##0_-;\-* #,##0_-;_-* "-"??_-;_-@_-</c:formatCode>
                <c:ptCount val="12"/>
                <c:pt idx="0">
                  <c:v>7878270</c:v>
                </c:pt>
                <c:pt idx="1">
                  <c:v>3109293</c:v>
                </c:pt>
                <c:pt idx="2">
                  <c:v>9379318</c:v>
                </c:pt>
                <c:pt idx="3">
                  <c:v>5318603</c:v>
                </c:pt>
                <c:pt idx="4">
                  <c:v>11934171</c:v>
                </c:pt>
                <c:pt idx="5">
                  <c:v>11596475</c:v>
                </c:pt>
                <c:pt idx="6">
                  <c:v>7221755</c:v>
                </c:pt>
                <c:pt idx="7">
                  <c:v>5764098</c:v>
                </c:pt>
                <c:pt idx="8">
                  <c:v>8804441</c:v>
                </c:pt>
                <c:pt idx="9">
                  <c:v>12409735</c:v>
                </c:pt>
                <c:pt idx="10">
                  <c:v>6211547</c:v>
                </c:pt>
                <c:pt idx="11">
                  <c:v>9988944</c:v>
                </c:pt>
              </c:numCache>
            </c:numRef>
          </c:val>
          <c:extLst>
            <c:ext xmlns:c16="http://schemas.microsoft.com/office/drawing/2014/chart" uri="{C3380CC4-5D6E-409C-BE32-E72D297353CC}">
              <c16:uniqueId val="{00000001-A7D8-4069-A071-7C15990C0379}"/>
            </c:ext>
          </c:extLst>
        </c:ser>
        <c:dLbls>
          <c:showLegendKey val="0"/>
          <c:showVal val="0"/>
          <c:showCatName val="0"/>
          <c:showSerName val="0"/>
          <c:showPercent val="0"/>
          <c:showBubbleSize val="0"/>
        </c:dLbls>
        <c:gapWidth val="59"/>
        <c:overlap val="100"/>
        <c:axId val="317026351"/>
        <c:axId val="317028015"/>
      </c:barChart>
      <c:catAx>
        <c:axId val="317026351"/>
        <c:scaling>
          <c:orientation val="minMax"/>
        </c:scaling>
        <c:delete val="1"/>
        <c:axPos val="b"/>
        <c:numFmt formatCode="General" sourceLinked="1"/>
        <c:majorTickMark val="none"/>
        <c:minorTickMark val="none"/>
        <c:tickLblPos val="nextTo"/>
        <c:crossAx val="317028015"/>
        <c:crosses val="autoZero"/>
        <c:auto val="1"/>
        <c:lblAlgn val="ctr"/>
        <c:lblOffset val="100"/>
        <c:noMultiLvlLbl val="0"/>
      </c:catAx>
      <c:valAx>
        <c:axId val="317028015"/>
        <c:scaling>
          <c:orientation val="minMax"/>
        </c:scaling>
        <c:delete val="1"/>
        <c:axPos val="l"/>
        <c:numFmt formatCode="_-* #,##0_-;\-* #,##0_-;_-* &quot;-&quot;??_-;_-@_-" sourceLinked="1"/>
        <c:majorTickMark val="none"/>
        <c:minorTickMark val="none"/>
        <c:tickLblPos val="nextTo"/>
        <c:crossAx val="317026351"/>
        <c:crosses val="autoZero"/>
        <c:crossBetween val="between"/>
      </c:valAx>
      <c:spPr>
        <a:gradFill>
          <a:gsLst>
            <a:gs pos="0">
              <a:schemeClr val="accent3">
                <a:lumMod val="20000"/>
                <a:lumOff val="80000"/>
              </a:schemeClr>
            </a:gs>
            <a:gs pos="85000">
              <a:srgbClr val="ADBA94"/>
            </a:gs>
            <a:gs pos="100000">
              <a:srgbClr val="8E9879"/>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(ver2).xlsx]Operational!pvtAvrFuelCost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3">
                  <a:lumMod val="20000"/>
                  <a:lumOff val="80000"/>
                </a:schemeClr>
              </a:gs>
              <a:gs pos="36000">
                <a:srgbClr val="ADBA94"/>
              </a:gs>
              <a:gs pos="0">
                <a:srgbClr val="8E9879"/>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Operational!$B$1</c:f>
              <c:strCache>
                <c:ptCount val="1"/>
                <c:pt idx="0">
                  <c:v>Total</c:v>
                </c:pt>
              </c:strCache>
            </c:strRef>
          </c:tx>
          <c:spPr>
            <a:gradFill>
              <a:gsLst>
                <a:gs pos="100000">
                  <a:schemeClr val="accent3">
                    <a:lumMod val="20000"/>
                    <a:lumOff val="80000"/>
                  </a:schemeClr>
                </a:gs>
                <a:gs pos="36000">
                  <a:srgbClr val="ADBA94"/>
                </a:gs>
                <a:gs pos="0">
                  <a:srgbClr val="8E9879"/>
                </a:gs>
              </a:gsLst>
              <a:lin ang="5400000" scaled="1"/>
            </a:gradFill>
            <a:ln>
              <a:noFill/>
            </a:ln>
            <a:effectLst/>
          </c:spPr>
          <c:cat>
            <c:strRef>
              <c:f>Operational!$A$2:$A$14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Operational!$B$2:$B$14</c:f>
              <c:numCache>
                <c:formatCode>_(* #,##0.00_);_(* \(#,##0.00\);_(* "-"??_);_(@_)</c:formatCode>
                <c:ptCount val="12"/>
                <c:pt idx="0">
                  <c:v>374</c:v>
                </c:pt>
                <c:pt idx="1">
                  <c:v>378</c:v>
                </c:pt>
                <c:pt idx="2">
                  <c:v>408.3</c:v>
                </c:pt>
                <c:pt idx="3">
                  <c:v>377</c:v>
                </c:pt>
                <c:pt idx="4">
                  <c:v>416.58333333333331</c:v>
                </c:pt>
                <c:pt idx="5">
                  <c:v>371.44444444444446</c:v>
                </c:pt>
                <c:pt idx="6">
                  <c:v>381.42857142857144</c:v>
                </c:pt>
                <c:pt idx="7">
                  <c:v>435.42857142857144</c:v>
                </c:pt>
                <c:pt idx="8">
                  <c:v>399.44444444444446</c:v>
                </c:pt>
                <c:pt idx="9">
                  <c:v>406.75</c:v>
                </c:pt>
                <c:pt idx="10">
                  <c:v>354.6</c:v>
                </c:pt>
                <c:pt idx="11">
                  <c:v>393.66666666666669</c:v>
                </c:pt>
              </c:numCache>
            </c:numRef>
          </c:val>
          <c:extLst>
            <c:ext xmlns:c16="http://schemas.microsoft.com/office/drawing/2014/chart" uri="{C3380CC4-5D6E-409C-BE32-E72D297353CC}">
              <c16:uniqueId val="{00000000-07BB-42E8-A226-134386183CA5}"/>
            </c:ext>
          </c:extLst>
        </c:ser>
        <c:dLbls>
          <c:showLegendKey val="0"/>
          <c:showVal val="0"/>
          <c:showCatName val="0"/>
          <c:showSerName val="0"/>
          <c:showPercent val="0"/>
          <c:showBubbleSize val="0"/>
        </c:dLbls>
        <c:axId val="128823488"/>
        <c:axId val="128830560"/>
      </c:areaChart>
      <c:catAx>
        <c:axId val="128823488"/>
        <c:scaling>
          <c:orientation val="minMax"/>
        </c:scaling>
        <c:delete val="1"/>
        <c:axPos val="b"/>
        <c:numFmt formatCode="General" sourceLinked="1"/>
        <c:majorTickMark val="out"/>
        <c:minorTickMark val="none"/>
        <c:tickLblPos val="nextTo"/>
        <c:crossAx val="128830560"/>
        <c:crosses val="autoZero"/>
        <c:auto val="1"/>
        <c:lblAlgn val="ctr"/>
        <c:lblOffset val="100"/>
        <c:noMultiLvlLbl val="0"/>
      </c:catAx>
      <c:valAx>
        <c:axId val="128830560"/>
        <c:scaling>
          <c:orientation val="minMax"/>
        </c:scaling>
        <c:delete val="1"/>
        <c:axPos val="l"/>
        <c:numFmt formatCode="_(* #,##0.00_);_(* \(#,##0.00\);_(* &quot;-&quot;??_);_(@_)" sourceLinked="1"/>
        <c:majorTickMark val="none"/>
        <c:minorTickMark val="none"/>
        <c:tickLblPos val="nextTo"/>
        <c:crossAx val="128823488"/>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381567871131438"/>
          <c:y val="9.1743119266055051E-2"/>
          <c:w val="0.57236812455028774"/>
          <c:h val="0.79816513761467889"/>
        </c:manualLayout>
      </c:layout>
      <c:doughnutChart>
        <c:varyColors val="1"/>
        <c:ser>
          <c:idx val="0"/>
          <c:order val="0"/>
          <c:tx>
            <c:strRef>
              <c:f>Revenue!$A$87</c:f>
              <c:strCache>
                <c:ptCount val="1"/>
                <c:pt idx="0">
                  <c:v>Total</c:v>
                </c:pt>
              </c:strCache>
            </c:strRef>
          </c:tx>
          <c:spPr>
            <a:ln>
              <a:solidFill>
                <a:schemeClr val="accent3">
                  <a:lumMod val="20000"/>
                  <a:lumOff val="80000"/>
                </a:schemeClr>
              </a:solidFill>
            </a:ln>
          </c:spPr>
          <c:dPt>
            <c:idx val="0"/>
            <c:bubble3D val="0"/>
            <c:spPr>
              <a:gradFill flip="none" rotWithShape="1">
                <a:gsLst>
                  <a:gs pos="0">
                    <a:srgbClr val="8E9879">
                      <a:shade val="30000"/>
                      <a:satMod val="115000"/>
                    </a:srgbClr>
                  </a:gs>
                  <a:gs pos="50000">
                    <a:srgbClr val="8E9879">
                      <a:shade val="67500"/>
                      <a:satMod val="115000"/>
                    </a:srgbClr>
                  </a:gs>
                  <a:gs pos="100000">
                    <a:srgbClr val="8E9879">
                      <a:shade val="100000"/>
                      <a:satMod val="115000"/>
                    </a:srgbClr>
                  </a:gs>
                </a:gsLst>
                <a:lin ang="18900000" scaled="1"/>
                <a:tileRect/>
              </a:gradFill>
              <a:ln w="19050">
                <a:solidFill>
                  <a:schemeClr val="accent3">
                    <a:lumMod val="20000"/>
                    <a:lumOff val="80000"/>
                  </a:schemeClr>
                </a:solidFill>
              </a:ln>
              <a:effectLst/>
            </c:spPr>
            <c:extLst>
              <c:ext xmlns:c16="http://schemas.microsoft.com/office/drawing/2014/chart" uri="{C3380CC4-5D6E-409C-BE32-E72D297353CC}">
                <c16:uniqueId val="{00000001-A33E-4245-AD29-817D29CA29A0}"/>
              </c:ext>
            </c:extLst>
          </c:dPt>
          <c:dPt>
            <c:idx val="1"/>
            <c:bubble3D val="0"/>
            <c:spPr>
              <a:gradFill flip="none" rotWithShape="1">
                <a:gsLst>
                  <a:gs pos="0">
                    <a:srgbClr val="ADBA94">
                      <a:shade val="30000"/>
                      <a:satMod val="115000"/>
                    </a:srgbClr>
                  </a:gs>
                  <a:gs pos="50000">
                    <a:srgbClr val="ADBA94">
                      <a:shade val="67500"/>
                      <a:satMod val="115000"/>
                    </a:srgbClr>
                  </a:gs>
                  <a:gs pos="100000">
                    <a:srgbClr val="ADBA94">
                      <a:shade val="100000"/>
                      <a:satMod val="115000"/>
                    </a:srgbClr>
                  </a:gs>
                </a:gsLst>
                <a:lin ang="13500000" scaled="1"/>
                <a:tileRect/>
              </a:gradFill>
              <a:ln w="19050">
                <a:solidFill>
                  <a:schemeClr val="accent3">
                    <a:lumMod val="20000"/>
                    <a:lumOff val="80000"/>
                  </a:schemeClr>
                </a:solidFill>
              </a:ln>
              <a:effectLst/>
            </c:spPr>
            <c:extLst>
              <c:ext xmlns:c16="http://schemas.microsoft.com/office/drawing/2014/chart" uri="{C3380CC4-5D6E-409C-BE32-E72D297353CC}">
                <c16:uniqueId val="{00000003-A33E-4245-AD29-817D29CA29A0}"/>
              </c:ext>
            </c:extLst>
          </c:dPt>
          <c:dPt>
            <c:idx val="2"/>
            <c:bubble3D val="0"/>
            <c:spPr>
              <a:noFill/>
              <a:ln w="19050">
                <a:noFill/>
              </a:ln>
              <a:effectLst/>
            </c:spPr>
            <c:extLst>
              <c:ext xmlns:c16="http://schemas.microsoft.com/office/drawing/2014/chart" uri="{C3380CC4-5D6E-409C-BE32-E72D297353CC}">
                <c16:uniqueId val="{00000005-A33E-4245-AD29-817D29CA29A0}"/>
              </c:ext>
            </c:extLst>
          </c:dPt>
          <c:dLbls>
            <c:delete val="1"/>
          </c:dLbls>
          <c:cat>
            <c:strRef>
              <c:extLst>
                <c:ext xmlns:c15="http://schemas.microsoft.com/office/drawing/2012/chart" uri="{02D57815-91ED-43cb-92C2-25804820EDAC}">
                  <c15:fullRef>
                    <c15:sqref>Revenue!$B$86:$F$86</c15:sqref>
                  </c15:fullRef>
                </c:ext>
              </c:extLst>
              <c:f>Revenue!$D$86:$F$86</c:f>
              <c:strCache>
                <c:ptCount val="3"/>
                <c:pt idx="0">
                  <c:v>Percentage</c:v>
                </c:pt>
                <c:pt idx="1">
                  <c:v>Rest</c:v>
                </c:pt>
                <c:pt idx="2">
                  <c:v>Total</c:v>
                </c:pt>
              </c:strCache>
            </c:strRef>
          </c:cat>
          <c:val>
            <c:numRef>
              <c:extLst>
                <c:ext xmlns:c15="http://schemas.microsoft.com/office/drawing/2012/chart" uri="{02D57815-91ED-43cb-92C2-25804820EDAC}">
                  <c15:fullRef>
                    <c15:sqref>Revenue!$B$87:$F$87</c15:sqref>
                  </c15:fullRef>
                </c:ext>
              </c:extLst>
              <c:f>Revenue!$D$87:$F$87</c:f>
              <c:numCache>
                <c:formatCode>_-* #,##0_-;\-* #,##0_-;_-* "-"??_-;_-@_-</c:formatCode>
                <c:ptCount val="3"/>
                <c:pt idx="0" formatCode="0.00%">
                  <c:v>0.52521799999999996</c:v>
                </c:pt>
                <c:pt idx="1" formatCode="0.00%">
                  <c:v>0.47478200000000004</c:v>
                </c:pt>
                <c:pt idx="2" formatCode="0%">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6-A33E-4245-AD29-817D29CA29A0}"/>
            </c:ext>
          </c:extLst>
        </c:ser>
        <c:dLbls>
          <c:showLegendKey val="0"/>
          <c:showVal val="1"/>
          <c:showCatName val="0"/>
          <c:showSerName val="0"/>
          <c:showPercent val="0"/>
          <c:showBubbleSize val="0"/>
          <c:showLeaderLines val="1"/>
        </c:dLbls>
        <c:firstSliceAng val="27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(ver2).xlsx]Revenue!pvtSumRevenue</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50000"/>
            </a:schemeClr>
          </a:solidFill>
          <a:ln>
            <a:noFill/>
          </a:ln>
          <a:effectLst/>
        </c:spPr>
      </c:pivotFmt>
      <c:pivotFmt>
        <c:idx val="9"/>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lumMod val="50000"/>
            </a:schemeClr>
          </a:solidFill>
          <a:ln>
            <a:noFill/>
          </a:ln>
          <a:effectLst/>
        </c:spPr>
      </c:pivotFmt>
    </c:pivotFmts>
    <c:plotArea>
      <c:layout>
        <c:manualLayout>
          <c:layoutTarget val="inner"/>
          <c:xMode val="edge"/>
          <c:yMode val="edge"/>
          <c:x val="4.2851535240753656E-2"/>
          <c:y val="0.24130966647978699"/>
          <c:w val="0.91429776826453379"/>
          <c:h val="0.51738051972279608"/>
        </c:manualLayout>
      </c:layout>
      <c:barChart>
        <c:barDir val="col"/>
        <c:grouping val="clustered"/>
        <c:varyColors val="0"/>
        <c:ser>
          <c:idx val="0"/>
          <c:order val="0"/>
          <c:tx>
            <c:strRef>
              <c:f>Revenue!$I$18</c:f>
              <c:strCache>
                <c:ptCount val="1"/>
                <c:pt idx="0">
                  <c:v>Total</c:v>
                </c:pt>
              </c:strCache>
            </c:strRef>
          </c:tx>
          <c:spPr>
            <a:solidFill>
              <a:schemeClr val="accent3">
                <a:lumMod val="50000"/>
              </a:schemeClr>
            </a:solidFill>
            <a:ln>
              <a:noFill/>
            </a:ln>
            <a:effectLst/>
          </c:spPr>
          <c:invertIfNegative val="0"/>
          <c:dPt>
            <c:idx val="9"/>
            <c:invertIfNegative val="0"/>
            <c:bubble3D val="0"/>
            <c:extLst>
              <c:ext xmlns:c16="http://schemas.microsoft.com/office/drawing/2014/chart" uri="{C3380CC4-5D6E-409C-BE32-E72D297353CC}">
                <c16:uniqueId val="{00000001-87EB-4030-AEFF-EC66BC81E4F3}"/>
              </c:ext>
            </c:extLst>
          </c:dPt>
          <c:cat>
            <c:strRef>
              <c:f>Revenue!$H$19:$H$31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Revenue!$I$19:$I$31</c:f>
              <c:numCache>
                <c:formatCode>_-* #,##0_-;\-* #,##0_-;_-* "-"??_-;_-@_-</c:formatCode>
                <c:ptCount val="12"/>
                <c:pt idx="0">
                  <c:v>7878270</c:v>
                </c:pt>
                <c:pt idx="1">
                  <c:v>3109293</c:v>
                </c:pt>
                <c:pt idx="2">
                  <c:v>9379318</c:v>
                </c:pt>
                <c:pt idx="3">
                  <c:v>5318603</c:v>
                </c:pt>
                <c:pt idx="4">
                  <c:v>11934171</c:v>
                </c:pt>
                <c:pt idx="5">
                  <c:v>11596475</c:v>
                </c:pt>
                <c:pt idx="6">
                  <c:v>7221755</c:v>
                </c:pt>
                <c:pt idx="7">
                  <c:v>5764098</c:v>
                </c:pt>
                <c:pt idx="8">
                  <c:v>8804441</c:v>
                </c:pt>
                <c:pt idx="9">
                  <c:v>12409735</c:v>
                </c:pt>
                <c:pt idx="10">
                  <c:v>6211547</c:v>
                </c:pt>
                <c:pt idx="11">
                  <c:v>9988944</c:v>
                </c:pt>
              </c:numCache>
            </c:numRef>
          </c:val>
          <c:extLst>
            <c:ext xmlns:c16="http://schemas.microsoft.com/office/drawing/2014/chart" uri="{C3380CC4-5D6E-409C-BE32-E72D297353CC}">
              <c16:uniqueId val="{00000002-87EB-4030-AEFF-EC66BC81E4F3}"/>
            </c:ext>
          </c:extLst>
        </c:ser>
        <c:dLbls>
          <c:showLegendKey val="0"/>
          <c:showVal val="0"/>
          <c:showCatName val="0"/>
          <c:showSerName val="0"/>
          <c:showPercent val="0"/>
          <c:showBubbleSize val="0"/>
        </c:dLbls>
        <c:gapWidth val="59"/>
        <c:overlap val="100"/>
        <c:axId val="317026351"/>
        <c:axId val="317028015"/>
      </c:barChart>
      <c:catAx>
        <c:axId val="317026351"/>
        <c:scaling>
          <c:orientation val="minMax"/>
        </c:scaling>
        <c:delete val="1"/>
        <c:axPos val="b"/>
        <c:numFmt formatCode="General" sourceLinked="1"/>
        <c:majorTickMark val="none"/>
        <c:minorTickMark val="none"/>
        <c:tickLblPos val="nextTo"/>
        <c:crossAx val="317028015"/>
        <c:crosses val="autoZero"/>
        <c:auto val="1"/>
        <c:lblAlgn val="ctr"/>
        <c:lblOffset val="100"/>
        <c:noMultiLvlLbl val="0"/>
      </c:catAx>
      <c:valAx>
        <c:axId val="317028015"/>
        <c:scaling>
          <c:orientation val="minMax"/>
        </c:scaling>
        <c:delete val="1"/>
        <c:axPos val="l"/>
        <c:numFmt formatCode="_-* #,##0_-;\-* #,##0_-;_-* &quot;-&quot;??_-;_-@_-" sourceLinked="1"/>
        <c:majorTickMark val="none"/>
        <c:minorTickMark val="none"/>
        <c:tickLblPos val="nextTo"/>
        <c:crossAx val="317026351"/>
        <c:crosses val="autoZero"/>
        <c:crossBetween val="between"/>
      </c:valAx>
      <c:spPr>
        <a:gradFill>
          <a:gsLst>
            <a:gs pos="0">
              <a:schemeClr val="accent3">
                <a:lumMod val="20000"/>
                <a:lumOff val="80000"/>
              </a:schemeClr>
            </a:gs>
            <a:gs pos="85000">
              <a:srgbClr val="ADBA94"/>
            </a:gs>
            <a:gs pos="100000">
              <a:srgbClr val="8E9879"/>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(ver2).xlsx]Operational!pvtAvrFuelCost</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3">
                  <a:lumMod val="20000"/>
                  <a:lumOff val="80000"/>
                </a:schemeClr>
              </a:gs>
              <a:gs pos="36000">
                <a:srgbClr val="ADBA94"/>
              </a:gs>
              <a:gs pos="0">
                <a:srgbClr val="8E9879"/>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3">
                  <a:lumMod val="20000"/>
                  <a:lumOff val="80000"/>
                </a:schemeClr>
              </a:gs>
              <a:gs pos="36000">
                <a:srgbClr val="ADBA94"/>
              </a:gs>
              <a:gs pos="0">
                <a:srgbClr val="8E9879"/>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3">
                  <a:lumMod val="20000"/>
                  <a:lumOff val="80000"/>
                </a:schemeClr>
              </a:gs>
              <a:gs pos="36000">
                <a:srgbClr val="ADBA94"/>
              </a:gs>
              <a:gs pos="0">
                <a:srgbClr val="8E9879"/>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Operational!$B$1</c:f>
              <c:strCache>
                <c:ptCount val="1"/>
                <c:pt idx="0">
                  <c:v>Total</c:v>
                </c:pt>
              </c:strCache>
            </c:strRef>
          </c:tx>
          <c:spPr>
            <a:gradFill>
              <a:gsLst>
                <a:gs pos="100000">
                  <a:schemeClr val="accent3">
                    <a:lumMod val="20000"/>
                    <a:lumOff val="80000"/>
                  </a:schemeClr>
                </a:gs>
                <a:gs pos="36000">
                  <a:srgbClr val="ADBA94"/>
                </a:gs>
                <a:gs pos="0">
                  <a:srgbClr val="8E9879"/>
                </a:gs>
              </a:gsLst>
              <a:lin ang="5400000" scaled="1"/>
            </a:gradFill>
            <a:ln>
              <a:noFill/>
            </a:ln>
            <a:effectLst/>
          </c:spPr>
          <c:cat>
            <c:strRef>
              <c:f>Operational!$A$2:$A$14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Operational!$B$2:$B$14</c:f>
              <c:numCache>
                <c:formatCode>_(* #,##0.00_);_(* \(#,##0.00\);_(* "-"??_);_(@_)</c:formatCode>
                <c:ptCount val="12"/>
                <c:pt idx="0">
                  <c:v>374</c:v>
                </c:pt>
                <c:pt idx="1">
                  <c:v>378</c:v>
                </c:pt>
                <c:pt idx="2">
                  <c:v>408.3</c:v>
                </c:pt>
                <c:pt idx="3">
                  <c:v>377</c:v>
                </c:pt>
                <c:pt idx="4">
                  <c:v>416.58333333333331</c:v>
                </c:pt>
                <c:pt idx="5">
                  <c:v>371.44444444444446</c:v>
                </c:pt>
                <c:pt idx="6">
                  <c:v>381.42857142857144</c:v>
                </c:pt>
                <c:pt idx="7">
                  <c:v>435.42857142857144</c:v>
                </c:pt>
                <c:pt idx="8">
                  <c:v>399.44444444444446</c:v>
                </c:pt>
                <c:pt idx="9">
                  <c:v>406.75</c:v>
                </c:pt>
                <c:pt idx="10">
                  <c:v>354.6</c:v>
                </c:pt>
                <c:pt idx="11">
                  <c:v>393.66666666666669</c:v>
                </c:pt>
              </c:numCache>
            </c:numRef>
          </c:val>
          <c:extLst>
            <c:ext xmlns:c16="http://schemas.microsoft.com/office/drawing/2014/chart" uri="{C3380CC4-5D6E-409C-BE32-E72D297353CC}">
              <c16:uniqueId val="{00000000-D0B0-4D63-84EC-E984970984FB}"/>
            </c:ext>
          </c:extLst>
        </c:ser>
        <c:dLbls>
          <c:showLegendKey val="0"/>
          <c:showVal val="0"/>
          <c:showCatName val="0"/>
          <c:showSerName val="0"/>
          <c:showPercent val="0"/>
          <c:showBubbleSize val="0"/>
        </c:dLbls>
        <c:axId val="128823488"/>
        <c:axId val="128830560"/>
      </c:areaChart>
      <c:catAx>
        <c:axId val="128823488"/>
        <c:scaling>
          <c:orientation val="minMax"/>
        </c:scaling>
        <c:delete val="1"/>
        <c:axPos val="b"/>
        <c:numFmt formatCode="General" sourceLinked="1"/>
        <c:majorTickMark val="out"/>
        <c:minorTickMark val="none"/>
        <c:tickLblPos val="nextTo"/>
        <c:crossAx val="128830560"/>
        <c:crosses val="autoZero"/>
        <c:auto val="1"/>
        <c:lblAlgn val="ctr"/>
        <c:lblOffset val="100"/>
        <c:noMultiLvlLbl val="0"/>
      </c:catAx>
      <c:valAx>
        <c:axId val="128830560"/>
        <c:scaling>
          <c:orientation val="minMax"/>
        </c:scaling>
        <c:delete val="1"/>
        <c:axPos val="l"/>
        <c:numFmt formatCode="_(* #,##0.00_);_(* \(#,##0.00\);_(* &quot;-&quot;??_);_(@_)" sourceLinked="1"/>
        <c:majorTickMark val="none"/>
        <c:minorTickMark val="none"/>
        <c:tickLblPos val="nextTo"/>
        <c:crossAx val="128823488"/>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areaChart>
        <c:grouping val="standard"/>
        <c:varyColors val="0"/>
        <c:ser>
          <c:idx val="5"/>
          <c:order val="5"/>
          <c:tx>
            <c:strRef>
              <c:f>Operational!$F$68</c:f>
              <c:strCache>
                <c:ptCount val="1"/>
                <c:pt idx="0">
                  <c:v>Grand Total Fuel Cost </c:v>
                </c:pt>
              </c:strCache>
              <c:extLst xmlns:c15="http://schemas.microsoft.com/office/drawing/2012/chart"/>
            </c:strRef>
          </c:tx>
          <c:spPr>
            <a:solidFill>
              <a:schemeClr val="accent2">
                <a:lumMod val="75000"/>
              </a:schemeClr>
            </a:solidFill>
            <a:ln>
              <a:noFill/>
            </a:ln>
            <a:effectLst/>
          </c:spPr>
          <c:dLbls>
            <c:delete val="1"/>
          </c:dLbls>
          <c:cat>
            <c:strRef>
              <c:extLst>
                <c:ext xmlns:c15="http://schemas.microsoft.com/office/drawing/2012/chart" uri="{02D57815-91ED-43cb-92C2-25804820EDAC}">
                  <c15:fullRef>
                    <c15:sqref>Operational!$A$69:$A$80</c15:sqref>
                  </c15:fullRef>
                </c:ext>
              </c:extLst>
              <c:f>Operational!$A$69:$A$80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Operational!$F$69:$F$81</c15:sqref>
                  </c15:fullRef>
                </c:ext>
              </c:extLst>
              <c:f>Operational!$F$69:$F$80</c:f>
              <c:numCache>
                <c:formatCode>_-* #,##0_-;\-* #,##0_-;_-* "-"??_-;_-@_-</c:formatCode>
                <c:ptCount val="12"/>
                <c:pt idx="0">
                  <c:v>1343186</c:v>
                </c:pt>
                <c:pt idx="1">
                  <c:v>632456</c:v>
                </c:pt>
                <c:pt idx="2">
                  <c:v>1880876</c:v>
                </c:pt>
                <c:pt idx="3">
                  <c:v>1109772</c:v>
                </c:pt>
                <c:pt idx="4">
                  <c:v>2331604</c:v>
                </c:pt>
                <c:pt idx="5">
                  <c:v>2079873</c:v>
                </c:pt>
                <c:pt idx="6">
                  <c:v>1392722</c:v>
                </c:pt>
                <c:pt idx="7">
                  <c:v>1277560</c:v>
                </c:pt>
                <c:pt idx="8">
                  <c:v>1762491</c:v>
                </c:pt>
                <c:pt idx="9">
                  <c:v>2464620</c:v>
                </c:pt>
                <c:pt idx="10">
                  <c:v>1015329</c:v>
                </c:pt>
                <c:pt idx="11">
                  <c:v>1968501</c:v>
                </c:pt>
              </c:numCache>
            </c:numRef>
          </c:val>
          <c:extLst xmlns:c15="http://schemas.microsoft.com/office/drawing/2012/chart">
            <c:ext xmlns:c16="http://schemas.microsoft.com/office/drawing/2014/chart" uri="{C3380CC4-5D6E-409C-BE32-E72D297353CC}">
              <c16:uniqueId val="{00000008-9002-4264-8412-77AB6F5009B9}"/>
            </c:ext>
          </c:extLst>
        </c:ser>
        <c:dLbls>
          <c:showLegendKey val="0"/>
          <c:showVal val="1"/>
          <c:showCatName val="0"/>
          <c:showSerName val="0"/>
          <c:showPercent val="0"/>
          <c:showBubbleSize val="0"/>
        </c:dLbls>
        <c:axId val="919649759"/>
        <c:axId val="919650175"/>
        <c:extLst>
          <c:ext xmlns:c15="http://schemas.microsoft.com/office/drawing/2012/chart" uri="{02D57815-91ED-43cb-92C2-25804820EDAC}">
            <c15:filteredAreaSeries>
              <c15:ser>
                <c:idx val="1"/>
                <c:order val="1"/>
                <c:tx>
                  <c:strRef>
                    <c:extLst>
                      <c:ext uri="{02D57815-91ED-43cb-92C2-25804820EDAC}">
                        <c15:formulaRef>
                          <c15:sqref>Operational!$B$68</c15:sqref>
                        </c15:formulaRef>
                      </c:ext>
                    </c:extLst>
                    <c:strCache>
                      <c:ptCount val="1"/>
                      <c:pt idx="0">
                        <c:v>Fuel Cost-I</c:v>
                      </c:pt>
                    </c:strCache>
                  </c:strRef>
                </c:tx>
                <c:spPr>
                  <a:solidFill>
                    <a:schemeClr val="accent3">
                      <a:shade val="55000"/>
                    </a:schemeClr>
                  </a:solidFill>
                  <a:ln>
                    <a:noFill/>
                  </a:ln>
                  <a:effectLst/>
                </c:spPr>
                <c:dLbls>
                  <c:delete val="1"/>
                </c:dLbls>
                <c:cat>
                  <c:strRef>
                    <c:extLst>
                      <c:ex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ullRef>
                          <c15:sqref>Operational!$B$69:$B$81</c15:sqref>
                        </c15:fullRef>
                        <c15:formulaRef>
                          <c15:sqref>Operational!$B$69:$B$80</c15:sqref>
                        </c15:formulaRef>
                      </c:ext>
                    </c:extLst>
                    <c:numCache>
                      <c:formatCode>_-* #,##0_-;\-* #,##0_-;_-* "-"??_-;_-@_-</c:formatCode>
                      <c:ptCount val="12"/>
                      <c:pt idx="0">
                        <c:v>1343186</c:v>
                      </c:pt>
                      <c:pt idx="1">
                        <c:v>632456</c:v>
                      </c:pt>
                      <c:pt idx="2">
                        <c:v>1750836</c:v>
                      </c:pt>
                      <c:pt idx="3">
                        <c:v>890773</c:v>
                      </c:pt>
                      <c:pt idx="4">
                        <c:v>1985602</c:v>
                      </c:pt>
                      <c:pt idx="5">
                        <c:v>1877223</c:v>
                      </c:pt>
                      <c:pt idx="6">
                        <c:v>1392722</c:v>
                      </c:pt>
                      <c:pt idx="7">
                        <c:v>1277560</c:v>
                      </c:pt>
                      <c:pt idx="8">
                        <c:v>1169129</c:v>
                      </c:pt>
                      <c:pt idx="9">
                        <c:v>1929333</c:v>
                      </c:pt>
                      <c:pt idx="10">
                        <c:v>1015329</c:v>
                      </c:pt>
                      <c:pt idx="11">
                        <c:v>1666949</c:v>
                      </c:pt>
                    </c:numCache>
                  </c:numRef>
                </c:val>
                <c:extLst>
                  <c:ext xmlns:c16="http://schemas.microsoft.com/office/drawing/2014/chart" uri="{C3380CC4-5D6E-409C-BE32-E72D297353CC}">
                    <c16:uniqueId val="{00000000-9002-4264-8412-77AB6F5009B9}"/>
                  </c:ext>
                </c:extLst>
              </c15:ser>
            </c15:filteredAreaSeries>
            <c15:filteredAreaSeries>
              <c15:ser>
                <c:idx val="3"/>
                <c:order val="3"/>
                <c:tx>
                  <c:strRef>
                    <c:extLst xmlns:c15="http://schemas.microsoft.com/office/drawing/2012/chart">
                      <c:ext xmlns:c15="http://schemas.microsoft.com/office/drawing/2012/chart" uri="{02D57815-91ED-43cb-92C2-25804820EDAC}">
                        <c15:formulaRef>
                          <c15:sqref>Operational!$D$68</c15:sqref>
                        </c15:formulaRef>
                      </c:ext>
                    </c:extLst>
                    <c:strCache>
                      <c:ptCount val="1"/>
                      <c:pt idx="0">
                        <c:v>Fuel Cost-W</c:v>
                      </c:pt>
                    </c:strCache>
                  </c:strRef>
                </c:tx>
                <c:spPr>
                  <a:solidFill>
                    <a:schemeClr val="accent3">
                      <a:shade val="80000"/>
                    </a:schemeClr>
                  </a:solidFill>
                  <a:ln>
                    <a:noFill/>
                  </a:ln>
                  <a:effectLst/>
                </c:spPr>
                <c:dLbls>
                  <c:delete val="1"/>
                </c:dLbls>
                <c:cat>
                  <c:strRef>
                    <c:extLst>
                      <c:ext xmlns:c15="http://schemas.microsoft.com/office/drawing/2012/char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Operational!$D$69:$D$81</c15:sqref>
                        </c15:fullRef>
                        <c15:formulaRef>
                          <c15:sqref>Operational!$D$69:$D$80</c15:sqref>
                        </c15:formulaRef>
                      </c:ext>
                    </c:extLst>
                    <c:numCache>
                      <c:formatCode>_-* #,##0_-;\-* #,##0_-;_-* "-"??_-;_-@_-</c:formatCode>
                      <c:ptCount val="12"/>
                      <c:pt idx="0">
                        <c:v>0</c:v>
                      </c:pt>
                      <c:pt idx="1">
                        <c:v>0</c:v>
                      </c:pt>
                      <c:pt idx="2">
                        <c:v>130040</c:v>
                      </c:pt>
                      <c:pt idx="3">
                        <c:v>218999</c:v>
                      </c:pt>
                      <c:pt idx="4">
                        <c:v>346002</c:v>
                      </c:pt>
                      <c:pt idx="5">
                        <c:v>202650</c:v>
                      </c:pt>
                      <c:pt idx="6">
                        <c:v>0</c:v>
                      </c:pt>
                      <c:pt idx="7">
                        <c:v>0</c:v>
                      </c:pt>
                      <c:pt idx="8">
                        <c:v>593362</c:v>
                      </c:pt>
                      <c:pt idx="9">
                        <c:v>535287</c:v>
                      </c:pt>
                      <c:pt idx="10">
                        <c:v>0</c:v>
                      </c:pt>
                      <c:pt idx="11">
                        <c:v>301552</c:v>
                      </c:pt>
                    </c:numCache>
                  </c:numRef>
                </c:val>
                <c:extLst xmlns:c15="http://schemas.microsoft.com/office/drawing/2012/chart">
                  <c:ext xmlns:c16="http://schemas.microsoft.com/office/drawing/2014/chart" uri="{C3380CC4-5D6E-409C-BE32-E72D297353CC}">
                    <c16:uniqueId val="{00000006-9002-4264-8412-77AB6F5009B9}"/>
                  </c:ext>
                </c:extLst>
              </c15:ser>
            </c15:filteredAreaSeries>
          </c:ext>
        </c:extLst>
      </c:areaChart>
      <c:barChart>
        <c:barDir val="col"/>
        <c:grouping val="clustered"/>
        <c:varyColors val="0"/>
        <c:ser>
          <c:idx val="6"/>
          <c:order val="6"/>
          <c:tx>
            <c:strRef>
              <c:f>Operational!$G$68</c:f>
              <c:strCache>
                <c:ptCount val="1"/>
                <c:pt idx="0">
                  <c:v>Grand Total Revenue</c:v>
                </c:pt>
              </c:strCache>
              <c:extLst xmlns:c15="http://schemas.microsoft.com/office/drawing/2012/chart"/>
            </c:strRef>
          </c:tx>
          <c:spPr>
            <a:solidFill>
              <a:schemeClr val="accent3">
                <a:tint val="81000"/>
              </a:schemeClr>
            </a:solidFill>
            <a:ln>
              <a:noFill/>
            </a:ln>
            <a:effectLst/>
          </c:spPr>
          <c:invertIfNegative val="0"/>
          <c:dLbls>
            <c:delete val="1"/>
          </c:dLbls>
          <c:cat>
            <c:strRef>
              <c:extLst>
                <c:ext xmlns:c15="http://schemas.microsoft.com/office/drawing/2012/chart" uri="{02D57815-91ED-43cb-92C2-25804820EDAC}">
                  <c15:fullRef>
                    <c15:sqref>Operational!$A$69:$A$80</c15:sqref>
                  </c15:fullRef>
                </c:ext>
              </c:extLst>
              <c:f>Operational!$A$69:$A$80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Operational!$G$69:$G$81</c15:sqref>
                  </c15:fullRef>
                </c:ext>
              </c:extLst>
              <c:f>Operational!$G$69:$G$80</c:f>
              <c:numCache>
                <c:formatCode>_-* #,##0_-;\-* #,##0_-;_-* "-"??_-;_-@_-</c:formatCode>
                <c:ptCount val="12"/>
                <c:pt idx="0">
                  <c:v>7878270</c:v>
                </c:pt>
                <c:pt idx="1">
                  <c:v>3109293</c:v>
                </c:pt>
                <c:pt idx="2">
                  <c:v>9379318</c:v>
                </c:pt>
                <c:pt idx="3">
                  <c:v>5318603</c:v>
                </c:pt>
                <c:pt idx="4">
                  <c:v>11934171</c:v>
                </c:pt>
                <c:pt idx="5">
                  <c:v>11596475</c:v>
                </c:pt>
                <c:pt idx="6">
                  <c:v>7221755</c:v>
                </c:pt>
                <c:pt idx="7">
                  <c:v>5764098</c:v>
                </c:pt>
                <c:pt idx="8">
                  <c:v>8804441</c:v>
                </c:pt>
                <c:pt idx="9">
                  <c:v>12409735</c:v>
                </c:pt>
                <c:pt idx="10">
                  <c:v>6211547</c:v>
                </c:pt>
                <c:pt idx="11">
                  <c:v>9988944</c:v>
                </c:pt>
              </c:numCache>
            </c:numRef>
          </c:val>
          <c:extLst xmlns:c15="http://schemas.microsoft.com/office/drawing/2012/chart">
            <c:ext xmlns:c16="http://schemas.microsoft.com/office/drawing/2014/chart" uri="{C3380CC4-5D6E-409C-BE32-E72D297353CC}">
              <c16:uniqueId val="{00000009-9002-4264-8412-77AB6F5009B9}"/>
            </c:ext>
          </c:extLst>
        </c:ser>
        <c:dLbls>
          <c:showLegendKey val="0"/>
          <c:showVal val="1"/>
          <c:showCatName val="0"/>
          <c:showSerName val="0"/>
          <c:showPercent val="0"/>
          <c:showBubbleSize val="0"/>
        </c:dLbls>
        <c:gapWidth val="150"/>
        <c:axId val="919649759"/>
        <c:axId val="919650175"/>
        <c:extLst>
          <c:ext xmlns:c15="http://schemas.microsoft.com/office/drawing/2012/chart" uri="{02D57815-91ED-43cb-92C2-25804820EDAC}">
            <c15:filteredBarSeries>
              <c15:ser>
                <c:idx val="0"/>
                <c:order val="0"/>
                <c:tx>
                  <c:strRef>
                    <c:extLst>
                      <c:ext uri="{02D57815-91ED-43cb-92C2-25804820EDAC}">
                        <c15:formulaRef>
                          <c15:sqref>Operational!$A$68</c15:sqref>
                        </c15:formulaRef>
                      </c:ext>
                    </c:extLst>
                    <c:strCache>
                      <c:ptCount val="1"/>
                      <c:pt idx="0">
                        <c:v>Months</c:v>
                      </c:pt>
                    </c:strCache>
                  </c:strRef>
                </c:tx>
                <c:spPr>
                  <a:solidFill>
                    <a:schemeClr val="accent3">
                      <a:shade val="42000"/>
                    </a:schemeClr>
                  </a:solidFill>
                  <a:ln>
                    <a:noFill/>
                  </a:ln>
                  <a:effectLst/>
                </c:spPr>
                <c:invertIfNegative val="0"/>
                <c:dLbls>
                  <c:delete val="1"/>
                </c:dLbls>
                <c:cat>
                  <c:strRef>
                    <c:extLst>
                      <c:ex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ullRef>
                          <c15:sqref>Operational!$A$69:$A$81</c15:sqref>
                        </c15:fullRef>
                        <c15:formulaRef>
                          <c15:sqref>Operational!$A$69:$A$80</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9002-4264-8412-77AB6F5009B9}"/>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Operational!$C$68</c15:sqref>
                        </c15:formulaRef>
                      </c:ext>
                    </c:extLst>
                    <c:strCache>
                      <c:ptCount val="1"/>
                      <c:pt idx="0">
                        <c:v>Total Revenue-I</c:v>
                      </c:pt>
                    </c:strCache>
                  </c:strRef>
                </c:tx>
                <c:spPr>
                  <a:solidFill>
                    <a:schemeClr val="accent3">
                      <a:shade val="68000"/>
                    </a:schemeClr>
                  </a:solidFill>
                  <a:ln>
                    <a:noFill/>
                  </a:ln>
                  <a:effectLst/>
                </c:spPr>
                <c:invertIfNegative val="0"/>
                <c:dLbls>
                  <c:delete val="1"/>
                </c:dLbls>
                <c:cat>
                  <c:strRef>
                    <c:extLst>
                      <c:ext xmlns:c15="http://schemas.microsoft.com/office/drawing/2012/char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Operational!$C$69:$C$81</c15:sqref>
                        </c15:fullRef>
                        <c15:formulaRef>
                          <c15:sqref>Operational!$C$69:$C$80</c15:sqref>
                        </c15:formulaRef>
                      </c:ext>
                    </c:extLst>
                    <c:numCache>
                      <c:formatCode>_-* #,##0_-;\-* #,##0_-;_-* "-"??_-;_-@_-</c:formatCode>
                      <c:ptCount val="12"/>
                      <c:pt idx="0">
                        <c:v>7878270</c:v>
                      </c:pt>
                      <c:pt idx="1">
                        <c:v>3109293</c:v>
                      </c:pt>
                      <c:pt idx="2">
                        <c:v>8767215</c:v>
                      </c:pt>
                      <c:pt idx="3">
                        <c:v>4466189</c:v>
                      </c:pt>
                      <c:pt idx="4">
                        <c:v>10228666</c:v>
                      </c:pt>
                      <c:pt idx="5">
                        <c:v>10337992</c:v>
                      </c:pt>
                      <c:pt idx="6">
                        <c:v>7221755</c:v>
                      </c:pt>
                      <c:pt idx="7">
                        <c:v>5764098</c:v>
                      </c:pt>
                      <c:pt idx="8">
                        <c:v>5949240</c:v>
                      </c:pt>
                      <c:pt idx="9">
                        <c:v>9417202</c:v>
                      </c:pt>
                      <c:pt idx="10">
                        <c:v>6211547</c:v>
                      </c:pt>
                      <c:pt idx="11">
                        <c:v>8134020</c:v>
                      </c:pt>
                    </c:numCache>
                  </c:numRef>
                </c:val>
                <c:extLst xmlns:c15="http://schemas.microsoft.com/office/drawing/2012/chart">
                  <c:ext xmlns:c16="http://schemas.microsoft.com/office/drawing/2014/chart" uri="{C3380CC4-5D6E-409C-BE32-E72D297353CC}">
                    <c16:uniqueId val="{00000001-9002-4264-8412-77AB6F5009B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Operational!$E$68</c15:sqref>
                        </c15:formulaRef>
                      </c:ext>
                    </c:extLst>
                    <c:strCache>
                      <c:ptCount val="1"/>
                      <c:pt idx="0">
                        <c:v>Total Revenue-W</c:v>
                      </c:pt>
                    </c:strCache>
                  </c:strRef>
                </c:tx>
                <c:spPr>
                  <a:solidFill>
                    <a:schemeClr val="accent3">
                      <a:shade val="93000"/>
                    </a:schemeClr>
                  </a:solidFill>
                  <a:ln>
                    <a:noFill/>
                  </a:ln>
                  <a:effectLst/>
                </c:spPr>
                <c:invertIfNegative val="0"/>
                <c:dLbls>
                  <c:delete val="1"/>
                </c:dLbls>
                <c:val>
                  <c:numRef>
                    <c:extLst>
                      <c:ext xmlns:c15="http://schemas.microsoft.com/office/drawing/2012/chart" uri="{02D57815-91ED-43cb-92C2-25804820EDAC}">
                        <c15:fullRef>
                          <c15:sqref>Operational!$E$69:$E$81</c15:sqref>
                        </c15:fullRef>
                        <c15:formulaRef>
                          <c15:sqref>Operational!$E$69:$E$80</c15:sqref>
                        </c15:formulaRef>
                      </c:ext>
                    </c:extLst>
                    <c:numCache>
                      <c:formatCode>_-* #,##0_-;\-* #,##0_-;_-* "-"??_-;_-@_-</c:formatCode>
                      <c:ptCount val="12"/>
                      <c:pt idx="0">
                        <c:v>0</c:v>
                      </c:pt>
                      <c:pt idx="1">
                        <c:v>0</c:v>
                      </c:pt>
                      <c:pt idx="2">
                        <c:v>612103</c:v>
                      </c:pt>
                      <c:pt idx="3">
                        <c:v>852414</c:v>
                      </c:pt>
                      <c:pt idx="4">
                        <c:v>1705505</c:v>
                      </c:pt>
                      <c:pt idx="5">
                        <c:v>1258483</c:v>
                      </c:pt>
                      <c:pt idx="6">
                        <c:v>0</c:v>
                      </c:pt>
                      <c:pt idx="7">
                        <c:v>0</c:v>
                      </c:pt>
                      <c:pt idx="8">
                        <c:v>2855201</c:v>
                      </c:pt>
                      <c:pt idx="9">
                        <c:v>2992533</c:v>
                      </c:pt>
                      <c:pt idx="10">
                        <c:v>0</c:v>
                      </c:pt>
                      <c:pt idx="11">
                        <c:v>1854924</c:v>
                      </c:pt>
                    </c:numCache>
                  </c:numRef>
                </c:val>
                <c:extLst xmlns:c15="http://schemas.microsoft.com/office/drawing/2012/chart">
                  <c:ext xmlns:c16="http://schemas.microsoft.com/office/drawing/2014/chart" uri="{C3380CC4-5D6E-409C-BE32-E72D297353CC}">
                    <c16:uniqueId val="{00000007-9002-4264-8412-77AB6F5009B9}"/>
                  </c:ext>
                </c:extLst>
              </c15:ser>
            </c15:filteredBarSeries>
          </c:ext>
        </c:extLst>
      </c:barChart>
      <c:lineChart>
        <c:grouping val="standard"/>
        <c:varyColors val="0"/>
        <c:ser>
          <c:idx val="9"/>
          <c:order val="9"/>
          <c:tx>
            <c:strRef>
              <c:f>Operational!$J$68</c:f>
              <c:strCache>
                <c:ptCount val="1"/>
                <c:pt idx="0">
                  <c:v>Margin Profit</c:v>
                </c:pt>
              </c:strCache>
              <c:extLst xmlns:c15="http://schemas.microsoft.com/office/drawing/2012/chart"/>
            </c:strRef>
          </c:tx>
          <c:spPr>
            <a:ln w="28575" cap="rnd">
              <a:solidFill>
                <a:schemeClr val="accent3">
                  <a:lumMod val="50000"/>
                </a:schemeClr>
              </a:solidFill>
              <a:round/>
            </a:ln>
            <a:effectLst/>
          </c:spPr>
          <c:marker>
            <c:symbol val="circle"/>
            <c:size val="5"/>
            <c:spPr>
              <a:solidFill>
                <a:schemeClr val="accent3">
                  <a:lumMod val="50000"/>
                </a:schemeClr>
              </a:solidFill>
              <a:ln w="9525">
                <a:noFill/>
              </a:ln>
              <a:effectLst/>
            </c:spPr>
          </c:marker>
          <c:dLbls>
            <c:dLbl>
              <c:idx val="0"/>
              <c:layout>
                <c:manualLayout>
                  <c:x val="-4.7274943814473766E-2"/>
                  <c:y val="-7.53596430885925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DD-4688-AF67-ED9A168DADA9}"/>
                </c:ext>
              </c:extLst>
            </c:dLbl>
            <c:dLbl>
              <c:idx val="1"/>
              <c:layout>
                <c:manualLayout>
                  <c:x val="-6.9379702484261105E-2"/>
                  <c:y val="7.37613235492950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6-9002-4264-8412-77AB6F5009B9}"/>
                </c:ext>
              </c:extLst>
            </c:dLbl>
            <c:dLbl>
              <c:idx val="2"/>
              <c:layout>
                <c:manualLayout>
                  <c:x val="-6.447050667014094E-2"/>
                  <c:y val="-6.4416388730300214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7-9002-4264-8412-77AB6F5009B9}"/>
                </c:ext>
              </c:extLst>
            </c:dLbl>
            <c:dLbl>
              <c:idx val="3"/>
              <c:layout>
                <c:manualLayout>
                  <c:x val="-6.3703538153588299E-2"/>
                  <c:y val="4.235036929572826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8-9002-4264-8412-77AB6F5009B9}"/>
                </c:ext>
              </c:extLst>
            </c:dLbl>
            <c:dLbl>
              <c:idx val="4"/>
              <c:layout>
                <c:manualLayout>
                  <c:x val="-9.4373071894208405E-2"/>
                  <c:y val="-8.5962973747463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9002-4264-8412-77AB6F5009B9}"/>
                </c:ext>
              </c:extLst>
            </c:dLbl>
            <c:dLbl>
              <c:idx val="5"/>
              <c:layout>
                <c:manualLayout>
                  <c:x val="-4.7274943814473766E-2"/>
                  <c:y val="-7.480567765823935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9-9002-4264-8412-77AB6F5009B9}"/>
                </c:ext>
              </c:extLst>
            </c:dLbl>
            <c:dLbl>
              <c:idx val="6"/>
              <c:layout>
                <c:manualLayout>
                  <c:x val="-7.0908227980624725E-2"/>
                  <c:y val="8.07814684788583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9002-4264-8412-77AB6F5009B9}"/>
                </c:ext>
              </c:extLst>
            </c:dLbl>
            <c:dLbl>
              <c:idx val="7"/>
              <c:layout>
                <c:manualLayout>
                  <c:x val="-6.4923015359703809E-2"/>
                  <c:y val="-8.0580142098278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002-4264-8412-77AB6F5009B9}"/>
                </c:ext>
              </c:extLst>
            </c:dLbl>
            <c:dLbl>
              <c:idx val="8"/>
              <c:layout>
                <c:manualLayout>
                  <c:x val="-4.3173982029937698E-2"/>
                  <c:y val="-7.9919791569977042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A-9002-4264-8412-77AB6F5009B9}"/>
                </c:ext>
              </c:extLst>
            </c:dLbl>
            <c:dLbl>
              <c:idx val="9"/>
              <c:layout>
                <c:manualLayout>
                  <c:x val="-2.3603798167081545E-2"/>
                  <c:y val="0.161290390860380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DD-4688-AF67-ED9A168DADA9}"/>
                </c:ext>
              </c:extLst>
            </c:dLbl>
            <c:dLbl>
              <c:idx val="10"/>
              <c:layout>
                <c:manualLayout>
                  <c:x val="-6.5003047744901538E-2"/>
                  <c:y val="-5.3828316491851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DD-4688-AF67-ED9A168DADA9}"/>
                </c:ext>
              </c:extLst>
            </c:dLbl>
            <c:dLbl>
              <c:idx val="11"/>
              <c:layout>
                <c:manualLayout>
                  <c:x val="-5.3910652217408907E-2"/>
                  <c:y val="-9.4973494852190407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B-9002-4264-8412-77AB6F5009B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Operational!$J$69:$J$81</c15:sqref>
                  </c15:fullRef>
                </c:ext>
              </c:extLst>
              <c:f>Operational!$J$69:$J$80</c:f>
              <c:numCache>
                <c:formatCode>0.00%</c:formatCode>
                <c:ptCount val="12"/>
                <c:pt idx="0">
                  <c:v>0.82950749339639285</c:v>
                </c:pt>
                <c:pt idx="1">
                  <c:v>0.79659170107159405</c:v>
                </c:pt>
                <c:pt idx="2">
                  <c:v>0.79946559014205509</c:v>
                </c:pt>
                <c:pt idx="3">
                  <c:v>0.79134144812086937</c:v>
                </c:pt>
                <c:pt idx="4">
                  <c:v>0.80462790419208841</c:v>
                </c:pt>
                <c:pt idx="5">
                  <c:v>0.82064610150929485</c:v>
                </c:pt>
                <c:pt idx="6">
                  <c:v>0.80714909326057172</c:v>
                </c:pt>
                <c:pt idx="7">
                  <c:v>0.77835907717044361</c:v>
                </c:pt>
                <c:pt idx="8">
                  <c:v>0.79981795550677215</c:v>
                </c:pt>
                <c:pt idx="9">
                  <c:v>0.80139624254667807</c:v>
                </c:pt>
                <c:pt idx="10">
                  <c:v>0.83654168599223344</c:v>
                </c:pt>
                <c:pt idx="11">
                  <c:v>0.8029320216431286</c:v>
                </c:pt>
              </c:numCache>
            </c:numRef>
          </c:val>
          <c:smooth val="0"/>
          <c:extLst xmlns:c15="http://schemas.microsoft.com/office/drawing/2012/chart">
            <c:ext xmlns:c16="http://schemas.microsoft.com/office/drawing/2014/chart" uri="{C3380CC4-5D6E-409C-BE32-E72D297353CC}">
              <c16:uniqueId val="{0000001C-9002-4264-8412-77AB6F5009B9}"/>
            </c:ext>
          </c:extLst>
        </c:ser>
        <c:dLbls>
          <c:showLegendKey val="0"/>
          <c:showVal val="1"/>
          <c:showCatName val="0"/>
          <c:showSerName val="0"/>
          <c:showPercent val="0"/>
          <c:showBubbleSize val="0"/>
        </c:dLbls>
        <c:marker val="1"/>
        <c:smooth val="0"/>
        <c:axId val="917841311"/>
        <c:axId val="917845471"/>
        <c:extLst>
          <c:ext xmlns:c15="http://schemas.microsoft.com/office/drawing/2012/chart" uri="{02D57815-91ED-43cb-92C2-25804820EDAC}">
            <c15:filteredLineSeries>
              <c15:ser>
                <c:idx val="7"/>
                <c:order val="7"/>
                <c:tx>
                  <c:strRef>
                    <c:extLst>
                      <c:ext uri="{02D57815-91ED-43cb-92C2-25804820EDAC}">
                        <c15:formulaRef>
                          <c15:sqref>Operational!$H$68</c15:sqref>
                        </c15:formulaRef>
                      </c:ext>
                    </c:extLst>
                    <c:strCache>
                      <c:ptCount val="1"/>
                      <c:pt idx="0">
                        <c:v>Intercity - Margin Profit</c:v>
                      </c:pt>
                    </c:strCache>
                  </c:strRef>
                </c:tx>
                <c:spPr>
                  <a:ln w="28575" cap="rnd">
                    <a:solidFill>
                      <a:schemeClr val="accent3">
                        <a:tint val="69000"/>
                      </a:schemeClr>
                    </a:solidFill>
                    <a:round/>
                  </a:ln>
                  <a:effectLst/>
                </c:spPr>
                <c:marker>
                  <c:symbol val="circle"/>
                  <c:size val="5"/>
                  <c:spPr>
                    <a:solidFill>
                      <a:schemeClr val="accent3">
                        <a:tint val="69000"/>
                      </a:schemeClr>
                    </a:solidFill>
                    <a:ln w="9525">
                      <a:solidFill>
                        <a:schemeClr val="accent3">
                          <a:tint val="69000"/>
                        </a:schemeClr>
                      </a:solidFill>
                    </a:ln>
                    <a:effectLst/>
                  </c:spPr>
                </c:marker>
                <c:dLbls>
                  <c:dLbl>
                    <c:idx val="1"/>
                    <c:layout>
                      <c:manualLayout>
                        <c:x val="-1.7366155108381957E-2"/>
                        <c:y val="6.0458012923823044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2-9002-4264-8412-77AB6F5009B9}"/>
                      </c:ext>
                    </c:extLst>
                  </c:dLbl>
                  <c:dLbl>
                    <c:idx val="7"/>
                    <c:layout>
                      <c:manualLayout>
                        <c:x val="-1.3878975367743011E-2"/>
                        <c:y val="5.2660741968657429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3-9002-4264-8412-77AB6F5009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ullRef>
                          <c15:sqref>Operational!$H$69:$H$81</c15:sqref>
                        </c15:fullRef>
                        <c15:formulaRef>
                          <c15:sqref>Operational!$H$69:$H$80</c15:sqref>
                        </c15:formulaRef>
                      </c:ext>
                    </c:extLst>
                    <c:numCache>
                      <c:formatCode>0.00%</c:formatCode>
                      <c:ptCount val="12"/>
                      <c:pt idx="0">
                        <c:v>0.82950749339639285</c:v>
                      </c:pt>
                      <c:pt idx="1">
                        <c:v>0.79659170107159405</c:v>
                      </c:pt>
                      <c:pt idx="2">
                        <c:v>0.8002973578268584</c:v>
                      </c:pt>
                      <c:pt idx="3">
                        <c:v>0.80055187991372512</c:v>
                      </c:pt>
                      <c:pt idx="4">
                        <c:v>0.80587869425006153</c:v>
                      </c:pt>
                      <c:pt idx="5">
                        <c:v>0.81841512355590906</c:v>
                      </c:pt>
                      <c:pt idx="6">
                        <c:v>0.80714909326057172</c:v>
                      </c:pt>
                      <c:pt idx="7">
                        <c:v>0.77835907717044361</c:v>
                      </c:pt>
                      <c:pt idx="8">
                        <c:v>0.80348262971404749</c:v>
                      </c:pt>
                      <c:pt idx="9">
                        <c:v>0.79512672660095851</c:v>
                      </c:pt>
                      <c:pt idx="10">
                        <c:v>0.83654168599223344</c:v>
                      </c:pt>
                      <c:pt idx="11">
                        <c:v>0.795064556025188</c:v>
                      </c:pt>
                    </c:numCache>
                  </c:numRef>
                </c:val>
                <c:smooth val="0"/>
                <c:extLst>
                  <c:ext xmlns:c16="http://schemas.microsoft.com/office/drawing/2014/chart" uri="{C3380CC4-5D6E-409C-BE32-E72D297353CC}">
                    <c16:uniqueId val="{00000004-9002-4264-8412-77AB6F5009B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Operational!$I$68</c15:sqref>
                        </c15:formulaRef>
                      </c:ext>
                    </c:extLst>
                    <c:strCache>
                      <c:ptCount val="1"/>
                      <c:pt idx="0">
                        <c:v>Within City - Margin Profit</c:v>
                      </c:pt>
                    </c:strCache>
                  </c:strRef>
                </c:tx>
                <c:spPr>
                  <a:ln w="28575" cap="rnd">
                    <a:solidFill>
                      <a:schemeClr val="accent3">
                        <a:tint val="56000"/>
                      </a:schemeClr>
                    </a:solidFill>
                    <a:round/>
                  </a:ln>
                  <a:effectLst/>
                </c:spPr>
                <c:marker>
                  <c:symbol val="circle"/>
                  <c:size val="5"/>
                  <c:spPr>
                    <a:solidFill>
                      <a:schemeClr val="accent3">
                        <a:tint val="56000"/>
                      </a:schemeClr>
                    </a:solidFill>
                    <a:ln w="9525">
                      <a:solidFill>
                        <a:schemeClr val="accent3">
                          <a:tint val="56000"/>
                        </a:schemeClr>
                      </a:solidFill>
                    </a:ln>
                    <a:effectLst/>
                  </c:spPr>
                </c:marker>
                <c:dLbls>
                  <c:dLbl>
                    <c:idx val="0"/>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A-9002-4264-8412-77AB6F5009B9}"/>
                      </c:ext>
                    </c:extLst>
                  </c:dLbl>
                  <c:dLbl>
                    <c:idx val="1"/>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B-9002-4264-8412-77AB6F5009B9}"/>
                      </c:ext>
                    </c:extLst>
                  </c:dLbl>
                  <c:dLbl>
                    <c:idx val="2"/>
                    <c:layout>
                      <c:manualLayout>
                        <c:x val="-6.3930890043283489E-17"/>
                        <c:y val="-3.898635477582849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C-9002-4264-8412-77AB6F5009B9}"/>
                      </c:ext>
                    </c:extLst>
                  </c:dLbl>
                  <c:dLbl>
                    <c:idx val="3"/>
                    <c:layout>
                      <c:manualLayout>
                        <c:x val="3.4871797406389473E-3"/>
                        <c:y val="4.6783625730994149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D-9002-4264-8412-77AB6F5009B9}"/>
                      </c:ext>
                    </c:extLst>
                  </c:dLbl>
                  <c:dLbl>
                    <c:idx val="4"/>
                    <c:layout>
                      <c:manualLayout>
                        <c:x val="-1.7435898703194736E-3"/>
                        <c:y val="4.678362573099408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E-9002-4264-8412-77AB6F5009B9}"/>
                      </c:ext>
                    </c:extLst>
                  </c:dLbl>
                  <c:dLbl>
                    <c:idx val="5"/>
                    <c:layout>
                      <c:manualLayout>
                        <c:x val="1.0461539221916843E-2"/>
                        <c:y val="-1.1695906432748574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F-9002-4264-8412-77AB6F5009B9}"/>
                      </c:ext>
                    </c:extLst>
                  </c:dLbl>
                  <c:dLbl>
                    <c:idx val="6"/>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10-9002-4264-8412-77AB6F5009B9}"/>
                      </c:ext>
                    </c:extLst>
                  </c:dLbl>
                  <c:dLbl>
                    <c:idx val="7"/>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11-9002-4264-8412-77AB6F5009B9}"/>
                      </c:ext>
                    </c:extLst>
                  </c:dLbl>
                  <c:dLbl>
                    <c:idx val="8"/>
                    <c:layout>
                      <c:manualLayout>
                        <c:x val="-1.7435898703194736E-3"/>
                        <c:y val="5.0682261208576995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2-9002-4264-8412-77AB6F5009B9}"/>
                      </c:ext>
                    </c:extLst>
                  </c:dLbl>
                  <c:dLbl>
                    <c:idx val="10"/>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13-9002-4264-8412-77AB6F5009B9}"/>
                      </c:ext>
                    </c:extLst>
                  </c:dLbl>
                  <c:dLbl>
                    <c:idx val="11"/>
                    <c:layout>
                      <c:manualLayout>
                        <c:x val="-4.0102567017347893E-2"/>
                        <c:y val="-6.2378167641325574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4-9002-4264-8412-77AB6F5009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Operational!$I$69:$I$81</c15:sqref>
                        </c15:fullRef>
                        <c15:formulaRef>
                          <c15:sqref>Operational!$I$69:$I$80</c15:sqref>
                        </c15:formulaRef>
                      </c:ext>
                    </c:extLst>
                    <c:numCache>
                      <c:formatCode>0.00%</c:formatCode>
                      <c:ptCount val="12"/>
                      <c:pt idx="0">
                        <c:v>0</c:v>
                      </c:pt>
                      <c:pt idx="1">
                        <c:v>0</c:v>
                      </c:pt>
                      <c:pt idx="2">
                        <c:v>0.78755209499054901</c:v>
                      </c:pt>
                      <c:pt idx="3">
                        <c:v>0.74308375976931396</c:v>
                      </c:pt>
                      <c:pt idx="4">
                        <c:v>0.79712636433197204</c:v>
                      </c:pt>
                      <c:pt idx="5">
                        <c:v>0.83897279502385014</c:v>
                      </c:pt>
                      <c:pt idx="6">
                        <c:v>0</c:v>
                      </c:pt>
                      <c:pt idx="7">
                        <c:v>0</c:v>
                      </c:pt>
                      <c:pt idx="8">
                        <c:v>0.79218205653472384</c:v>
                      </c:pt>
                      <c:pt idx="9">
                        <c:v>0.82112578207157616</c:v>
                      </c:pt>
                      <c:pt idx="10">
                        <c:v>0</c:v>
                      </c:pt>
                      <c:pt idx="11">
                        <c:v>0.83743161444889391</c:v>
                      </c:pt>
                    </c:numCache>
                  </c:numRef>
                </c:val>
                <c:smooth val="0"/>
                <c:extLst xmlns:c15="http://schemas.microsoft.com/office/drawing/2012/chart">
                  <c:ext xmlns:c16="http://schemas.microsoft.com/office/drawing/2014/chart" uri="{C3380CC4-5D6E-409C-BE32-E72D297353CC}">
                    <c16:uniqueId val="{00000015-9002-4264-8412-77AB6F5009B9}"/>
                  </c:ext>
                </c:extLst>
              </c15:ser>
            </c15:filteredLineSeries>
          </c:ext>
        </c:extLst>
      </c:lineChart>
      <c:catAx>
        <c:axId val="91964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50175"/>
        <c:crosses val="autoZero"/>
        <c:auto val="1"/>
        <c:lblAlgn val="ctr"/>
        <c:lblOffset val="100"/>
        <c:noMultiLvlLbl val="0"/>
      </c:catAx>
      <c:valAx>
        <c:axId val="91965017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9649759"/>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Revenue</a:t>
                  </a:r>
                  <a:r>
                    <a:rPr lang="en-ID" baseline="0"/>
                    <a:t> (</a:t>
                  </a:r>
                  <a:r>
                    <a:rPr lang="en-ID"/>
                    <a:t>in Millions IDR)</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917845471"/>
        <c:scaling>
          <c:orientation val="minMax"/>
          <c:max val="1"/>
          <c:min val="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7841311"/>
        <c:crosses val="max"/>
        <c:crossBetween val="between"/>
      </c:valAx>
      <c:catAx>
        <c:axId val="917841311"/>
        <c:scaling>
          <c:orientation val="minMax"/>
        </c:scaling>
        <c:delete val="1"/>
        <c:axPos val="b"/>
        <c:numFmt formatCode="General" sourceLinked="1"/>
        <c:majorTickMark val="out"/>
        <c:minorTickMark val="none"/>
        <c:tickLblPos val="nextTo"/>
        <c:crossAx val="917845471"/>
        <c:crosses val="autoZero"/>
        <c:auto val="1"/>
        <c:lblAlgn val="ctr"/>
        <c:lblOffset val="100"/>
        <c:noMultiLvlLbl val="0"/>
      </c:catAx>
      <c:spPr>
        <a:gradFill flip="none" rotWithShape="1">
          <a:gsLst>
            <a:gs pos="100000">
              <a:srgbClr val="8E9879">
                <a:lumMod val="100000"/>
              </a:srgbClr>
            </a:gs>
            <a:gs pos="0">
              <a:schemeClr val="accent3">
                <a:lumMod val="20000"/>
                <a:lumOff val="80000"/>
              </a:schemeClr>
            </a:gs>
          </a:gsLst>
          <a:lin ang="5400000" scaled="1"/>
          <a:tileRect/>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col"/>
        <c:grouping val="stacked"/>
        <c:varyColors val="0"/>
        <c:ser>
          <c:idx val="0"/>
          <c:order val="0"/>
          <c:tx>
            <c:strRef>
              <c:f>Operational!$B$117</c:f>
              <c:strCache>
                <c:ptCount val="1"/>
                <c:pt idx="0">
                  <c:v>Cancelled</c:v>
                </c:pt>
              </c:strCache>
            </c:strRef>
          </c:tx>
          <c:spPr>
            <a:solidFill>
              <a:schemeClr val="accent3">
                <a:shade val="53000"/>
              </a:schemeClr>
            </a:solidFill>
            <a:ln>
              <a:noFill/>
            </a:ln>
            <a:effectLst/>
          </c:spPr>
          <c:invertIfNegative val="0"/>
          <c:cat>
            <c:strRef>
              <c:f>Operational!$A$118:$A$122</c:f>
              <c:strCache>
                <c:ptCount val="5"/>
                <c:pt idx="0">
                  <c:v>Andi</c:v>
                </c:pt>
                <c:pt idx="1">
                  <c:v>Eko</c:v>
                </c:pt>
                <c:pt idx="2">
                  <c:v>Rizal</c:v>
                </c:pt>
                <c:pt idx="3">
                  <c:v>Joko</c:v>
                </c:pt>
                <c:pt idx="4">
                  <c:v>Slamet</c:v>
                </c:pt>
              </c:strCache>
            </c:strRef>
          </c:cat>
          <c:val>
            <c:numRef>
              <c:f>Operational!$B$118:$B$122</c:f>
              <c:numCache>
                <c:formatCode>0</c:formatCode>
                <c:ptCount val="5"/>
                <c:pt idx="0">
                  <c:v>1</c:v>
                </c:pt>
                <c:pt idx="1">
                  <c:v>0</c:v>
                </c:pt>
                <c:pt idx="2">
                  <c:v>1</c:v>
                </c:pt>
                <c:pt idx="3">
                  <c:v>0</c:v>
                </c:pt>
                <c:pt idx="4">
                  <c:v>1</c:v>
                </c:pt>
              </c:numCache>
            </c:numRef>
          </c:val>
          <c:extLst>
            <c:ext xmlns:c16="http://schemas.microsoft.com/office/drawing/2014/chart" uri="{C3380CC4-5D6E-409C-BE32-E72D297353CC}">
              <c16:uniqueId val="{00000000-A505-4134-97D0-EB94AFF2894B}"/>
            </c:ext>
          </c:extLst>
        </c:ser>
        <c:ser>
          <c:idx val="1"/>
          <c:order val="1"/>
          <c:tx>
            <c:strRef>
              <c:f>Operational!$C$117</c:f>
              <c:strCache>
                <c:ptCount val="1"/>
                <c:pt idx="0">
                  <c:v>Late</c:v>
                </c:pt>
              </c:strCache>
            </c:strRef>
          </c:tx>
          <c:spPr>
            <a:solidFill>
              <a:schemeClr val="accent3">
                <a:shade val="76000"/>
              </a:schemeClr>
            </a:solidFill>
            <a:ln>
              <a:noFill/>
            </a:ln>
            <a:effectLst/>
          </c:spPr>
          <c:invertIfNegative val="0"/>
          <c:cat>
            <c:strRef>
              <c:f>Operational!$A$118:$A$122</c:f>
              <c:strCache>
                <c:ptCount val="5"/>
                <c:pt idx="0">
                  <c:v>Andi</c:v>
                </c:pt>
                <c:pt idx="1">
                  <c:v>Eko</c:v>
                </c:pt>
                <c:pt idx="2">
                  <c:v>Rizal</c:v>
                </c:pt>
                <c:pt idx="3">
                  <c:v>Joko</c:v>
                </c:pt>
                <c:pt idx="4">
                  <c:v>Slamet</c:v>
                </c:pt>
              </c:strCache>
            </c:strRef>
          </c:cat>
          <c:val>
            <c:numRef>
              <c:f>Operational!$C$118:$C$122</c:f>
              <c:numCache>
                <c:formatCode>0</c:formatCode>
                <c:ptCount val="5"/>
                <c:pt idx="0">
                  <c:v>7</c:v>
                </c:pt>
                <c:pt idx="1">
                  <c:v>3</c:v>
                </c:pt>
                <c:pt idx="2">
                  <c:v>3</c:v>
                </c:pt>
                <c:pt idx="3">
                  <c:v>4</c:v>
                </c:pt>
                <c:pt idx="4">
                  <c:v>1</c:v>
                </c:pt>
              </c:numCache>
            </c:numRef>
          </c:val>
          <c:extLst>
            <c:ext xmlns:c16="http://schemas.microsoft.com/office/drawing/2014/chart" uri="{C3380CC4-5D6E-409C-BE32-E72D297353CC}">
              <c16:uniqueId val="{00000001-A505-4134-97D0-EB94AFF2894B}"/>
            </c:ext>
          </c:extLst>
        </c:ser>
        <c:ser>
          <c:idx val="2"/>
          <c:order val="2"/>
          <c:tx>
            <c:strRef>
              <c:f>Operational!$D$117</c:f>
              <c:strCache>
                <c:ptCount val="1"/>
                <c:pt idx="0">
                  <c:v>On-time</c:v>
                </c:pt>
              </c:strCache>
            </c:strRef>
          </c:tx>
          <c:spPr>
            <a:solidFill>
              <a:schemeClr val="accent3"/>
            </a:solidFill>
            <a:ln>
              <a:noFill/>
            </a:ln>
            <a:effectLst/>
          </c:spPr>
          <c:invertIfNegative val="0"/>
          <c:cat>
            <c:strRef>
              <c:f>Operational!$A$118:$A$122</c:f>
              <c:strCache>
                <c:ptCount val="5"/>
                <c:pt idx="0">
                  <c:v>Andi</c:v>
                </c:pt>
                <c:pt idx="1">
                  <c:v>Eko</c:v>
                </c:pt>
                <c:pt idx="2">
                  <c:v>Rizal</c:v>
                </c:pt>
                <c:pt idx="3">
                  <c:v>Joko</c:v>
                </c:pt>
                <c:pt idx="4">
                  <c:v>Slamet</c:v>
                </c:pt>
              </c:strCache>
            </c:strRef>
          </c:cat>
          <c:val>
            <c:numRef>
              <c:f>Operational!$D$118:$D$122</c:f>
              <c:numCache>
                <c:formatCode>0</c:formatCode>
                <c:ptCount val="5"/>
                <c:pt idx="0">
                  <c:v>10</c:v>
                </c:pt>
                <c:pt idx="1">
                  <c:v>14</c:v>
                </c:pt>
                <c:pt idx="2">
                  <c:v>12</c:v>
                </c:pt>
                <c:pt idx="3">
                  <c:v>12</c:v>
                </c:pt>
                <c:pt idx="4">
                  <c:v>11</c:v>
                </c:pt>
              </c:numCache>
            </c:numRef>
          </c:val>
          <c:extLst>
            <c:ext xmlns:c16="http://schemas.microsoft.com/office/drawing/2014/chart" uri="{C3380CC4-5D6E-409C-BE32-E72D297353CC}">
              <c16:uniqueId val="{00000002-A505-4134-97D0-EB94AFF2894B}"/>
            </c:ext>
          </c:extLst>
        </c:ser>
        <c:dLbls>
          <c:showLegendKey val="0"/>
          <c:showVal val="0"/>
          <c:showCatName val="0"/>
          <c:showSerName val="0"/>
          <c:showPercent val="0"/>
          <c:showBubbleSize val="0"/>
        </c:dLbls>
        <c:gapWidth val="150"/>
        <c:overlap val="100"/>
        <c:axId val="812995167"/>
        <c:axId val="812997247"/>
        <c:extLst>
          <c:ext xmlns:c15="http://schemas.microsoft.com/office/drawing/2012/chart" uri="{02D57815-91ED-43cb-92C2-25804820EDAC}">
            <c15:filteredBarSeries>
              <c15:ser>
                <c:idx val="3"/>
                <c:order val="3"/>
                <c:tx>
                  <c:strRef>
                    <c:extLst>
                      <c:ext uri="{02D57815-91ED-43cb-92C2-25804820EDAC}">
                        <c15:formulaRef>
                          <c15:sqref>Operational!$E$117</c15:sqref>
                        </c15:formulaRef>
                      </c:ext>
                    </c:extLst>
                    <c:strCache>
                      <c:ptCount val="1"/>
                      <c:pt idx="0">
                        <c:v>Total Contribution</c:v>
                      </c:pt>
                    </c:strCache>
                  </c:strRef>
                </c:tx>
                <c:spPr>
                  <a:solidFill>
                    <a:schemeClr val="accent3">
                      <a:tint val="77000"/>
                    </a:schemeClr>
                  </a:solidFill>
                  <a:ln>
                    <a:noFill/>
                  </a:ln>
                  <a:effectLst/>
                </c:spPr>
                <c:invertIfNegative val="0"/>
                <c:cat>
                  <c:strRef>
                    <c:extLst>
                      <c:ext uri="{02D57815-91ED-43cb-92C2-25804820EDAC}">
                        <c15:formulaRef>
                          <c15:sqref>Operational!$A$118:$A$122</c15:sqref>
                        </c15:formulaRef>
                      </c:ext>
                    </c:extLst>
                    <c:strCache>
                      <c:ptCount val="5"/>
                      <c:pt idx="0">
                        <c:v>Andi</c:v>
                      </c:pt>
                      <c:pt idx="1">
                        <c:v>Eko</c:v>
                      </c:pt>
                      <c:pt idx="2">
                        <c:v>Rizal</c:v>
                      </c:pt>
                      <c:pt idx="3">
                        <c:v>Joko</c:v>
                      </c:pt>
                      <c:pt idx="4">
                        <c:v>Slamet</c:v>
                      </c:pt>
                    </c:strCache>
                  </c:strRef>
                </c:cat>
                <c:val>
                  <c:numRef>
                    <c:extLst>
                      <c:ext uri="{02D57815-91ED-43cb-92C2-25804820EDAC}">
                        <c15:formulaRef>
                          <c15:sqref>Operational!$E$118:$E$122</c15:sqref>
                        </c15:formulaRef>
                      </c:ext>
                    </c:extLst>
                    <c:numCache>
                      <c:formatCode>General</c:formatCode>
                      <c:ptCount val="5"/>
                      <c:pt idx="0">
                        <c:v>18</c:v>
                      </c:pt>
                      <c:pt idx="1">
                        <c:v>17</c:v>
                      </c:pt>
                      <c:pt idx="2">
                        <c:v>16</c:v>
                      </c:pt>
                      <c:pt idx="3">
                        <c:v>16</c:v>
                      </c:pt>
                      <c:pt idx="4">
                        <c:v>13</c:v>
                      </c:pt>
                    </c:numCache>
                  </c:numRef>
                </c:val>
                <c:extLst>
                  <c:ext xmlns:c16="http://schemas.microsoft.com/office/drawing/2014/chart" uri="{C3380CC4-5D6E-409C-BE32-E72D297353CC}">
                    <c16:uniqueId val="{00000004-A505-4134-97D0-EB94AFF2894B}"/>
                  </c:ext>
                </c:extLst>
              </c15:ser>
            </c15:filteredBarSeries>
          </c:ext>
        </c:extLst>
      </c:barChart>
      <c:lineChart>
        <c:grouping val="standard"/>
        <c:varyColors val="0"/>
        <c:ser>
          <c:idx val="4"/>
          <c:order val="4"/>
          <c:tx>
            <c:strRef>
              <c:f>Operational!$F$117</c:f>
              <c:strCache>
                <c:ptCount val="1"/>
                <c:pt idx="0">
                  <c:v>Driver's Performance Rate**</c:v>
                </c:pt>
              </c:strCache>
            </c:strRef>
          </c:tx>
          <c:spPr>
            <a:ln w="28575" cap="rnd">
              <a:noFill/>
              <a:round/>
            </a:ln>
            <a:effectLst/>
          </c:spPr>
          <c:marker>
            <c:symbol val="dash"/>
            <c:size val="30"/>
            <c:spPr>
              <a:solidFill>
                <a:schemeClr val="accent3">
                  <a:tint val="54000"/>
                </a:schemeClr>
              </a:solidFill>
              <a:ln w="9525">
                <a:solidFill>
                  <a:schemeClr val="accent3">
                    <a:tint val="54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icrosoft YaHei UI" panose="020B0503020204020204" pitchFamily="34" charset="-122"/>
                    <a:ea typeface="Microsoft YaHei UI" panose="020B0503020204020204" pitchFamily="34" charset="-122"/>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Operational!$A$118:$A$122</c:f>
              <c:strCache>
                <c:ptCount val="5"/>
                <c:pt idx="0">
                  <c:v>Andi</c:v>
                </c:pt>
                <c:pt idx="1">
                  <c:v>Eko</c:v>
                </c:pt>
                <c:pt idx="2">
                  <c:v>Rizal</c:v>
                </c:pt>
                <c:pt idx="3">
                  <c:v>Joko</c:v>
                </c:pt>
                <c:pt idx="4">
                  <c:v>Slamet</c:v>
                </c:pt>
              </c:strCache>
            </c:strRef>
          </c:cat>
          <c:val>
            <c:numRef>
              <c:f>Operational!$F$118:$F$122</c:f>
              <c:numCache>
                <c:formatCode>0%</c:formatCode>
                <c:ptCount val="5"/>
                <c:pt idx="0">
                  <c:v>0.3611111111111111</c:v>
                </c:pt>
                <c:pt idx="1">
                  <c:v>0.73529411764705888</c:v>
                </c:pt>
                <c:pt idx="2">
                  <c:v>0.65625</c:v>
                </c:pt>
                <c:pt idx="3">
                  <c:v>0.625</c:v>
                </c:pt>
                <c:pt idx="4">
                  <c:v>0.80769230769230771</c:v>
                </c:pt>
              </c:numCache>
            </c:numRef>
          </c:val>
          <c:smooth val="0"/>
          <c:extLst>
            <c:ext xmlns:c16="http://schemas.microsoft.com/office/drawing/2014/chart" uri="{C3380CC4-5D6E-409C-BE32-E72D297353CC}">
              <c16:uniqueId val="{00000003-A505-4134-97D0-EB94AFF2894B}"/>
            </c:ext>
          </c:extLst>
        </c:ser>
        <c:dLbls>
          <c:showLegendKey val="0"/>
          <c:showVal val="0"/>
          <c:showCatName val="0"/>
          <c:showSerName val="0"/>
          <c:showPercent val="0"/>
          <c:showBubbleSize val="0"/>
        </c:dLbls>
        <c:marker val="1"/>
        <c:smooth val="0"/>
        <c:axId val="1259576879"/>
        <c:axId val="1259576047"/>
      </c:lineChart>
      <c:catAx>
        <c:axId val="81299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icrosoft YaHei UI" panose="020B0503020204020204" pitchFamily="34" charset="-122"/>
                <a:ea typeface="Microsoft YaHei UI" panose="020B0503020204020204" pitchFamily="34" charset="-122"/>
                <a:cs typeface="+mn-cs"/>
              </a:defRPr>
            </a:pPr>
            <a:endParaRPr lang="en-US"/>
          </a:p>
        </c:txPr>
        <c:crossAx val="812997247"/>
        <c:crosses val="autoZero"/>
        <c:auto val="1"/>
        <c:lblAlgn val="ctr"/>
        <c:lblOffset val="100"/>
        <c:noMultiLvlLbl val="0"/>
      </c:catAx>
      <c:valAx>
        <c:axId val="812997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995167"/>
        <c:crosses val="autoZero"/>
        <c:crossBetween val="between"/>
      </c:valAx>
      <c:valAx>
        <c:axId val="12595760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576879"/>
        <c:crosses val="max"/>
        <c:crossBetween val="between"/>
      </c:valAx>
      <c:catAx>
        <c:axId val="1259576879"/>
        <c:scaling>
          <c:orientation val="minMax"/>
        </c:scaling>
        <c:delete val="1"/>
        <c:axPos val="b"/>
        <c:numFmt formatCode="General" sourceLinked="1"/>
        <c:majorTickMark val="out"/>
        <c:minorTickMark val="none"/>
        <c:tickLblPos val="nextTo"/>
        <c:crossAx val="1259576047"/>
        <c:crosses val="autoZero"/>
        <c:auto val="1"/>
        <c:lblAlgn val="ctr"/>
        <c:lblOffset val="100"/>
        <c:noMultiLvlLbl val="0"/>
      </c:catAx>
      <c:spPr>
        <a:gradFill flip="none" rotWithShape="1">
          <a:gsLst>
            <a:gs pos="0">
              <a:srgbClr val="8E9879"/>
            </a:gs>
            <a:gs pos="29000">
              <a:srgbClr val="ADBA94"/>
            </a:gs>
            <a:gs pos="75000">
              <a:schemeClr val="accent3">
                <a:lumMod val="20000"/>
                <a:lumOff val="80000"/>
              </a:schemeClr>
            </a:gs>
          </a:gsLst>
          <a:lin ang="16200000" scaled="1"/>
          <a:tileRect/>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(ver2).xlsx]Revenue!pvtSumRevenue</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50000"/>
            </a:schemeClr>
          </a:solidFill>
          <a:ln>
            <a:noFill/>
          </a:ln>
          <a:effectLst/>
        </c:spPr>
      </c:pivotFmt>
      <c:pivotFmt>
        <c:idx val="9"/>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lumMod val="50000"/>
            </a:schemeClr>
          </a:solidFill>
          <a:ln>
            <a:noFill/>
          </a:ln>
          <a:effectLst/>
        </c:spPr>
      </c:pivotFmt>
      <c:pivotFmt>
        <c:idx val="11"/>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lumMod val="50000"/>
            </a:schemeClr>
          </a:solidFill>
          <a:ln>
            <a:noFill/>
          </a:ln>
          <a:effectLst/>
        </c:spPr>
      </c:pivotFmt>
      <c:pivotFmt>
        <c:idx val="13"/>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lumMod val="50000"/>
            </a:schemeClr>
          </a:solidFill>
          <a:ln>
            <a:noFill/>
          </a:ln>
          <a:effectLst/>
        </c:spPr>
      </c:pivotFmt>
      <c:pivotFmt>
        <c:idx val="15"/>
        <c:spPr>
          <a:solidFill>
            <a:srgbClr val="C00000"/>
          </a:solidFill>
          <a:ln>
            <a:noFill/>
          </a:ln>
          <a:effectLst/>
        </c:spPr>
      </c:pivotFmt>
    </c:pivotFmts>
    <c:plotArea>
      <c:layout>
        <c:manualLayout>
          <c:layoutTarget val="inner"/>
          <c:xMode val="edge"/>
          <c:yMode val="edge"/>
          <c:x val="4.2851535240753656E-2"/>
          <c:y val="6.72434617987442E-2"/>
          <c:w val="0.91429776826453379"/>
          <c:h val="0.6914465850587217"/>
        </c:manualLayout>
      </c:layout>
      <c:barChart>
        <c:barDir val="col"/>
        <c:grouping val="clustered"/>
        <c:varyColors val="0"/>
        <c:ser>
          <c:idx val="0"/>
          <c:order val="0"/>
          <c:tx>
            <c:strRef>
              <c:f>Revenue!$I$18</c:f>
              <c:strCache>
                <c:ptCount val="1"/>
                <c:pt idx="0">
                  <c:v>Total</c:v>
                </c:pt>
              </c:strCache>
            </c:strRef>
          </c:tx>
          <c:spPr>
            <a:solidFill>
              <a:schemeClr val="accent3">
                <a:lumMod val="50000"/>
              </a:schemeClr>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4-3636-495A-B918-4466348425C6}"/>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01-3636-495A-B918-4466348425C6}"/>
              </c:ext>
            </c:extLst>
          </c:dPt>
          <c:cat>
            <c:strRef>
              <c:f>Revenue!$H$19:$H$31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Revenue!$I$19:$I$31</c:f>
              <c:numCache>
                <c:formatCode>_-* #,##0_-;\-* #,##0_-;_-* "-"??_-;_-@_-</c:formatCode>
                <c:ptCount val="12"/>
                <c:pt idx="0">
                  <c:v>7878270</c:v>
                </c:pt>
                <c:pt idx="1">
                  <c:v>3109293</c:v>
                </c:pt>
                <c:pt idx="2">
                  <c:v>9379318</c:v>
                </c:pt>
                <c:pt idx="3">
                  <c:v>5318603</c:v>
                </c:pt>
                <c:pt idx="4">
                  <c:v>11934171</c:v>
                </c:pt>
                <c:pt idx="5">
                  <c:v>11596475</c:v>
                </c:pt>
                <c:pt idx="6">
                  <c:v>7221755</c:v>
                </c:pt>
                <c:pt idx="7">
                  <c:v>5764098</c:v>
                </c:pt>
                <c:pt idx="8">
                  <c:v>8804441</c:v>
                </c:pt>
                <c:pt idx="9">
                  <c:v>12409735</c:v>
                </c:pt>
                <c:pt idx="10">
                  <c:v>6211547</c:v>
                </c:pt>
                <c:pt idx="11">
                  <c:v>9988944</c:v>
                </c:pt>
              </c:numCache>
            </c:numRef>
          </c:val>
          <c:extLst>
            <c:ext xmlns:c16="http://schemas.microsoft.com/office/drawing/2014/chart" uri="{C3380CC4-5D6E-409C-BE32-E72D297353CC}">
              <c16:uniqueId val="{00000002-3636-495A-B918-4466348425C6}"/>
            </c:ext>
          </c:extLst>
        </c:ser>
        <c:dLbls>
          <c:showLegendKey val="0"/>
          <c:showVal val="0"/>
          <c:showCatName val="0"/>
          <c:showSerName val="0"/>
          <c:showPercent val="0"/>
          <c:showBubbleSize val="0"/>
        </c:dLbls>
        <c:gapWidth val="59"/>
        <c:overlap val="100"/>
        <c:axId val="317026351"/>
        <c:axId val="317028015"/>
      </c:barChart>
      <c:catAx>
        <c:axId val="317026351"/>
        <c:scaling>
          <c:orientation val="minMax"/>
        </c:scaling>
        <c:delete val="1"/>
        <c:axPos val="b"/>
        <c:numFmt formatCode="General" sourceLinked="1"/>
        <c:majorTickMark val="none"/>
        <c:minorTickMark val="none"/>
        <c:tickLblPos val="nextTo"/>
        <c:crossAx val="317028015"/>
        <c:crosses val="autoZero"/>
        <c:auto val="1"/>
        <c:lblAlgn val="ctr"/>
        <c:lblOffset val="100"/>
        <c:noMultiLvlLbl val="0"/>
      </c:catAx>
      <c:valAx>
        <c:axId val="317028015"/>
        <c:scaling>
          <c:orientation val="minMax"/>
        </c:scaling>
        <c:delete val="1"/>
        <c:axPos val="l"/>
        <c:numFmt formatCode="_-* #,##0_-;\-* #,##0_-;_-* &quot;-&quot;??_-;_-@_-" sourceLinked="1"/>
        <c:majorTickMark val="none"/>
        <c:minorTickMark val="none"/>
        <c:tickLblPos val="nextTo"/>
        <c:crossAx val="317026351"/>
        <c:crosses val="autoZero"/>
        <c:crossBetween val="between"/>
      </c:valAx>
      <c:spPr>
        <a:gradFill>
          <a:gsLst>
            <a:gs pos="0">
              <a:schemeClr val="accent3">
                <a:lumMod val="20000"/>
                <a:lumOff val="80000"/>
              </a:schemeClr>
            </a:gs>
            <a:gs pos="85000">
              <a:srgbClr val="ADBA94"/>
            </a:gs>
            <a:gs pos="100000">
              <a:srgbClr val="8E9879"/>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accent3">
                  <a:lumMod val="20000"/>
                  <a:lumOff val="80000"/>
                </a:schemeClr>
              </a:solidFill>
            </a:ln>
          </c:spPr>
          <c:dPt>
            <c:idx val="0"/>
            <c:bubble3D val="0"/>
            <c:spPr>
              <a:gradFill flip="none" rotWithShape="1">
                <a:gsLst>
                  <a:gs pos="0">
                    <a:srgbClr val="8E9879">
                      <a:shade val="30000"/>
                      <a:satMod val="115000"/>
                    </a:srgbClr>
                  </a:gs>
                  <a:gs pos="50000">
                    <a:srgbClr val="8E9879">
                      <a:shade val="67500"/>
                      <a:satMod val="115000"/>
                    </a:srgbClr>
                  </a:gs>
                  <a:gs pos="100000">
                    <a:srgbClr val="8E9879">
                      <a:shade val="100000"/>
                      <a:satMod val="115000"/>
                    </a:srgbClr>
                  </a:gs>
                </a:gsLst>
                <a:lin ang="18900000" scaled="1"/>
                <a:tileRect/>
              </a:gradFill>
              <a:ln w="25400" cmpd="sng">
                <a:solidFill>
                  <a:schemeClr val="accent3">
                    <a:lumMod val="50000"/>
                  </a:schemeClr>
                </a:solidFill>
                <a:prstDash val="dash"/>
              </a:ln>
              <a:effectLst/>
            </c:spPr>
            <c:extLst>
              <c:ext xmlns:c16="http://schemas.microsoft.com/office/drawing/2014/chart" uri="{C3380CC4-5D6E-409C-BE32-E72D297353CC}">
                <c16:uniqueId val="{00000001-17A1-4E8C-B35A-EF4EBC0C7D1C}"/>
              </c:ext>
            </c:extLst>
          </c:dPt>
          <c:dPt>
            <c:idx val="1"/>
            <c:bubble3D val="0"/>
            <c:spPr>
              <a:gradFill flip="none" rotWithShape="1">
                <a:gsLst>
                  <a:gs pos="0">
                    <a:srgbClr val="ADBA94">
                      <a:shade val="30000"/>
                      <a:satMod val="115000"/>
                    </a:srgbClr>
                  </a:gs>
                  <a:gs pos="50000">
                    <a:srgbClr val="ADBA94">
                      <a:shade val="67500"/>
                      <a:satMod val="115000"/>
                    </a:srgbClr>
                  </a:gs>
                  <a:gs pos="100000">
                    <a:srgbClr val="ADBA94">
                      <a:shade val="100000"/>
                      <a:satMod val="115000"/>
                    </a:srgbClr>
                  </a:gs>
                </a:gsLst>
                <a:lin ang="13500000" scaled="1"/>
                <a:tileRect/>
              </a:gradFill>
              <a:ln w="19050">
                <a:solidFill>
                  <a:schemeClr val="accent3">
                    <a:lumMod val="20000"/>
                    <a:lumOff val="80000"/>
                  </a:schemeClr>
                </a:solidFill>
              </a:ln>
              <a:effectLst/>
            </c:spPr>
            <c:extLst>
              <c:ext xmlns:c16="http://schemas.microsoft.com/office/drawing/2014/chart" uri="{C3380CC4-5D6E-409C-BE32-E72D297353CC}">
                <c16:uniqueId val="{00000003-17A1-4E8C-B35A-EF4EBC0C7D1C}"/>
              </c:ext>
            </c:extLst>
          </c:dPt>
          <c:dPt>
            <c:idx val="2"/>
            <c:bubble3D val="0"/>
            <c:spPr>
              <a:noFill/>
              <a:ln w="19050">
                <a:noFill/>
              </a:ln>
              <a:effectLst/>
            </c:spPr>
            <c:extLst>
              <c:ext xmlns:c16="http://schemas.microsoft.com/office/drawing/2014/chart" uri="{C3380CC4-5D6E-409C-BE32-E72D297353CC}">
                <c16:uniqueId val="{00000007-E0C7-4DD2-B3D0-BB65A6DA54D2}"/>
              </c:ext>
            </c:extLst>
          </c:dPt>
          <c:cat>
            <c:strRef>
              <c:extLst>
                <c:ext xmlns:c15="http://schemas.microsoft.com/office/drawing/2012/chart" uri="{02D57815-91ED-43cb-92C2-25804820EDAC}">
                  <c15:fullRef>
                    <c15:sqref>'Service Level'!$D$16:$I$16</c15:sqref>
                  </c15:fullRef>
                </c:ext>
              </c:extLst>
              <c:f>('Service Level'!$D$16,'Service Level'!$F$16,'Service Level'!$I$16)</c:f>
              <c:strCache>
                <c:ptCount val="3"/>
                <c:pt idx="0">
                  <c:v>On-time</c:v>
                </c:pt>
                <c:pt idx="1">
                  <c:v>Rest</c:v>
                </c:pt>
                <c:pt idx="2">
                  <c:v>Total</c:v>
                </c:pt>
              </c:strCache>
            </c:strRef>
          </c:cat>
          <c:val>
            <c:numRef>
              <c:extLst>
                <c:ext xmlns:c15="http://schemas.microsoft.com/office/drawing/2012/chart" uri="{02D57815-91ED-43cb-92C2-25804820EDAC}">
                  <c15:fullRef>
                    <c15:sqref>'Service Level'!$D$29:$I$29</c15:sqref>
                  </c15:fullRef>
                </c:ext>
              </c:extLst>
              <c:f>('Service Level'!$D$29,'Service Level'!$F$29,'Service Level'!$I$29)</c:f>
              <c:numCache>
                <c:formatCode>General</c:formatCode>
                <c:ptCount val="3"/>
                <c:pt idx="0" formatCode="0%">
                  <c:v>0.74775132275132272</c:v>
                </c:pt>
                <c:pt idx="1" formatCode="0.00%">
                  <c:v>0.25224867724867728</c:v>
                </c:pt>
                <c:pt idx="2" formatCode="0.00%">
                  <c:v>1</c:v>
                </c:pt>
              </c:numCache>
            </c:numRef>
          </c:val>
          <c:extLst>
            <c:ext xmlns:c15="http://schemas.microsoft.com/office/drawing/2012/chart" uri="{02D57815-91ED-43cb-92C2-25804820EDAC}">
              <c15:categoryFilterExceptions>
                <c15:categoryFilterException>
                  <c15:sqref>'Service Level'!$G$29</c15:sqref>
                  <c15:spPr xmlns:c15="http://schemas.microsoft.com/office/drawing/2012/chart">
                    <a:noFill/>
                    <a:ln w="19050">
                      <a:noFill/>
                    </a:ln>
                    <a:effectLst/>
                  </c15:spPr>
                  <c15:bubble3D val="0"/>
                </c15:categoryFilterException>
              </c15:categoryFilterExceptions>
            </c:ext>
            <c:ext xmlns:c16="http://schemas.microsoft.com/office/drawing/2014/chart" uri="{C3380CC4-5D6E-409C-BE32-E72D297353CC}">
              <c16:uniqueId val="{00000006-17A1-4E8C-B35A-EF4EBC0C7D1C}"/>
            </c:ext>
          </c:extLst>
        </c:ser>
        <c:dLbls>
          <c:showLegendKey val="0"/>
          <c:showVal val="0"/>
          <c:showCatName val="0"/>
          <c:showSerName val="0"/>
          <c:showPercent val="0"/>
          <c:showBubbleSize val="0"/>
          <c:showLeaderLines val="1"/>
        </c:dLbls>
        <c:firstSliceAng val="27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'Service Level'!$E$16</c:f>
              <c:strCache>
                <c:ptCount val="1"/>
                <c:pt idx="0">
                  <c:v>Total Order</c:v>
                </c:pt>
              </c:strCache>
            </c:strRef>
          </c:tx>
          <c:spPr>
            <a:solidFill>
              <a:schemeClr val="accent3">
                <a:lumMod val="50000"/>
              </a:schemeClr>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7-C1F4-44D8-82D8-79A308CA53A6}"/>
              </c:ext>
            </c:extLst>
          </c:dPt>
          <c:dLbls>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F4-44D8-82D8-79A308CA5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'Service Level'!$A$17:$A$29</c15:sqref>
                  </c15:fullRef>
                </c:ext>
              </c:extLst>
              <c:f>'Service Level'!$A$17:$A$28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'Service Level'!$E$17:$E$29</c15:sqref>
                  </c15:fullRef>
                </c:ext>
              </c:extLst>
              <c:f>'Service Level'!$E$17:$E$28</c:f>
              <c:numCache>
                <c:formatCode>General</c:formatCode>
                <c:ptCount val="12"/>
                <c:pt idx="0">
                  <c:v>10</c:v>
                </c:pt>
                <c:pt idx="1">
                  <c:v>4</c:v>
                </c:pt>
                <c:pt idx="2">
                  <c:v>10</c:v>
                </c:pt>
                <c:pt idx="3">
                  <c:v>6</c:v>
                </c:pt>
                <c:pt idx="4">
                  <c:v>12</c:v>
                </c:pt>
                <c:pt idx="5">
                  <c:v>9</c:v>
                </c:pt>
                <c:pt idx="6">
                  <c:v>7</c:v>
                </c:pt>
                <c:pt idx="7">
                  <c:v>7</c:v>
                </c:pt>
                <c:pt idx="8">
                  <c:v>9</c:v>
                </c:pt>
                <c:pt idx="9">
                  <c:v>12</c:v>
                </c:pt>
                <c:pt idx="10">
                  <c:v>5</c:v>
                </c:pt>
                <c:pt idx="11">
                  <c:v>9</c:v>
                </c:pt>
              </c:numCache>
            </c:numRef>
          </c:val>
          <c:extLst>
            <c:ext xmlns:c16="http://schemas.microsoft.com/office/drawing/2014/chart" uri="{C3380CC4-5D6E-409C-BE32-E72D297353CC}">
              <c16:uniqueId val="{00000000-C1F4-44D8-82D8-79A308CA53A6}"/>
            </c:ext>
          </c:extLst>
        </c:ser>
        <c:dLbls>
          <c:showLegendKey val="0"/>
          <c:showVal val="0"/>
          <c:showCatName val="0"/>
          <c:showSerName val="0"/>
          <c:showPercent val="0"/>
          <c:showBubbleSize val="0"/>
        </c:dLbls>
        <c:gapWidth val="25"/>
        <c:axId val="1084798704"/>
        <c:axId val="1084791632"/>
      </c:barChart>
      <c:lineChart>
        <c:grouping val="standard"/>
        <c:varyColors val="0"/>
        <c:ser>
          <c:idx val="0"/>
          <c:order val="0"/>
          <c:tx>
            <c:strRef>
              <c:f>'Service Level'!$B$16</c:f>
              <c:strCache>
                <c:ptCount val="1"/>
                <c:pt idx="0">
                  <c:v>Cancelled</c:v>
                </c:pt>
              </c:strCache>
            </c:strRef>
          </c:tx>
          <c:spPr>
            <a:ln w="28575" cap="rnd">
              <a:solidFill>
                <a:schemeClr val="accent1">
                  <a:lumMod val="75000"/>
                </a:schemeClr>
              </a:solidFill>
              <a:prstDash val="sysDot"/>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'Service Level'!$A$17:$A$29</c15:sqref>
                  </c15:fullRef>
                </c:ext>
              </c:extLst>
              <c:f>'Service Level'!$A$17:$A$28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'Service Level'!$B$17:$B$29</c15:sqref>
                  </c15:fullRef>
                </c:ext>
              </c:extLst>
              <c:f>'Service Level'!$B$17:$B$28</c:f>
              <c:numCache>
                <c:formatCode>0%</c:formatCode>
                <c:ptCount val="12"/>
                <c:pt idx="0">
                  <c:v>0</c:v>
                </c:pt>
                <c:pt idx="1">
                  <c:v>0</c:v>
                </c:pt>
                <c:pt idx="2">
                  <c:v>0</c:v>
                </c:pt>
                <c:pt idx="3">
                  <c:v>0</c:v>
                </c:pt>
                <c:pt idx="4">
                  <c:v>0.16666666666666666</c:v>
                </c:pt>
                <c:pt idx="5">
                  <c:v>0</c:v>
                </c:pt>
                <c:pt idx="6">
                  <c:v>0</c:v>
                </c:pt>
                <c:pt idx="7">
                  <c:v>0.14285714285714285</c:v>
                </c:pt>
                <c:pt idx="8">
                  <c:v>0.1111111111111111</c:v>
                </c:pt>
                <c:pt idx="9">
                  <c:v>0</c:v>
                </c:pt>
                <c:pt idx="10">
                  <c:v>0</c:v>
                </c:pt>
                <c:pt idx="11">
                  <c:v>0</c:v>
                </c:pt>
              </c:numCache>
            </c:numRef>
          </c:val>
          <c:smooth val="0"/>
          <c:extLst>
            <c:ext xmlns:c16="http://schemas.microsoft.com/office/drawing/2014/chart" uri="{C3380CC4-5D6E-409C-BE32-E72D297353CC}">
              <c16:uniqueId val="{00000002-C1F4-44D8-82D8-79A308CA53A6}"/>
            </c:ext>
          </c:extLst>
        </c:ser>
        <c:ser>
          <c:idx val="1"/>
          <c:order val="1"/>
          <c:tx>
            <c:strRef>
              <c:f>'Service Level'!$C$16</c:f>
              <c:strCache>
                <c:ptCount val="1"/>
                <c:pt idx="0">
                  <c:v>Late</c:v>
                </c:pt>
              </c:strCache>
            </c:strRef>
          </c:tx>
          <c:spPr>
            <a:ln w="28575" cap="rnd">
              <a:solidFill>
                <a:srgbClr val="C00000"/>
              </a:solidFill>
              <a:prstDash val="sysDot"/>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'Service Level'!$A$17:$A$29</c15:sqref>
                  </c15:fullRef>
                </c:ext>
              </c:extLst>
              <c:f>'Service Level'!$A$17:$A$28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'Service Level'!$C$17:$C$29</c15:sqref>
                  </c15:fullRef>
                </c:ext>
              </c:extLst>
              <c:f>'Service Level'!$C$17:$C$28</c:f>
              <c:numCache>
                <c:formatCode>0%</c:formatCode>
                <c:ptCount val="12"/>
                <c:pt idx="0">
                  <c:v>0.3</c:v>
                </c:pt>
                <c:pt idx="1">
                  <c:v>0</c:v>
                </c:pt>
                <c:pt idx="2">
                  <c:v>0.2</c:v>
                </c:pt>
                <c:pt idx="3">
                  <c:v>0.33333333333333331</c:v>
                </c:pt>
                <c:pt idx="4">
                  <c:v>0</c:v>
                </c:pt>
                <c:pt idx="5">
                  <c:v>0.22222222222222221</c:v>
                </c:pt>
                <c:pt idx="6">
                  <c:v>0.2857142857142857</c:v>
                </c:pt>
                <c:pt idx="7">
                  <c:v>0.14285714285714285</c:v>
                </c:pt>
                <c:pt idx="8">
                  <c:v>0.22222222222222221</c:v>
                </c:pt>
                <c:pt idx="9">
                  <c:v>0.16666666666666666</c:v>
                </c:pt>
                <c:pt idx="10">
                  <c:v>0.4</c:v>
                </c:pt>
                <c:pt idx="11">
                  <c:v>0.33333333333333331</c:v>
                </c:pt>
              </c:numCache>
            </c:numRef>
          </c:val>
          <c:smooth val="0"/>
          <c:extLst>
            <c:ext xmlns:c16="http://schemas.microsoft.com/office/drawing/2014/chart" uri="{C3380CC4-5D6E-409C-BE32-E72D297353CC}">
              <c16:uniqueId val="{00000003-C1F4-44D8-82D8-79A308CA53A6}"/>
            </c:ext>
          </c:extLst>
        </c:ser>
        <c:ser>
          <c:idx val="2"/>
          <c:order val="2"/>
          <c:tx>
            <c:strRef>
              <c:f>'Service Level'!$D$16</c:f>
              <c:strCache>
                <c:ptCount val="1"/>
                <c:pt idx="0">
                  <c:v>On-time</c:v>
                </c:pt>
              </c:strCache>
            </c:strRef>
          </c:tx>
          <c:spPr>
            <a:ln w="28575" cap="rnd">
              <a:solidFill>
                <a:schemeClr val="accent3">
                  <a:lumMod val="75000"/>
                </a:schemeClr>
              </a:solidFill>
              <a:prstDash val="sysDot"/>
              <a:round/>
              <a:tailEnd type="none"/>
            </a:ln>
            <a:effectLst/>
          </c:spPr>
          <c:marker>
            <c:symbol val="circle"/>
            <c:size val="5"/>
            <c:spPr>
              <a:solidFill>
                <a:schemeClr val="accent3">
                  <a:lumMod val="75000"/>
                </a:schemeClr>
              </a:solidFill>
              <a:ln w="9525">
                <a:noFill/>
              </a:ln>
              <a:effectLst/>
            </c:spPr>
          </c:marker>
          <c:cat>
            <c:strRef>
              <c:extLst>
                <c:ext xmlns:c15="http://schemas.microsoft.com/office/drawing/2012/chart" uri="{02D57815-91ED-43cb-92C2-25804820EDAC}">
                  <c15:fullRef>
                    <c15:sqref>'Service Level'!$A$17:$A$29</c15:sqref>
                  </c15:fullRef>
                </c:ext>
              </c:extLst>
              <c:f>'Service Level'!$A$17:$A$28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'Service Level'!$D$17:$D$29</c15:sqref>
                  </c15:fullRef>
                </c:ext>
              </c:extLst>
              <c:f>'Service Level'!$D$17:$D$28</c:f>
              <c:numCache>
                <c:formatCode>0%</c:formatCode>
                <c:ptCount val="12"/>
                <c:pt idx="0">
                  <c:v>0.7</c:v>
                </c:pt>
                <c:pt idx="1">
                  <c:v>1</c:v>
                </c:pt>
                <c:pt idx="2">
                  <c:v>0.8</c:v>
                </c:pt>
                <c:pt idx="3">
                  <c:v>0.66666666666666663</c:v>
                </c:pt>
                <c:pt idx="4">
                  <c:v>0.83333333333333337</c:v>
                </c:pt>
                <c:pt idx="5">
                  <c:v>0.77777777777777779</c:v>
                </c:pt>
                <c:pt idx="6">
                  <c:v>0.7142857142857143</c:v>
                </c:pt>
                <c:pt idx="7">
                  <c:v>0.7142857142857143</c:v>
                </c:pt>
                <c:pt idx="8">
                  <c:v>0.66666666666666663</c:v>
                </c:pt>
                <c:pt idx="9">
                  <c:v>0.83333333333333337</c:v>
                </c:pt>
                <c:pt idx="10">
                  <c:v>0.6</c:v>
                </c:pt>
                <c:pt idx="11">
                  <c:v>0.66666666666666663</c:v>
                </c:pt>
              </c:numCache>
            </c:numRef>
          </c:val>
          <c:smooth val="0"/>
          <c:extLst>
            <c:ext xmlns:c16="http://schemas.microsoft.com/office/drawing/2014/chart" uri="{C3380CC4-5D6E-409C-BE32-E72D297353CC}">
              <c16:uniqueId val="{00000001-C1F4-44D8-82D8-79A308CA53A6}"/>
            </c:ext>
          </c:extLst>
        </c:ser>
        <c:dLbls>
          <c:showLegendKey val="0"/>
          <c:showVal val="0"/>
          <c:showCatName val="0"/>
          <c:showSerName val="0"/>
          <c:showPercent val="0"/>
          <c:showBubbleSize val="0"/>
        </c:dLbls>
        <c:marker val="1"/>
        <c:smooth val="0"/>
        <c:axId val="1108610720"/>
        <c:axId val="1108609472"/>
      </c:lineChart>
      <c:catAx>
        <c:axId val="108479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791632"/>
        <c:crosses val="autoZero"/>
        <c:auto val="1"/>
        <c:lblAlgn val="ctr"/>
        <c:lblOffset val="100"/>
        <c:noMultiLvlLbl val="0"/>
      </c:catAx>
      <c:valAx>
        <c:axId val="108479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sz="700">
                    <a:latin typeface="Microsoft YaHei UI" panose="020B0503020204020204" pitchFamily="34" charset="-122"/>
                    <a:ea typeface="Microsoft YaHei UI" panose="020B0503020204020204" pitchFamily="34" charset="-122"/>
                  </a:rPr>
                  <a:t>Sum of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798704"/>
        <c:crosses val="autoZero"/>
        <c:crossBetween val="between"/>
      </c:valAx>
      <c:valAx>
        <c:axId val="1108609472"/>
        <c:scaling>
          <c:orientation val="minMax"/>
          <c:max val="1"/>
        </c:scaling>
        <c:delete val="0"/>
        <c:axPos val="r"/>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ID" sz="700">
                    <a:latin typeface="Microsoft YaHei UI" panose="020B0503020204020204" pitchFamily="34" charset="-122"/>
                    <a:ea typeface="Microsoft YaHei UI" panose="020B0503020204020204" pitchFamily="34" charset="-122"/>
                  </a:rPr>
                  <a:t>Status</a:t>
                </a:r>
                <a:r>
                  <a:rPr lang="en-ID" sz="700" baseline="0">
                    <a:latin typeface="Microsoft YaHei UI" panose="020B0503020204020204" pitchFamily="34" charset="-122"/>
                    <a:ea typeface="Microsoft YaHei UI" panose="020B0503020204020204" pitchFamily="34" charset="-122"/>
                  </a:rPr>
                  <a:t> Rate (%)</a:t>
                </a:r>
                <a:endParaRPr lang="en-ID" sz="700">
                  <a:latin typeface="Microsoft YaHei UI" panose="020B0503020204020204" pitchFamily="34" charset="-122"/>
                  <a:ea typeface="Microsoft YaHei UI" panose="020B0503020204020204" pitchFamily="34" charset="-122"/>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610720"/>
        <c:crosses val="max"/>
        <c:crossBetween val="between"/>
      </c:valAx>
      <c:catAx>
        <c:axId val="1108610720"/>
        <c:scaling>
          <c:orientation val="minMax"/>
        </c:scaling>
        <c:delete val="1"/>
        <c:axPos val="b"/>
        <c:numFmt formatCode="General" sourceLinked="1"/>
        <c:majorTickMark val="out"/>
        <c:minorTickMark val="none"/>
        <c:tickLblPos val="nextTo"/>
        <c:crossAx val="1108609472"/>
        <c:crosses val="autoZero"/>
        <c:auto val="1"/>
        <c:lblAlgn val="ctr"/>
        <c:lblOffset val="100"/>
        <c:noMultiLvlLbl val="0"/>
      </c:catAx>
      <c:spPr>
        <a:gradFill>
          <a:gsLst>
            <a:gs pos="100000">
              <a:srgbClr val="8E9879"/>
            </a:gs>
            <a:gs pos="0">
              <a:schemeClr val="accent3">
                <a:lumMod val="20000"/>
                <a:lumOff val="80000"/>
              </a:schemeClr>
            </a:gs>
          </a:gsLst>
          <a:lin ang="5400000" scaled="1"/>
        </a:gradFill>
        <a:ln>
          <a:noFill/>
        </a:ln>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icrosoft YaHei UI" panose="020B0503020204020204" pitchFamily="34" charset="-122"/>
              <a:ea typeface="Microsoft YaHei UI" panose="020B0503020204020204" pitchFamily="34" charset="-122"/>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'Service Level'!$C$16</c:f>
              <c:strCache>
                <c:ptCount val="1"/>
                <c:pt idx="0">
                  <c:v>Late</c:v>
                </c:pt>
              </c:strCache>
            </c:strRef>
          </c:tx>
          <c:spPr>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lin ang="10800000" scaled="1"/>
              <a:tileRect/>
            </a:gradFill>
            <a:ln w="12700">
              <a:solidFill>
                <a:schemeClr val="accent2">
                  <a:lumMod val="75000"/>
                </a:schemeClr>
              </a:solidFill>
              <a:prstDash val="sysDash"/>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'Service Level'!$C$29</c:f>
              <c:numCache>
                <c:formatCode>0%</c:formatCode>
                <c:ptCount val="1"/>
                <c:pt idx="0">
                  <c:v>0.21719576719576719</c:v>
                </c:pt>
              </c:numCache>
            </c:numRef>
          </c:val>
          <c:extLst>
            <c:ext xmlns:c16="http://schemas.microsoft.com/office/drawing/2014/chart" uri="{C3380CC4-5D6E-409C-BE32-E72D297353CC}">
              <c16:uniqueId val="{00000000-DC74-4E7A-AD1C-DC365C3DC907}"/>
            </c:ext>
          </c:extLst>
        </c:ser>
        <c:ser>
          <c:idx val="1"/>
          <c:order val="1"/>
          <c:tx>
            <c:strRef>
              <c:f>'Service Level'!$G$16</c:f>
              <c:strCache>
                <c:ptCount val="1"/>
                <c:pt idx="0">
                  <c:v>Rest2</c:v>
                </c:pt>
              </c:strCache>
            </c:strRef>
          </c:tx>
          <c:spPr>
            <a:gradFill flip="none" rotWithShape="1">
              <a:gsLst>
                <a:gs pos="0">
                  <a:srgbClr val="ADBA94">
                    <a:shade val="30000"/>
                    <a:satMod val="115000"/>
                  </a:srgbClr>
                </a:gs>
                <a:gs pos="50000">
                  <a:srgbClr val="ADBA94">
                    <a:shade val="67500"/>
                    <a:satMod val="115000"/>
                  </a:srgbClr>
                </a:gs>
                <a:gs pos="100000">
                  <a:srgbClr val="ADBA94">
                    <a:shade val="100000"/>
                    <a:satMod val="115000"/>
                  </a:srgbClr>
                </a:gs>
              </a:gsLst>
              <a:lin ang="10800000" scaled="1"/>
              <a:tileRect/>
            </a:gradFill>
            <a:ln>
              <a:noFill/>
            </a:ln>
            <a:effectLst/>
          </c:spPr>
          <c:invertIfNegative val="0"/>
          <c:dPt>
            <c:idx val="0"/>
            <c:invertIfNegative val="0"/>
            <c:bubble3D val="0"/>
            <c:spPr>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10800000" scaled="1"/>
                <a:tileRect/>
              </a:gradFill>
              <a:ln>
                <a:noFill/>
              </a:ln>
              <a:effectLst/>
            </c:spPr>
            <c:extLst>
              <c:ext xmlns:c16="http://schemas.microsoft.com/office/drawing/2014/chart" uri="{C3380CC4-5D6E-409C-BE32-E72D297353CC}">
                <c16:uniqueId val="{00000004-DC74-4E7A-AD1C-DC365C3DC907}"/>
              </c:ext>
            </c:extLst>
          </c:dPt>
          <c:val>
            <c:numRef>
              <c:f>'Service Level'!$G$29</c:f>
              <c:numCache>
                <c:formatCode>0.00%</c:formatCode>
                <c:ptCount val="1"/>
                <c:pt idx="0">
                  <c:v>0.78280423280423284</c:v>
                </c:pt>
              </c:numCache>
            </c:numRef>
          </c:val>
          <c:extLst>
            <c:ext xmlns:c16="http://schemas.microsoft.com/office/drawing/2014/chart" uri="{C3380CC4-5D6E-409C-BE32-E72D297353CC}">
              <c16:uniqueId val="{00000001-DC74-4E7A-AD1C-DC365C3DC907}"/>
            </c:ext>
          </c:extLst>
        </c:ser>
        <c:dLbls>
          <c:showLegendKey val="0"/>
          <c:showVal val="0"/>
          <c:showCatName val="0"/>
          <c:showSerName val="0"/>
          <c:showPercent val="0"/>
          <c:showBubbleSize val="0"/>
        </c:dLbls>
        <c:gapWidth val="150"/>
        <c:overlap val="100"/>
        <c:axId val="1216366383"/>
        <c:axId val="1216367631"/>
        <c:extLst>
          <c:ext xmlns:c15="http://schemas.microsoft.com/office/drawing/2012/chart" uri="{02D57815-91ED-43cb-92C2-25804820EDAC}">
            <c15:filteredBarSeries>
              <c15:ser>
                <c:idx val="2"/>
                <c:order val="2"/>
                <c:tx>
                  <c:strRef>
                    <c:extLst>
                      <c:ext uri="{02D57815-91ED-43cb-92C2-25804820EDAC}">
                        <c15:formulaRef>
                          <c15:sqref>'Service Level'!$I$16</c15:sqref>
                        </c15:formulaRef>
                      </c:ext>
                    </c:extLst>
                    <c:strCache>
                      <c:ptCount val="1"/>
                      <c:pt idx="0">
                        <c:v>Total</c:v>
                      </c:pt>
                    </c:strCache>
                  </c:strRef>
                </c:tx>
                <c:spPr>
                  <a:solidFill>
                    <a:schemeClr val="accent3"/>
                  </a:solidFill>
                  <a:ln>
                    <a:noFill/>
                  </a:ln>
                  <a:effectLst/>
                </c:spPr>
                <c:invertIfNegative val="0"/>
                <c:val>
                  <c:numRef>
                    <c:extLst>
                      <c:ext uri="{02D57815-91ED-43cb-92C2-25804820EDAC}">
                        <c15:formulaRef>
                          <c15:sqref>'Service Level'!$I$29</c15:sqref>
                        </c15:formulaRef>
                      </c:ext>
                    </c:extLst>
                    <c:numCache>
                      <c:formatCode>0.00%</c:formatCode>
                      <c:ptCount val="1"/>
                      <c:pt idx="0">
                        <c:v>1</c:v>
                      </c:pt>
                    </c:numCache>
                  </c:numRef>
                </c:val>
                <c:extLst>
                  <c:ext xmlns:c16="http://schemas.microsoft.com/office/drawing/2014/chart" uri="{C3380CC4-5D6E-409C-BE32-E72D297353CC}">
                    <c16:uniqueId val="{00000002-DC74-4E7A-AD1C-DC365C3DC907}"/>
                  </c:ext>
                </c:extLst>
              </c15:ser>
            </c15:filteredBarSeries>
          </c:ext>
        </c:extLst>
      </c:barChart>
      <c:catAx>
        <c:axId val="1216366383"/>
        <c:scaling>
          <c:orientation val="minMax"/>
        </c:scaling>
        <c:delete val="1"/>
        <c:axPos val="l"/>
        <c:majorTickMark val="none"/>
        <c:minorTickMark val="none"/>
        <c:tickLblPos val="nextTo"/>
        <c:crossAx val="1216367631"/>
        <c:crosses val="autoZero"/>
        <c:auto val="1"/>
        <c:lblAlgn val="ctr"/>
        <c:lblOffset val="100"/>
        <c:noMultiLvlLbl val="0"/>
      </c:catAx>
      <c:valAx>
        <c:axId val="1216367631"/>
        <c:scaling>
          <c:orientation val="minMax"/>
        </c:scaling>
        <c:delete val="1"/>
        <c:axPos val="b"/>
        <c:numFmt formatCode="0%" sourceLinked="1"/>
        <c:majorTickMark val="none"/>
        <c:minorTickMark val="none"/>
        <c:tickLblPos val="nextTo"/>
        <c:crossAx val="121636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70172641552408"/>
          <c:y val="0.23736502731311965"/>
          <c:w val="0.76859654716895187"/>
          <c:h val="0.5252699453737607"/>
        </c:manualLayout>
      </c:layout>
      <c:barChart>
        <c:barDir val="bar"/>
        <c:grouping val="percentStacked"/>
        <c:varyColors val="0"/>
        <c:ser>
          <c:idx val="0"/>
          <c:order val="0"/>
          <c:tx>
            <c:strRef>
              <c:f>'Service Level'!$B$16</c:f>
              <c:strCache>
                <c:ptCount val="1"/>
                <c:pt idx="0">
                  <c:v>Cancelled</c:v>
                </c:pt>
              </c:strCache>
            </c:strRef>
          </c:tx>
          <c:spPr>
            <a:solidFill>
              <a:schemeClr val="accent1">
                <a:lumMod val="75000"/>
              </a:schemeClr>
            </a:solidFill>
            <a:ln w="12700">
              <a:solidFill>
                <a:schemeClr val="accent1">
                  <a:lumMod val="75000"/>
                </a:schemeClr>
              </a:solidFill>
              <a:prstDash val="dash"/>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'Service Level'!$B$29</c:f>
              <c:numCache>
                <c:formatCode>0%</c:formatCode>
                <c:ptCount val="1"/>
                <c:pt idx="0">
                  <c:v>3.5052910052910051E-2</c:v>
                </c:pt>
              </c:numCache>
            </c:numRef>
          </c:val>
          <c:extLst>
            <c:ext xmlns:c16="http://schemas.microsoft.com/office/drawing/2014/chart" uri="{C3380CC4-5D6E-409C-BE32-E72D297353CC}">
              <c16:uniqueId val="{00000000-A504-490B-B446-C65D2A1A329F}"/>
            </c:ext>
          </c:extLst>
        </c:ser>
        <c:ser>
          <c:idx val="1"/>
          <c:order val="1"/>
          <c:tx>
            <c:strRef>
              <c:f>'Service Level'!$H$16</c:f>
              <c:strCache>
                <c:ptCount val="1"/>
                <c:pt idx="0">
                  <c:v>Rest3</c:v>
                </c:pt>
              </c:strCache>
            </c:strRef>
          </c:tx>
          <c:spPr>
            <a:solidFill>
              <a:schemeClr val="accent1">
                <a:lumMod val="60000"/>
                <a:lumOff val="40000"/>
              </a:schemeClr>
            </a:solidFill>
            <a:ln>
              <a:noFill/>
            </a:ln>
            <a:effectLst/>
          </c:spPr>
          <c:invertIfNegative val="0"/>
          <c:val>
            <c:numRef>
              <c:f>'Service Level'!$H$29</c:f>
              <c:numCache>
                <c:formatCode>0.00%</c:formatCode>
                <c:ptCount val="1"/>
                <c:pt idx="0">
                  <c:v>0.96494708994709</c:v>
                </c:pt>
              </c:numCache>
            </c:numRef>
          </c:val>
          <c:extLst>
            <c:ext xmlns:c16="http://schemas.microsoft.com/office/drawing/2014/chart" uri="{C3380CC4-5D6E-409C-BE32-E72D297353CC}">
              <c16:uniqueId val="{00000001-A504-490B-B446-C65D2A1A329F}"/>
            </c:ext>
          </c:extLst>
        </c:ser>
        <c:dLbls>
          <c:showLegendKey val="0"/>
          <c:showVal val="0"/>
          <c:showCatName val="0"/>
          <c:showSerName val="0"/>
          <c:showPercent val="0"/>
          <c:showBubbleSize val="0"/>
        </c:dLbls>
        <c:gapWidth val="150"/>
        <c:overlap val="100"/>
        <c:axId val="1221462383"/>
        <c:axId val="1221460719"/>
        <c:extLst>
          <c:ext xmlns:c15="http://schemas.microsoft.com/office/drawing/2012/chart" uri="{02D57815-91ED-43cb-92C2-25804820EDAC}">
            <c15:filteredBarSeries>
              <c15:ser>
                <c:idx val="2"/>
                <c:order val="2"/>
                <c:tx>
                  <c:strRef>
                    <c:extLst>
                      <c:ext uri="{02D57815-91ED-43cb-92C2-25804820EDAC}">
                        <c15:formulaRef>
                          <c15:sqref>'Service Level'!$I$16</c15:sqref>
                        </c15:formulaRef>
                      </c:ext>
                    </c:extLst>
                    <c:strCache>
                      <c:ptCount val="1"/>
                      <c:pt idx="0">
                        <c:v>Total</c:v>
                      </c:pt>
                    </c:strCache>
                  </c:strRef>
                </c:tx>
                <c:spPr>
                  <a:solidFill>
                    <a:schemeClr val="accent3"/>
                  </a:solidFill>
                  <a:ln>
                    <a:noFill/>
                  </a:ln>
                  <a:effectLst/>
                </c:spPr>
                <c:invertIfNegative val="0"/>
                <c:val>
                  <c:numRef>
                    <c:extLst>
                      <c:ext uri="{02D57815-91ED-43cb-92C2-25804820EDAC}">
                        <c15:formulaRef>
                          <c15:sqref>'Service Level'!$I$29</c15:sqref>
                        </c15:formulaRef>
                      </c:ext>
                    </c:extLst>
                    <c:numCache>
                      <c:formatCode>0.00%</c:formatCode>
                      <c:ptCount val="1"/>
                      <c:pt idx="0">
                        <c:v>1</c:v>
                      </c:pt>
                    </c:numCache>
                  </c:numRef>
                </c:val>
                <c:extLst>
                  <c:ext xmlns:c16="http://schemas.microsoft.com/office/drawing/2014/chart" uri="{C3380CC4-5D6E-409C-BE32-E72D297353CC}">
                    <c16:uniqueId val="{00000002-A504-490B-B446-C65D2A1A329F}"/>
                  </c:ext>
                </c:extLst>
              </c15:ser>
            </c15:filteredBarSeries>
          </c:ext>
        </c:extLst>
      </c:barChart>
      <c:catAx>
        <c:axId val="1221462383"/>
        <c:scaling>
          <c:orientation val="minMax"/>
        </c:scaling>
        <c:delete val="1"/>
        <c:axPos val="l"/>
        <c:majorTickMark val="none"/>
        <c:minorTickMark val="none"/>
        <c:tickLblPos val="nextTo"/>
        <c:crossAx val="1221460719"/>
        <c:crosses val="autoZero"/>
        <c:auto val="1"/>
        <c:lblAlgn val="ctr"/>
        <c:lblOffset val="100"/>
        <c:noMultiLvlLbl val="0"/>
      </c:catAx>
      <c:valAx>
        <c:axId val="1221460719"/>
        <c:scaling>
          <c:orientation val="minMax"/>
        </c:scaling>
        <c:delete val="1"/>
        <c:axPos val="b"/>
        <c:numFmt formatCode="0%" sourceLinked="1"/>
        <c:majorTickMark val="none"/>
        <c:minorTickMark val="none"/>
        <c:tickLblPos val="nextTo"/>
        <c:crossAx val="122146238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(ver2).xlsx]Service Level!pvtLate</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47155106361288"/>
          <c:y val="7.3089700996677748E-2"/>
          <c:w val="0.47305936640321306"/>
          <c:h val="0.57228294137651403"/>
        </c:manualLayout>
      </c:layout>
      <c:barChart>
        <c:barDir val="col"/>
        <c:grouping val="stacked"/>
        <c:varyColors val="0"/>
        <c:ser>
          <c:idx val="0"/>
          <c:order val="0"/>
          <c:tx>
            <c:strRef>
              <c:f>'Service Level'!$B$52:$B$53</c:f>
              <c:strCache>
                <c:ptCount val="1"/>
                <c:pt idx="0">
                  <c:v>Bandung</c:v>
                </c:pt>
              </c:strCache>
            </c:strRef>
          </c:tx>
          <c:spPr>
            <a:solidFill>
              <a:schemeClr val="accent1">
                <a:lumMod val="75000"/>
              </a:schemeClr>
            </a:solidFill>
            <a:ln>
              <a:noFill/>
            </a:ln>
            <a:effectLst/>
          </c:spPr>
          <c:invertIfNegative val="0"/>
          <c:cat>
            <c:strRef>
              <c:f>'Service Level'!$A$54:$A$60</c:f>
              <c:strCache>
                <c:ptCount val="6"/>
                <c:pt idx="0">
                  <c:v>Bandung</c:v>
                </c:pt>
                <c:pt idx="1">
                  <c:v>Jakarta</c:v>
                </c:pt>
                <c:pt idx="2">
                  <c:v>Makassar</c:v>
                </c:pt>
                <c:pt idx="3">
                  <c:v>Medan</c:v>
                </c:pt>
                <c:pt idx="4">
                  <c:v>Semarang</c:v>
                </c:pt>
                <c:pt idx="5">
                  <c:v>Surabaya</c:v>
                </c:pt>
              </c:strCache>
            </c:strRef>
          </c:cat>
          <c:val>
            <c:numRef>
              <c:f>'Service Level'!$B$54:$B$60</c:f>
              <c:numCache>
                <c:formatCode>General</c:formatCode>
                <c:ptCount val="6"/>
                <c:pt idx="0">
                  <c:v>0</c:v>
                </c:pt>
                <c:pt idx="1">
                  <c:v>2</c:v>
                </c:pt>
                <c:pt idx="2">
                  <c:v>0</c:v>
                </c:pt>
                <c:pt idx="3">
                  <c:v>2</c:v>
                </c:pt>
                <c:pt idx="4">
                  <c:v>3</c:v>
                </c:pt>
                <c:pt idx="5">
                  <c:v>0</c:v>
                </c:pt>
              </c:numCache>
            </c:numRef>
          </c:val>
          <c:extLst>
            <c:ext xmlns:c16="http://schemas.microsoft.com/office/drawing/2014/chart" uri="{C3380CC4-5D6E-409C-BE32-E72D297353CC}">
              <c16:uniqueId val="{00000002-D30F-4522-AF90-867A5F68F8C1}"/>
            </c:ext>
          </c:extLst>
        </c:ser>
        <c:ser>
          <c:idx val="1"/>
          <c:order val="1"/>
          <c:tx>
            <c:strRef>
              <c:f>'Service Level'!$C$52:$C$53</c:f>
              <c:strCache>
                <c:ptCount val="1"/>
                <c:pt idx="0">
                  <c:v>Denpasar</c:v>
                </c:pt>
              </c:strCache>
            </c:strRef>
          </c:tx>
          <c:spPr>
            <a:solidFill>
              <a:srgbClr val="C00000"/>
            </a:solidFill>
            <a:ln>
              <a:noFill/>
            </a:ln>
            <a:effectLst/>
          </c:spPr>
          <c:invertIfNegative val="0"/>
          <c:cat>
            <c:strRef>
              <c:f>'Service Level'!$A$54:$A$60</c:f>
              <c:strCache>
                <c:ptCount val="6"/>
                <c:pt idx="0">
                  <c:v>Bandung</c:v>
                </c:pt>
                <c:pt idx="1">
                  <c:v>Jakarta</c:v>
                </c:pt>
                <c:pt idx="2">
                  <c:v>Makassar</c:v>
                </c:pt>
                <c:pt idx="3">
                  <c:v>Medan</c:v>
                </c:pt>
                <c:pt idx="4">
                  <c:v>Semarang</c:v>
                </c:pt>
                <c:pt idx="5">
                  <c:v>Surabaya</c:v>
                </c:pt>
              </c:strCache>
            </c:strRef>
          </c:cat>
          <c:val>
            <c:numRef>
              <c:f>'Service Level'!$C$54:$C$60</c:f>
              <c:numCache>
                <c:formatCode>General</c:formatCode>
                <c:ptCount val="6"/>
                <c:pt idx="0">
                  <c:v>2</c:v>
                </c:pt>
                <c:pt idx="1">
                  <c:v>1</c:v>
                </c:pt>
                <c:pt idx="2">
                  <c:v>1</c:v>
                </c:pt>
                <c:pt idx="3">
                  <c:v>0</c:v>
                </c:pt>
                <c:pt idx="4">
                  <c:v>0</c:v>
                </c:pt>
                <c:pt idx="5">
                  <c:v>0</c:v>
                </c:pt>
              </c:numCache>
            </c:numRef>
          </c:val>
          <c:extLst>
            <c:ext xmlns:c16="http://schemas.microsoft.com/office/drawing/2014/chart" uri="{C3380CC4-5D6E-409C-BE32-E72D297353CC}">
              <c16:uniqueId val="{00000003-D30F-4522-AF90-867A5F68F8C1}"/>
            </c:ext>
          </c:extLst>
        </c:ser>
        <c:ser>
          <c:idx val="2"/>
          <c:order val="2"/>
          <c:tx>
            <c:strRef>
              <c:f>'Service Level'!$D$52:$D$53</c:f>
              <c:strCache>
                <c:ptCount val="1"/>
                <c:pt idx="0">
                  <c:v>Jakarta</c:v>
                </c:pt>
              </c:strCache>
            </c:strRef>
          </c:tx>
          <c:spPr>
            <a:solidFill>
              <a:schemeClr val="accent3">
                <a:lumMod val="75000"/>
              </a:schemeClr>
            </a:solidFill>
            <a:ln>
              <a:noFill/>
            </a:ln>
            <a:effectLst/>
          </c:spPr>
          <c:invertIfNegative val="0"/>
          <c:cat>
            <c:strRef>
              <c:f>'Service Level'!$A$54:$A$60</c:f>
              <c:strCache>
                <c:ptCount val="6"/>
                <c:pt idx="0">
                  <c:v>Bandung</c:v>
                </c:pt>
                <c:pt idx="1">
                  <c:v>Jakarta</c:v>
                </c:pt>
                <c:pt idx="2">
                  <c:v>Makassar</c:v>
                </c:pt>
                <c:pt idx="3">
                  <c:v>Medan</c:v>
                </c:pt>
                <c:pt idx="4">
                  <c:v>Semarang</c:v>
                </c:pt>
                <c:pt idx="5">
                  <c:v>Surabaya</c:v>
                </c:pt>
              </c:strCache>
            </c:strRef>
          </c:cat>
          <c:val>
            <c:numRef>
              <c:f>'Service Level'!$D$54:$D$60</c:f>
              <c:numCache>
                <c:formatCode>General</c:formatCode>
                <c:ptCount val="6"/>
                <c:pt idx="0">
                  <c:v>0</c:v>
                </c:pt>
                <c:pt idx="1">
                  <c:v>0</c:v>
                </c:pt>
                <c:pt idx="2">
                  <c:v>1</c:v>
                </c:pt>
                <c:pt idx="3">
                  <c:v>2</c:v>
                </c:pt>
                <c:pt idx="4">
                  <c:v>2</c:v>
                </c:pt>
                <c:pt idx="5">
                  <c:v>0</c:v>
                </c:pt>
              </c:numCache>
            </c:numRef>
          </c:val>
          <c:extLst>
            <c:ext xmlns:c16="http://schemas.microsoft.com/office/drawing/2014/chart" uri="{C3380CC4-5D6E-409C-BE32-E72D297353CC}">
              <c16:uniqueId val="{0000000B-AED6-463F-BC64-461D1AF2198E}"/>
            </c:ext>
          </c:extLst>
        </c:ser>
        <c:ser>
          <c:idx val="3"/>
          <c:order val="3"/>
          <c:tx>
            <c:strRef>
              <c:f>'Service Level'!$E$52:$E$53</c:f>
              <c:strCache>
                <c:ptCount val="1"/>
                <c:pt idx="0">
                  <c:v>Palembang</c:v>
                </c:pt>
              </c:strCache>
            </c:strRef>
          </c:tx>
          <c:spPr>
            <a:solidFill>
              <a:schemeClr val="accent4">
                <a:lumMod val="75000"/>
              </a:schemeClr>
            </a:solidFill>
            <a:ln>
              <a:noFill/>
            </a:ln>
            <a:effectLst/>
          </c:spPr>
          <c:invertIfNegative val="0"/>
          <c:cat>
            <c:strRef>
              <c:f>'Service Level'!$A$54:$A$60</c:f>
              <c:strCache>
                <c:ptCount val="6"/>
                <c:pt idx="0">
                  <c:v>Bandung</c:v>
                </c:pt>
                <c:pt idx="1">
                  <c:v>Jakarta</c:v>
                </c:pt>
                <c:pt idx="2">
                  <c:v>Makassar</c:v>
                </c:pt>
                <c:pt idx="3">
                  <c:v>Medan</c:v>
                </c:pt>
                <c:pt idx="4">
                  <c:v>Semarang</c:v>
                </c:pt>
                <c:pt idx="5">
                  <c:v>Surabaya</c:v>
                </c:pt>
              </c:strCache>
            </c:strRef>
          </c:cat>
          <c:val>
            <c:numRef>
              <c:f>'Service Level'!$E$54:$E$60</c:f>
              <c:numCache>
                <c:formatCode>General</c:formatCode>
                <c:ptCount val="6"/>
                <c:pt idx="0">
                  <c:v>0</c:v>
                </c:pt>
                <c:pt idx="1">
                  <c:v>0</c:v>
                </c:pt>
                <c:pt idx="2">
                  <c:v>0</c:v>
                </c:pt>
                <c:pt idx="3">
                  <c:v>0</c:v>
                </c:pt>
                <c:pt idx="4">
                  <c:v>1</c:v>
                </c:pt>
                <c:pt idx="5">
                  <c:v>0</c:v>
                </c:pt>
              </c:numCache>
            </c:numRef>
          </c:val>
          <c:extLst>
            <c:ext xmlns:c16="http://schemas.microsoft.com/office/drawing/2014/chart" uri="{C3380CC4-5D6E-409C-BE32-E72D297353CC}">
              <c16:uniqueId val="{0000000C-AED6-463F-BC64-461D1AF2198E}"/>
            </c:ext>
          </c:extLst>
        </c:ser>
        <c:ser>
          <c:idx val="4"/>
          <c:order val="4"/>
          <c:tx>
            <c:strRef>
              <c:f>'Service Level'!$F$52:$F$53</c:f>
              <c:strCache>
                <c:ptCount val="1"/>
                <c:pt idx="0">
                  <c:v>Surabaya</c:v>
                </c:pt>
              </c:strCache>
            </c:strRef>
          </c:tx>
          <c:spPr>
            <a:solidFill>
              <a:schemeClr val="accent6">
                <a:lumMod val="75000"/>
              </a:schemeClr>
            </a:solidFill>
            <a:ln>
              <a:noFill/>
            </a:ln>
            <a:effectLst/>
          </c:spPr>
          <c:invertIfNegative val="0"/>
          <c:cat>
            <c:strRef>
              <c:f>'Service Level'!$A$54:$A$60</c:f>
              <c:strCache>
                <c:ptCount val="6"/>
                <c:pt idx="0">
                  <c:v>Bandung</c:v>
                </c:pt>
                <c:pt idx="1">
                  <c:v>Jakarta</c:v>
                </c:pt>
                <c:pt idx="2">
                  <c:v>Makassar</c:v>
                </c:pt>
                <c:pt idx="3">
                  <c:v>Medan</c:v>
                </c:pt>
                <c:pt idx="4">
                  <c:v>Semarang</c:v>
                </c:pt>
                <c:pt idx="5">
                  <c:v>Surabaya</c:v>
                </c:pt>
              </c:strCache>
            </c:strRef>
          </c:cat>
          <c:val>
            <c:numRef>
              <c:f>'Service Level'!$F$54:$F$60</c:f>
              <c:numCache>
                <c:formatCode>General</c:formatCode>
                <c:ptCount val="6"/>
                <c:pt idx="0">
                  <c:v>0</c:v>
                </c:pt>
                <c:pt idx="1">
                  <c:v>0</c:v>
                </c:pt>
                <c:pt idx="2">
                  <c:v>0</c:v>
                </c:pt>
                <c:pt idx="3">
                  <c:v>0</c:v>
                </c:pt>
                <c:pt idx="4">
                  <c:v>1</c:v>
                </c:pt>
                <c:pt idx="5">
                  <c:v>3</c:v>
                </c:pt>
              </c:numCache>
            </c:numRef>
          </c:val>
          <c:extLst>
            <c:ext xmlns:c16="http://schemas.microsoft.com/office/drawing/2014/chart" uri="{C3380CC4-5D6E-409C-BE32-E72D297353CC}">
              <c16:uniqueId val="{0000000D-AED6-463F-BC64-461D1AF2198E}"/>
            </c:ext>
          </c:extLst>
        </c:ser>
        <c:ser>
          <c:idx val="5"/>
          <c:order val="5"/>
          <c:tx>
            <c:strRef>
              <c:f>'Service Level'!$G$52:$G$53</c:f>
              <c:strCache>
                <c:ptCount val="1"/>
                <c:pt idx="0">
                  <c:v>Yogyakarta</c:v>
                </c:pt>
              </c:strCache>
            </c:strRef>
          </c:tx>
          <c:spPr>
            <a:solidFill>
              <a:schemeClr val="accent6"/>
            </a:solidFill>
            <a:ln>
              <a:noFill/>
            </a:ln>
            <a:effectLst/>
          </c:spPr>
          <c:invertIfNegative val="0"/>
          <c:cat>
            <c:strRef>
              <c:f>'Service Level'!$A$54:$A$60</c:f>
              <c:strCache>
                <c:ptCount val="6"/>
                <c:pt idx="0">
                  <c:v>Bandung</c:v>
                </c:pt>
                <c:pt idx="1">
                  <c:v>Jakarta</c:v>
                </c:pt>
                <c:pt idx="2">
                  <c:v>Makassar</c:v>
                </c:pt>
                <c:pt idx="3">
                  <c:v>Medan</c:v>
                </c:pt>
                <c:pt idx="4">
                  <c:v>Semarang</c:v>
                </c:pt>
                <c:pt idx="5">
                  <c:v>Surabaya</c:v>
                </c:pt>
              </c:strCache>
            </c:strRef>
          </c:cat>
          <c:val>
            <c:numRef>
              <c:f>'Service Level'!$G$54:$G$60</c:f>
              <c:numCache>
                <c:formatCode>General</c:formatCode>
                <c:ptCount val="6"/>
                <c:pt idx="0">
                  <c:v>0</c:v>
                </c:pt>
                <c:pt idx="1">
                  <c:v>0</c:v>
                </c:pt>
                <c:pt idx="3">
                  <c:v>0</c:v>
                </c:pt>
                <c:pt idx="4">
                  <c:v>0</c:v>
                </c:pt>
                <c:pt idx="5">
                  <c:v>0</c:v>
                </c:pt>
              </c:numCache>
            </c:numRef>
          </c:val>
          <c:extLst>
            <c:ext xmlns:c16="http://schemas.microsoft.com/office/drawing/2014/chart" uri="{C3380CC4-5D6E-409C-BE32-E72D297353CC}">
              <c16:uniqueId val="{0000000E-AED6-463F-BC64-461D1AF2198E}"/>
            </c:ext>
          </c:extLst>
        </c:ser>
        <c:dLbls>
          <c:showLegendKey val="0"/>
          <c:showVal val="0"/>
          <c:showCatName val="0"/>
          <c:showSerName val="0"/>
          <c:showPercent val="0"/>
          <c:showBubbleSize val="0"/>
        </c:dLbls>
        <c:gapWidth val="25"/>
        <c:overlap val="100"/>
        <c:axId val="17923968"/>
        <c:axId val="17926048"/>
      </c:barChart>
      <c:catAx>
        <c:axId val="17923968"/>
        <c:scaling>
          <c:orientation val="minMax"/>
        </c:scaling>
        <c:delete val="0"/>
        <c:axPos val="b"/>
        <c:title>
          <c:tx>
            <c:rich>
              <a:bodyPr rot="0" spcFirstLastPara="1" vertOverflow="ellipsis" vert="horz" wrap="square" anchor="ctr" anchorCtr="1"/>
              <a:lstStyle/>
              <a:p>
                <a:pPr algn="ctr" rtl="0">
                  <a:defRPr lang="en-ID" sz="700" b="1"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defRPr>
                </a:pPr>
                <a:r>
                  <a:rPr lang="en-ID" sz="700" b="1"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rPr>
                  <a:t>Origin City</a:t>
                </a:r>
              </a:p>
            </c:rich>
          </c:tx>
          <c:layout>
            <c:manualLayout>
              <c:xMode val="edge"/>
              <c:yMode val="edge"/>
              <c:x val="0.33853249592323442"/>
              <c:y val="0.90325581395348842"/>
            </c:manualLayout>
          </c:layout>
          <c:overlay val="0"/>
          <c:spPr>
            <a:noFill/>
            <a:ln>
              <a:noFill/>
            </a:ln>
            <a:effectLst/>
          </c:spPr>
          <c:txPr>
            <a:bodyPr rot="0" spcFirstLastPara="1" vertOverflow="ellipsis" vert="horz" wrap="square" anchor="ctr" anchorCtr="1"/>
            <a:lstStyle/>
            <a:p>
              <a:pPr algn="ctr" rtl="0">
                <a:defRPr lang="en-ID" sz="700" b="1"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6048"/>
        <c:crosses val="autoZero"/>
        <c:auto val="1"/>
        <c:lblAlgn val="ctr"/>
        <c:lblOffset val="100"/>
        <c:noMultiLvlLbl val="0"/>
      </c:catAx>
      <c:valAx>
        <c:axId val="1792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ID" sz="700" b="0"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defRPr>
                </a:pPr>
                <a:r>
                  <a:rPr lang="en-ID" sz="700" b="0"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rPr>
                  <a:t>Late Count</a:t>
                </a:r>
              </a:p>
            </c:rich>
          </c:tx>
          <c:overlay val="0"/>
          <c:spPr>
            <a:noFill/>
            <a:ln>
              <a:noFill/>
            </a:ln>
            <a:effectLst/>
          </c:spPr>
          <c:txPr>
            <a:bodyPr rot="-5400000" spcFirstLastPara="1" vertOverflow="ellipsis" vert="horz" wrap="square" anchor="ctr" anchorCtr="1"/>
            <a:lstStyle/>
            <a:p>
              <a:pPr algn="ctr" rtl="0">
                <a:defRPr lang="en-ID" sz="700" b="0"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3968"/>
        <c:crosses val="autoZero"/>
        <c:crossBetween val="between"/>
      </c:valAx>
      <c:spPr>
        <a:gradFill>
          <a:gsLst>
            <a:gs pos="100000">
              <a:srgbClr val="8E9879"/>
            </a:gs>
            <a:gs pos="0">
              <a:schemeClr val="accent3">
                <a:lumMod val="20000"/>
                <a:lumOff val="80000"/>
              </a:schemeClr>
            </a:gs>
          </a:gsLst>
          <a:lin ang="5400000" scaled="1"/>
        </a:gradFill>
        <a:ln>
          <a:noFill/>
        </a:ln>
        <a:effectLst/>
      </c:spPr>
    </c:plotArea>
    <c:legend>
      <c:legendPos val="r"/>
      <c:layout>
        <c:manualLayout>
          <c:xMode val="edge"/>
          <c:yMode val="edge"/>
          <c:x val="0.70447313353923913"/>
          <c:y val="0.20496298427812804"/>
          <c:w val="0.22182852156786809"/>
          <c:h val="0.59007403144374393"/>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icrosoft YaHei UI" panose="020B0503020204020204" pitchFamily="34" charset="-122"/>
              <a:ea typeface="Microsoft YaHei UI" panose="020B0503020204020204" pitchFamily="34" charset="-122"/>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percentStacked"/>
        <c:varyColors val="0"/>
        <c:ser>
          <c:idx val="0"/>
          <c:order val="0"/>
          <c:tx>
            <c:strRef>
              <c:f>'Service Level'!$A$73</c:f>
              <c:strCache>
                <c:ptCount val="1"/>
                <c:pt idx="0">
                  <c:v>Loss/Revenue</c:v>
                </c:pt>
              </c:strCache>
            </c:strRef>
          </c:tx>
          <c:spPr>
            <a:solidFill>
              <a:schemeClr val="accent2">
                <a:shade val="76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0">
                  <a:spAutoFit/>
                </a:bodyPr>
                <a:lstStyle/>
                <a:p>
                  <a:pPr algn="l">
                    <a:defRPr sz="600" b="1" i="0" u="none" strike="noStrike" kern="1200" baseline="0">
                      <a:solidFill>
                        <a:schemeClr val="bg1">
                          <a:lumMod val="95000"/>
                        </a:schemeClr>
                      </a:solidFill>
                      <a:latin typeface="Microsoft YaHei UI" panose="020B0503020204020204" pitchFamily="34" charset="-122"/>
                      <a:ea typeface="Microsoft YaHei UI" panose="020B0503020204020204" pitchFamily="34" charset="-122"/>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manualLayout>
                      <c:w val="0.84591558086331942"/>
                      <c:h val="0.49986632929906533"/>
                    </c:manualLayout>
                  </c15:layout>
                </c:ext>
                <c:ext xmlns:c16="http://schemas.microsoft.com/office/drawing/2014/chart" uri="{C3380CC4-5D6E-409C-BE32-E72D297353CC}">
                  <c16:uniqueId val="{00000003-2E45-4F20-8ED5-113541257AC0}"/>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lumMod val="95000"/>
                      </a:schemeClr>
                    </a:solidFill>
                    <a:latin typeface="Microsoft YaHei UI" panose="020B0503020204020204" pitchFamily="34" charset="-122"/>
                    <a:ea typeface="Microsoft YaHei UI" panose="020B0503020204020204" pitchFamily="34" charset="-122"/>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val>
            <c:numRef>
              <c:f>'Service Level'!$B$73</c:f>
              <c:numCache>
                <c:formatCode>0.00%</c:formatCode>
                <c:ptCount val="1"/>
                <c:pt idx="0">
                  <c:v>3.7512825416233131E-2</c:v>
                </c:pt>
              </c:numCache>
            </c:numRef>
          </c:val>
          <c:extLst>
            <c:ext xmlns:c16="http://schemas.microsoft.com/office/drawing/2014/chart" uri="{C3380CC4-5D6E-409C-BE32-E72D297353CC}">
              <c16:uniqueId val="{00000000-2E45-4F20-8ED5-113541257AC0}"/>
            </c:ext>
          </c:extLst>
        </c:ser>
        <c:ser>
          <c:idx val="1"/>
          <c:order val="1"/>
          <c:tx>
            <c:strRef>
              <c:f>'Service Level'!$A$74</c:f>
              <c:strCache>
                <c:ptCount val="1"/>
                <c:pt idx="0">
                  <c:v>Rest</c:v>
                </c:pt>
              </c:strCache>
            </c:strRef>
          </c:tx>
          <c:spPr>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10800000" scaled="1"/>
              <a:tileRect/>
            </a:gradFill>
            <a:ln>
              <a:noFill/>
            </a:ln>
            <a:effectLst/>
          </c:spPr>
          <c:invertIfNegative val="0"/>
          <c:val>
            <c:numRef>
              <c:f>'Service Level'!$B$74</c:f>
              <c:numCache>
                <c:formatCode>0.00%</c:formatCode>
                <c:ptCount val="1"/>
                <c:pt idx="0">
                  <c:v>0.96248717458376687</c:v>
                </c:pt>
              </c:numCache>
            </c:numRef>
          </c:val>
          <c:extLst>
            <c:ext xmlns:c16="http://schemas.microsoft.com/office/drawing/2014/chart" uri="{C3380CC4-5D6E-409C-BE32-E72D297353CC}">
              <c16:uniqueId val="{00000001-2E45-4F20-8ED5-113541257AC0}"/>
            </c:ext>
          </c:extLst>
        </c:ser>
        <c:dLbls>
          <c:showLegendKey val="0"/>
          <c:showVal val="0"/>
          <c:showCatName val="0"/>
          <c:showSerName val="0"/>
          <c:showPercent val="0"/>
          <c:showBubbleSize val="0"/>
        </c:dLbls>
        <c:gapWidth val="150"/>
        <c:overlap val="100"/>
        <c:axId val="95693023"/>
        <c:axId val="95690943"/>
      </c:barChart>
      <c:catAx>
        <c:axId val="95693023"/>
        <c:scaling>
          <c:orientation val="minMax"/>
        </c:scaling>
        <c:delete val="1"/>
        <c:axPos val="l"/>
        <c:numFmt formatCode="General" sourceLinked="1"/>
        <c:majorTickMark val="none"/>
        <c:minorTickMark val="none"/>
        <c:tickLblPos val="nextTo"/>
        <c:crossAx val="95690943"/>
        <c:crosses val="autoZero"/>
        <c:auto val="1"/>
        <c:lblAlgn val="ctr"/>
        <c:lblOffset val="100"/>
        <c:noMultiLvlLbl val="0"/>
      </c:catAx>
      <c:valAx>
        <c:axId val="95690943"/>
        <c:scaling>
          <c:orientation val="minMax"/>
        </c:scaling>
        <c:delete val="1"/>
        <c:axPos val="b"/>
        <c:numFmt formatCode="0%" sourceLinked="1"/>
        <c:majorTickMark val="none"/>
        <c:minorTickMark val="none"/>
        <c:tickLblPos val="nextTo"/>
        <c:crossAx val="9569302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(ver2).xlsx]Service Level!pvtCclAnalyst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dkDnDiag">
            <a:fgClr>
              <a:schemeClr val="accent1"/>
            </a:fgClr>
            <a:bgClr>
              <a:schemeClr val="accent3">
                <a:lumMod val="20000"/>
                <a:lumOff val="80000"/>
              </a:schemeClr>
            </a:bgClr>
          </a:pattFill>
          <a:ln w="28575">
            <a:solidFill>
              <a:schemeClr val="tx2">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'Service Level'!$B$76:$B$77</c:f>
              <c:strCache>
                <c:ptCount val="1"/>
                <c:pt idx="0">
                  <c:v>Cancelled</c:v>
                </c:pt>
              </c:strCache>
            </c:strRef>
          </c:tx>
          <c:spPr>
            <a:pattFill prst="dkDnDiag">
              <a:fgClr>
                <a:schemeClr val="accent1"/>
              </a:fgClr>
              <a:bgClr>
                <a:schemeClr val="accent3">
                  <a:lumMod val="20000"/>
                  <a:lumOff val="80000"/>
                </a:schemeClr>
              </a:bgClr>
            </a:pattFill>
            <a:ln w="28575">
              <a:solidFill>
                <a:schemeClr val="tx2">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'Service Level'!$A$78:$A$88</c:f>
              <c:multiLvlStrCache>
                <c:ptCount val="4"/>
                <c:lvl>
                  <c:pt idx="0">
                    <c:v>CV Transindo</c:v>
                  </c:pt>
                  <c:pt idx="1">
                    <c:v>CV Transindo</c:v>
                  </c:pt>
                  <c:pt idx="2">
                    <c:v>PT Lintas Jaya</c:v>
                  </c:pt>
                  <c:pt idx="3">
                    <c:v>PT Berkah Abadi</c:v>
                  </c:pt>
                </c:lvl>
                <c:lvl>
                  <c:pt idx="0">
                    <c:v>Semarang - Yogyakarta</c:v>
                  </c:pt>
                  <c:pt idx="1">
                    <c:v>Surabaya - Bandung</c:v>
                  </c:pt>
                  <c:pt idx="2">
                    <c:v>Semarang - Surabaya</c:v>
                  </c:pt>
                  <c:pt idx="3">
                    <c:v>Surabaya - Yogyakarta</c:v>
                  </c:pt>
                </c:lvl>
                <c:lvl>
                  <c:pt idx="0">
                    <c:v>CDD</c:v>
                  </c:pt>
                  <c:pt idx="2">
                    <c:v>Wingbox</c:v>
                  </c:pt>
                </c:lvl>
              </c:multiLvlStrCache>
            </c:multiLvlStrRef>
          </c:cat>
          <c:val>
            <c:numRef>
              <c:f>'Service Level'!$B$78:$B$88</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9-2921-4A6F-8A20-506213E539E7}"/>
            </c:ext>
          </c:extLst>
        </c:ser>
        <c:dLbls>
          <c:dLblPos val="outEnd"/>
          <c:showLegendKey val="0"/>
          <c:showVal val="1"/>
          <c:showCatName val="0"/>
          <c:showSerName val="0"/>
          <c:showPercent val="0"/>
          <c:showBubbleSize val="0"/>
        </c:dLbls>
        <c:gapWidth val="219"/>
        <c:overlap val="-27"/>
        <c:axId val="43798895"/>
        <c:axId val="43796399"/>
      </c:barChart>
      <c:catAx>
        <c:axId val="4379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96399"/>
        <c:crosses val="autoZero"/>
        <c:auto val="1"/>
        <c:lblAlgn val="ctr"/>
        <c:lblOffset val="100"/>
        <c:noMultiLvlLbl val="0"/>
      </c:catAx>
      <c:valAx>
        <c:axId val="43796399"/>
        <c:scaling>
          <c:orientation val="minMax"/>
        </c:scaling>
        <c:delete val="1"/>
        <c:axPos val="l"/>
        <c:numFmt formatCode="General" sourceLinked="1"/>
        <c:majorTickMark val="none"/>
        <c:minorTickMark val="none"/>
        <c:tickLblPos val="nextTo"/>
        <c:crossAx val="4379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 and Transportation 2024_Data Analysis (ver2).xlsx]Revenue!pvtRevenuebyMonth</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Revenue</a:t>
            </a:r>
            <a:r>
              <a:rPr lang="en-ID" baseline="0"/>
              <a:t> by Truck Type Order </a:t>
            </a:r>
          </a:p>
          <a:p>
            <a:pPr>
              <a:defRPr/>
            </a:pPr>
            <a:r>
              <a:rPr lang="en-ID" baseline="0"/>
              <a:t>Year 2024</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c:spPr>
      </c:pivotFmt>
      <c:pivotFmt>
        <c:idx val="8"/>
        <c:spPr>
          <a:solidFill>
            <a:schemeClr val="tx2">
              <a:lumMod val="60000"/>
              <a:lumOff val="40000"/>
            </a:schemeClr>
          </a:solidFill>
          <a:ln>
            <a:noFill/>
          </a:ln>
          <a:effectLst/>
        </c:spPr>
      </c:pivotFmt>
      <c:pivotFmt>
        <c:idx val="9"/>
        <c:spPr>
          <a:solidFill>
            <a:schemeClr val="tx2">
              <a:lumMod val="60000"/>
              <a:lumOff val="40000"/>
            </a:schemeClr>
          </a:solidFill>
          <a:ln>
            <a:noFill/>
          </a:ln>
          <a:effectLst/>
        </c:spPr>
      </c:pivotFmt>
      <c:pivotFmt>
        <c:idx val="10"/>
        <c:spPr>
          <a:solidFill>
            <a:schemeClr val="tx2">
              <a:lumMod val="60000"/>
              <a:lumOff val="40000"/>
            </a:schemeClr>
          </a:solidFill>
          <a:ln>
            <a:noFill/>
          </a:ln>
          <a:effectLst/>
        </c:spPr>
      </c:pivotFmt>
      <c:pivotFmt>
        <c:idx val="11"/>
        <c:spPr>
          <a:solidFill>
            <a:schemeClr val="tx2">
              <a:lumMod val="60000"/>
              <a:lumOff val="40000"/>
            </a:schemeClr>
          </a:solidFill>
          <a:ln>
            <a:noFill/>
          </a:ln>
          <a:effectLst/>
        </c:spPr>
      </c:pivotFmt>
      <c:pivotFmt>
        <c:idx val="12"/>
        <c:spPr>
          <a:solidFill>
            <a:schemeClr val="tx2">
              <a:lumMod val="60000"/>
              <a:lumOff val="40000"/>
            </a:schemeClr>
          </a:solidFill>
          <a:ln>
            <a:noFill/>
          </a:ln>
          <a:effectLst/>
        </c:spPr>
      </c:pivotFmt>
      <c:pivotFmt>
        <c:idx val="13"/>
        <c:spPr>
          <a:solidFill>
            <a:schemeClr val="tx2">
              <a:lumMod val="60000"/>
              <a:lumOff val="40000"/>
            </a:schemeClr>
          </a:solidFill>
          <a:ln>
            <a:noFill/>
          </a:ln>
          <a:effectLst/>
        </c:spPr>
      </c:pivotFmt>
      <c:pivotFmt>
        <c:idx val="14"/>
        <c:spPr>
          <a:solidFill>
            <a:schemeClr val="accent3">
              <a:lumMod val="75000"/>
            </a:schemeClr>
          </a:solidFill>
          <a:ln>
            <a:noFill/>
          </a:ln>
          <a:effectLst/>
        </c:spPr>
      </c:pivotFmt>
      <c:pivotFmt>
        <c:idx val="15"/>
        <c:spPr>
          <a:solidFill>
            <a:schemeClr val="tx2">
              <a:lumMod val="60000"/>
              <a:lumOff val="40000"/>
            </a:schemeClr>
          </a:solidFill>
          <a:ln>
            <a:noFill/>
          </a:ln>
          <a:effectLst/>
        </c:spPr>
      </c:pivotFmt>
      <c:pivotFmt>
        <c:idx val="16"/>
        <c:spPr>
          <a:solidFill>
            <a:schemeClr val="bg2">
              <a:lumMod val="75000"/>
            </a:schemeClr>
          </a:solidFill>
          <a:ln>
            <a:noFill/>
          </a:ln>
          <a:effectLst/>
        </c:spPr>
      </c:pivotFmt>
      <c:pivotFmt>
        <c:idx val="17"/>
        <c:spPr>
          <a:solidFill>
            <a:schemeClr val="bg2">
              <a:lumMod val="75000"/>
            </a:schemeClr>
          </a:solidFill>
          <a:ln>
            <a:noFill/>
          </a:ln>
          <a:effectLst/>
        </c:spPr>
      </c:pivotFmt>
      <c:pivotFmt>
        <c:idx val="18"/>
        <c:spPr>
          <a:solidFill>
            <a:schemeClr val="bg2">
              <a:lumMod val="75000"/>
            </a:schemeClr>
          </a:solidFill>
          <a:ln>
            <a:noFill/>
          </a:ln>
          <a:effectLst/>
        </c:spPr>
      </c:pivotFmt>
      <c:pivotFmt>
        <c:idx val="19"/>
        <c:spPr>
          <a:solidFill>
            <a:schemeClr val="tx2">
              <a:lumMod val="60000"/>
              <a:lumOff val="40000"/>
            </a:schemeClr>
          </a:solidFill>
          <a:ln>
            <a:noFill/>
          </a:ln>
          <a:effectLst/>
        </c:spPr>
      </c:pivotFmt>
      <c:pivotFmt>
        <c:idx val="20"/>
        <c:spPr>
          <a:solidFill>
            <a:schemeClr val="tx2">
              <a:lumMod val="60000"/>
              <a:lumOff val="40000"/>
            </a:schemeClr>
          </a:solidFill>
          <a:ln>
            <a:noFill/>
          </a:ln>
          <a:effectLst/>
        </c:spPr>
      </c:pivotFmt>
      <c:pivotFmt>
        <c:idx val="21"/>
        <c:spPr>
          <a:solidFill>
            <a:schemeClr val="tx2">
              <a:lumMod val="60000"/>
              <a:lumOff val="40000"/>
            </a:schemeClr>
          </a:solidFill>
          <a:ln>
            <a:noFill/>
          </a:ln>
          <a:effectLst/>
        </c:spPr>
      </c:pivotFmt>
      <c:pivotFmt>
        <c:idx val="22"/>
        <c:spPr>
          <a:solidFill>
            <a:schemeClr val="tx2">
              <a:lumMod val="60000"/>
              <a:lumOff val="40000"/>
            </a:schemeClr>
          </a:solidFill>
          <a:ln>
            <a:noFill/>
          </a:ln>
          <a:effectLst/>
        </c:spPr>
      </c:pivotFmt>
      <c:pivotFmt>
        <c:idx val="23"/>
        <c:spPr>
          <a:solidFill>
            <a:schemeClr val="tx2">
              <a:lumMod val="60000"/>
              <a:lumOff val="40000"/>
            </a:schemeClr>
          </a:solidFill>
          <a:ln>
            <a:noFill/>
          </a:ln>
          <a:effectLst/>
        </c:spPr>
      </c:pivotFmt>
      <c:pivotFmt>
        <c:idx val="24"/>
        <c:spPr>
          <a:solidFill>
            <a:schemeClr val="tx2">
              <a:lumMod val="60000"/>
              <a:lumOff val="40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60000"/>
              <a:lumOff val="40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60000"/>
              <a:lumOff val="40000"/>
            </a:schemeClr>
          </a:solidFill>
          <a:ln>
            <a:noFill/>
          </a:ln>
          <a:effectLst/>
        </c:spPr>
      </c:pivotFmt>
      <c:pivotFmt>
        <c:idx val="29"/>
        <c:spPr>
          <a:solidFill>
            <a:schemeClr val="tx2">
              <a:lumMod val="60000"/>
              <a:lumOff val="40000"/>
            </a:schemeClr>
          </a:solidFill>
          <a:ln>
            <a:noFill/>
          </a:ln>
          <a:effectLst/>
        </c:spPr>
      </c:pivotFmt>
      <c:pivotFmt>
        <c:idx val="30"/>
        <c:spPr>
          <a:solidFill>
            <a:schemeClr val="tx2">
              <a:lumMod val="60000"/>
              <a:lumOff val="40000"/>
            </a:schemeClr>
          </a:solidFill>
          <a:ln>
            <a:noFill/>
          </a:ln>
          <a:effectLst/>
        </c:spPr>
      </c:pivotFmt>
      <c:pivotFmt>
        <c:idx val="31"/>
        <c:spPr>
          <a:solidFill>
            <a:schemeClr val="tx2">
              <a:lumMod val="60000"/>
              <a:lumOff val="40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60000"/>
              <a:lumOff val="40000"/>
            </a:schemeClr>
          </a:solidFill>
          <a:ln>
            <a:noFill/>
          </a:ln>
          <a:effectLst/>
        </c:spPr>
      </c:pivotFmt>
      <c:pivotFmt>
        <c:idx val="34"/>
        <c:spPr>
          <a:solidFill>
            <a:schemeClr val="tx2">
              <a:lumMod val="60000"/>
              <a:lumOff val="40000"/>
            </a:schemeClr>
          </a:solidFill>
          <a:ln>
            <a:noFill/>
          </a:ln>
          <a:effectLst/>
        </c:spPr>
      </c:pivotFmt>
      <c:pivotFmt>
        <c:idx val="35"/>
        <c:spPr>
          <a:solidFill>
            <a:schemeClr val="tx2">
              <a:lumMod val="60000"/>
              <a:lumOff val="40000"/>
            </a:schemeClr>
          </a:solidFill>
          <a:ln>
            <a:noFill/>
          </a:ln>
          <a:effectLst/>
        </c:spPr>
      </c:pivotFmt>
      <c:pivotFmt>
        <c:idx val="36"/>
        <c:spPr>
          <a:solidFill>
            <a:schemeClr val="tx2">
              <a:lumMod val="60000"/>
              <a:lumOff val="40000"/>
            </a:schemeClr>
          </a:solidFill>
          <a:ln>
            <a:noFill/>
          </a:ln>
          <a:effectLst/>
        </c:spPr>
      </c:pivotFmt>
      <c:pivotFmt>
        <c:idx val="37"/>
        <c:spPr>
          <a:solidFill>
            <a:schemeClr val="tx2">
              <a:lumMod val="60000"/>
              <a:lumOff val="40000"/>
            </a:schemeClr>
          </a:solidFill>
          <a:ln>
            <a:noFill/>
          </a:ln>
          <a:effectLst/>
        </c:spPr>
      </c:pivotFmt>
      <c:pivotFmt>
        <c:idx val="38"/>
        <c:spPr>
          <a:solidFill>
            <a:schemeClr val="tx2">
              <a:lumMod val="60000"/>
              <a:lumOff val="40000"/>
            </a:schemeClr>
          </a:solidFill>
          <a:ln>
            <a:noFill/>
          </a:ln>
          <a:effectLst/>
        </c:spPr>
      </c:pivotFmt>
      <c:pivotFmt>
        <c:idx val="39"/>
        <c:spPr>
          <a:solidFill>
            <a:schemeClr val="tx2">
              <a:lumMod val="60000"/>
              <a:lumOff val="40000"/>
            </a:schemeClr>
          </a:solidFill>
          <a:ln>
            <a:noFill/>
          </a:ln>
          <a:effectLst/>
        </c:spPr>
      </c:pivotFmt>
      <c:pivotFmt>
        <c:idx val="40"/>
        <c:spPr>
          <a:solidFill>
            <a:schemeClr val="tx2">
              <a:lumMod val="60000"/>
              <a:lumOff val="40000"/>
            </a:schemeClr>
          </a:solidFill>
          <a:ln>
            <a:noFill/>
          </a:ln>
          <a:effectLst/>
        </c:spPr>
      </c:pivotFmt>
      <c:pivotFmt>
        <c:idx val="41"/>
        <c:spPr>
          <a:solidFill>
            <a:schemeClr val="accent3">
              <a:lumMod val="75000"/>
            </a:schemeClr>
          </a:solidFill>
          <a:ln>
            <a:noFill/>
          </a:ln>
          <a:effectLst/>
        </c:spPr>
      </c:pivotFmt>
      <c:pivotFmt>
        <c:idx val="42"/>
        <c:spPr>
          <a:solidFill>
            <a:schemeClr val="tx2">
              <a:lumMod val="60000"/>
              <a:lumOff val="40000"/>
            </a:schemeClr>
          </a:solidFill>
          <a:ln>
            <a:noFill/>
          </a:ln>
          <a:effectLst/>
        </c:spPr>
      </c:pivotFmt>
      <c:pivotFmt>
        <c:idx val="43"/>
        <c:spPr>
          <a:solidFill>
            <a:schemeClr val="tx2">
              <a:lumMod val="60000"/>
              <a:lumOff val="40000"/>
            </a:schemeClr>
          </a:solidFill>
          <a:ln>
            <a:noFill/>
          </a:ln>
          <a:effectLst/>
        </c:spPr>
      </c:pivotFmt>
      <c:pivotFmt>
        <c:idx val="44"/>
        <c:spPr>
          <a:solidFill>
            <a:schemeClr val="accent3">
              <a:lumMod val="75000"/>
            </a:schemeClr>
          </a:solidFill>
          <a:ln>
            <a:noFill/>
          </a:ln>
          <a:effectLst/>
        </c:spPr>
      </c:pivotFmt>
      <c:pivotFmt>
        <c:idx val="45"/>
        <c:spPr>
          <a:solidFill>
            <a:schemeClr val="tx2">
              <a:lumMod val="60000"/>
              <a:lumOff val="40000"/>
            </a:schemeClr>
          </a:solidFill>
          <a:ln>
            <a:noFill/>
          </a:ln>
          <a:effectLst/>
        </c:spPr>
      </c:pivotFmt>
      <c:pivotFmt>
        <c:idx val="46"/>
        <c:spPr>
          <a:solidFill>
            <a:schemeClr val="bg2">
              <a:lumMod val="75000"/>
            </a:schemeClr>
          </a:solidFill>
          <a:ln>
            <a:noFill/>
          </a:ln>
          <a:effectLst/>
        </c:spPr>
      </c:pivotFmt>
      <c:pivotFmt>
        <c:idx val="47"/>
        <c:spPr>
          <a:solidFill>
            <a:schemeClr val="bg2">
              <a:lumMod val="75000"/>
            </a:schemeClr>
          </a:solidFill>
          <a:ln>
            <a:noFill/>
          </a:ln>
          <a:effectLst/>
        </c:spPr>
      </c:pivotFmt>
      <c:pivotFmt>
        <c:idx val="48"/>
        <c:spPr>
          <a:solidFill>
            <a:schemeClr val="bg2">
              <a:lumMod val="75000"/>
            </a:schemeClr>
          </a:solidFill>
          <a:ln>
            <a:noFill/>
          </a:ln>
          <a:effectLst/>
        </c:spPr>
      </c:pivotFmt>
      <c:pivotFmt>
        <c:idx val="49"/>
        <c:spPr>
          <a:solidFill>
            <a:schemeClr val="bg2">
              <a:lumMod val="75000"/>
            </a:schemeClr>
          </a:solidFill>
          <a:ln>
            <a:noFill/>
          </a:ln>
          <a:effectLst/>
        </c:spPr>
      </c:pivotFmt>
      <c:pivotFmt>
        <c:idx val="50"/>
        <c:spPr>
          <a:solidFill>
            <a:schemeClr val="bg2">
              <a:lumMod val="75000"/>
            </a:schemeClr>
          </a:solidFill>
          <a:ln>
            <a:noFill/>
          </a:ln>
          <a:effectLst/>
        </c:spPr>
      </c:pivotFmt>
      <c:pivotFmt>
        <c:idx val="51"/>
        <c:spPr>
          <a:solidFill>
            <a:schemeClr val="bg2">
              <a:lumMod val="75000"/>
            </a:schemeClr>
          </a:solidFill>
          <a:ln>
            <a:noFill/>
          </a:ln>
          <a:effectLst/>
        </c:spPr>
      </c:pivotFmt>
      <c:pivotFmt>
        <c:idx val="52"/>
        <c:spPr>
          <a:solidFill>
            <a:schemeClr val="bg2">
              <a:lumMod val="75000"/>
            </a:schemeClr>
          </a:solidFill>
          <a:ln>
            <a:noFill/>
          </a:ln>
          <a:effectLst/>
        </c:spPr>
      </c:pivotFmt>
      <c:pivotFmt>
        <c:idx val="53"/>
        <c:spPr>
          <a:solidFill>
            <a:schemeClr val="bg2">
              <a:lumMod val="75000"/>
            </a:schemeClr>
          </a:solidFill>
          <a:ln>
            <a:noFill/>
          </a:ln>
          <a:effectLst/>
        </c:spPr>
      </c:pivotFmt>
      <c:pivotFmt>
        <c:idx val="54"/>
        <c:spPr>
          <a:solidFill>
            <a:schemeClr val="bg2">
              <a:lumMod val="75000"/>
            </a:schemeClr>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Revenue!$B$17:$B$18</c:f>
              <c:strCache>
                <c:ptCount val="1"/>
                <c:pt idx="0">
                  <c:v>CDD</c:v>
                </c:pt>
              </c:strCache>
            </c:strRef>
          </c:tx>
          <c:spPr>
            <a:solidFill>
              <a:schemeClr val="tx2">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7-BDE9-4AC5-94FC-5720F3BC32D3}"/>
              </c:ext>
            </c:extLst>
          </c:dPt>
          <c:dPt>
            <c:idx val="1"/>
            <c:invertIfNegative val="0"/>
            <c:bubble3D val="0"/>
            <c:extLst>
              <c:ext xmlns:c16="http://schemas.microsoft.com/office/drawing/2014/chart" uri="{C3380CC4-5D6E-409C-BE32-E72D297353CC}">
                <c16:uniqueId val="{00000008-BDE9-4AC5-94FC-5720F3BC32D3}"/>
              </c:ext>
            </c:extLst>
          </c:dPt>
          <c:dPt>
            <c:idx val="2"/>
            <c:invertIfNegative val="0"/>
            <c:bubble3D val="0"/>
            <c:extLst>
              <c:ext xmlns:c16="http://schemas.microsoft.com/office/drawing/2014/chart" uri="{C3380CC4-5D6E-409C-BE32-E72D297353CC}">
                <c16:uniqueId val="{00000009-BDE9-4AC5-94FC-5720F3BC32D3}"/>
              </c:ext>
            </c:extLst>
          </c:dPt>
          <c:dPt>
            <c:idx val="3"/>
            <c:invertIfNegative val="0"/>
            <c:bubble3D val="0"/>
            <c:extLst>
              <c:ext xmlns:c16="http://schemas.microsoft.com/office/drawing/2014/chart" uri="{C3380CC4-5D6E-409C-BE32-E72D297353CC}">
                <c16:uniqueId val="{00000003-1404-4EFB-B271-CB688EC91CEE}"/>
              </c:ext>
            </c:extLst>
          </c:dPt>
          <c:dPt>
            <c:idx val="4"/>
            <c:invertIfNegative val="0"/>
            <c:bubble3D val="0"/>
            <c:extLst>
              <c:ext xmlns:c16="http://schemas.microsoft.com/office/drawing/2014/chart" uri="{C3380CC4-5D6E-409C-BE32-E72D297353CC}">
                <c16:uniqueId val="{00000004-1404-4EFB-B271-CB688EC91CEE}"/>
              </c:ext>
            </c:extLst>
          </c:dPt>
          <c:dPt>
            <c:idx val="5"/>
            <c:invertIfNegative val="0"/>
            <c:bubble3D val="0"/>
            <c:extLst>
              <c:ext xmlns:c16="http://schemas.microsoft.com/office/drawing/2014/chart" uri="{C3380CC4-5D6E-409C-BE32-E72D297353CC}">
                <c16:uniqueId val="{00000005-1404-4EFB-B271-CB688EC91CEE}"/>
              </c:ext>
            </c:extLst>
          </c:dPt>
          <c:dPt>
            <c:idx val="6"/>
            <c:invertIfNegative val="0"/>
            <c:bubble3D val="0"/>
            <c:extLst>
              <c:ext xmlns:c16="http://schemas.microsoft.com/office/drawing/2014/chart" uri="{C3380CC4-5D6E-409C-BE32-E72D297353CC}">
                <c16:uniqueId val="{00000007-1404-4EFB-B271-CB688EC91CEE}"/>
              </c:ext>
            </c:extLst>
          </c:dPt>
          <c:dPt>
            <c:idx val="7"/>
            <c:invertIfNegative val="0"/>
            <c:bubble3D val="0"/>
            <c:extLst>
              <c:ext xmlns:c16="http://schemas.microsoft.com/office/drawing/2014/chart" uri="{C3380CC4-5D6E-409C-BE32-E72D297353CC}">
                <c16:uniqueId val="{00000009-1404-4EFB-B271-CB688EC91CEE}"/>
              </c:ext>
            </c:extLst>
          </c:dPt>
          <c:dPt>
            <c:idx val="8"/>
            <c:invertIfNegative val="0"/>
            <c:bubble3D val="0"/>
            <c:extLst>
              <c:ext xmlns:c16="http://schemas.microsoft.com/office/drawing/2014/chart" uri="{C3380CC4-5D6E-409C-BE32-E72D297353CC}">
                <c16:uniqueId val="{0000000B-1404-4EFB-B271-CB688EC91CEE}"/>
              </c:ext>
            </c:extLst>
          </c:dPt>
          <c:dPt>
            <c:idx val="9"/>
            <c:invertIfNegative val="0"/>
            <c:bubble3D val="0"/>
            <c:extLst>
              <c:ext xmlns:c16="http://schemas.microsoft.com/office/drawing/2014/chart" uri="{C3380CC4-5D6E-409C-BE32-E72D297353CC}">
                <c16:uniqueId val="{0000000C-1404-4EFB-B271-CB688EC91CEE}"/>
              </c:ext>
            </c:extLst>
          </c:dPt>
          <c:dPt>
            <c:idx val="10"/>
            <c:invertIfNegative val="0"/>
            <c:bubble3D val="0"/>
            <c:extLst>
              <c:ext xmlns:c16="http://schemas.microsoft.com/office/drawing/2014/chart" uri="{C3380CC4-5D6E-409C-BE32-E72D297353CC}">
                <c16:uniqueId val="{0000000D-1404-4EFB-B271-CB688EC91CEE}"/>
              </c:ext>
            </c:extLst>
          </c:dPt>
          <c:dPt>
            <c:idx val="11"/>
            <c:invertIfNegative val="0"/>
            <c:bubble3D val="0"/>
            <c:extLst>
              <c:ext xmlns:c16="http://schemas.microsoft.com/office/drawing/2014/chart" uri="{C3380CC4-5D6E-409C-BE32-E72D297353CC}">
                <c16:uniqueId val="{0000000E-1404-4EFB-B271-CB688EC91CEE}"/>
              </c:ext>
            </c:extLst>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Revenue!$B$19:$B$31</c:f>
              <c:numCache>
                <c:formatCode>_-* #,##0_-;\-* #,##0_-;_-* "-"??_-;_-@_-</c:formatCode>
                <c:ptCount val="12"/>
                <c:pt idx="0">
                  <c:v>4095907</c:v>
                </c:pt>
                <c:pt idx="1">
                  <c:v>1205016</c:v>
                </c:pt>
                <c:pt idx="2">
                  <c:v>6069217</c:v>
                </c:pt>
                <c:pt idx="3">
                  <c:v>2200770</c:v>
                </c:pt>
                <c:pt idx="4">
                  <c:v>5495189</c:v>
                </c:pt>
                <c:pt idx="5">
                  <c:v>2120068</c:v>
                </c:pt>
                <c:pt idx="6">
                  <c:v>3611010</c:v>
                </c:pt>
                <c:pt idx="8">
                  <c:v>1671647</c:v>
                </c:pt>
                <c:pt idx="9">
                  <c:v>432287</c:v>
                </c:pt>
                <c:pt idx="10">
                  <c:v>2404940</c:v>
                </c:pt>
              </c:numCache>
            </c:numRef>
          </c:val>
          <c:extLst>
            <c:ext xmlns:c16="http://schemas.microsoft.com/office/drawing/2014/chart" uri="{C3380CC4-5D6E-409C-BE32-E72D297353CC}">
              <c16:uniqueId val="{00000000-BDE9-4AC5-94FC-5720F3BC32D3}"/>
            </c:ext>
          </c:extLst>
        </c:ser>
        <c:ser>
          <c:idx val="1"/>
          <c:order val="1"/>
          <c:tx>
            <c:strRef>
              <c:f>Revenue!$C$17:$C$18</c:f>
              <c:strCache>
                <c:ptCount val="1"/>
                <c:pt idx="0">
                  <c:v>Fuso</c:v>
                </c:pt>
              </c:strCache>
            </c:strRef>
          </c:tx>
          <c:spPr>
            <a:solidFill>
              <a:schemeClr val="tx2">
                <a:lumMod val="60000"/>
                <a:lumOff val="40000"/>
              </a:schemeClr>
            </a:solidFill>
            <a:ln>
              <a:noFill/>
            </a:ln>
            <a:effectLst/>
          </c:spPr>
          <c:invertIfNegative val="0"/>
          <c:dPt>
            <c:idx val="0"/>
            <c:invertIfNegative val="0"/>
            <c:bubble3D val="0"/>
            <c:spPr>
              <a:solidFill>
                <a:schemeClr val="tx2">
                  <a:lumMod val="60000"/>
                  <a:lumOff val="40000"/>
                </a:schemeClr>
              </a:solidFill>
              <a:ln>
                <a:noFill/>
              </a:ln>
              <a:effectLst/>
            </c:spPr>
          </c:dPt>
          <c:dPt>
            <c:idx val="1"/>
            <c:invertIfNegative val="0"/>
            <c:bubble3D val="0"/>
            <c:spPr>
              <a:solidFill>
                <a:schemeClr val="tx2">
                  <a:lumMod val="60000"/>
                  <a:lumOff val="40000"/>
                </a:schemeClr>
              </a:solidFill>
              <a:ln>
                <a:noFill/>
              </a:ln>
              <a:effectLst/>
            </c:spPr>
          </c:dPt>
          <c:dPt>
            <c:idx val="2"/>
            <c:invertIfNegative val="0"/>
            <c:bubble3D val="0"/>
            <c:spPr>
              <a:solidFill>
                <a:schemeClr val="tx2">
                  <a:lumMod val="60000"/>
                  <a:lumOff val="40000"/>
                </a:schemeClr>
              </a:solidFill>
              <a:ln>
                <a:noFill/>
              </a:ln>
              <a:effectLst/>
            </c:spPr>
          </c:dPt>
          <c:dPt>
            <c:idx val="3"/>
            <c:invertIfNegative val="0"/>
            <c:bubble3D val="0"/>
            <c:spPr>
              <a:solidFill>
                <a:schemeClr val="tx2">
                  <a:lumMod val="60000"/>
                  <a:lumOff val="40000"/>
                </a:schemeClr>
              </a:solidFill>
              <a:ln>
                <a:noFill/>
              </a:ln>
              <a:effectLst/>
            </c:spPr>
          </c:dPt>
          <c:dPt>
            <c:idx val="4"/>
            <c:invertIfNegative val="0"/>
            <c:bubble3D val="0"/>
            <c:spPr>
              <a:solidFill>
                <a:schemeClr val="tx2">
                  <a:lumMod val="60000"/>
                  <a:lumOff val="40000"/>
                </a:schemeClr>
              </a:solidFill>
              <a:ln>
                <a:noFill/>
              </a:ln>
              <a:effectLst/>
            </c:spPr>
          </c:dPt>
          <c:dPt>
            <c:idx val="5"/>
            <c:invertIfNegative val="0"/>
            <c:bubble3D val="0"/>
            <c:spPr>
              <a:solidFill>
                <a:schemeClr val="tx2">
                  <a:lumMod val="60000"/>
                  <a:lumOff val="40000"/>
                </a:schemeClr>
              </a:solidFill>
              <a:ln>
                <a:noFill/>
              </a:ln>
              <a:effectLst/>
            </c:spPr>
          </c:dPt>
          <c:dPt>
            <c:idx val="6"/>
            <c:invertIfNegative val="0"/>
            <c:bubble3D val="0"/>
            <c:spPr>
              <a:solidFill>
                <a:schemeClr val="tx2">
                  <a:lumMod val="60000"/>
                  <a:lumOff val="40000"/>
                </a:schemeClr>
              </a:solidFill>
              <a:ln>
                <a:noFill/>
              </a:ln>
              <a:effectLst/>
            </c:spPr>
          </c:dPt>
          <c:dPt>
            <c:idx val="7"/>
            <c:invertIfNegative val="0"/>
            <c:bubble3D val="0"/>
            <c:spPr>
              <a:solidFill>
                <a:schemeClr val="tx2">
                  <a:lumMod val="60000"/>
                  <a:lumOff val="40000"/>
                </a:schemeClr>
              </a:solidFill>
              <a:ln>
                <a:noFill/>
              </a:ln>
              <a:effectLst/>
            </c:spPr>
          </c:dPt>
          <c:dPt>
            <c:idx val="8"/>
            <c:invertIfNegative val="0"/>
            <c:bubble3D val="0"/>
            <c:spPr>
              <a:solidFill>
                <a:schemeClr val="tx2">
                  <a:lumMod val="60000"/>
                  <a:lumOff val="40000"/>
                </a:schemeClr>
              </a:solidFill>
              <a:ln>
                <a:noFill/>
              </a:ln>
              <a:effectLst/>
            </c:spPr>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Revenue!$C$19:$C$31</c:f>
              <c:numCache>
                <c:formatCode>_-* #,##0_-;\-* #,##0_-;_-* "-"??_-;_-@_-</c:formatCode>
                <c:ptCount val="12"/>
                <c:pt idx="0">
                  <c:v>573604</c:v>
                </c:pt>
                <c:pt idx="1">
                  <c:v>1904277</c:v>
                </c:pt>
                <c:pt idx="2">
                  <c:v>1230991</c:v>
                </c:pt>
                <c:pt idx="3">
                  <c:v>885899</c:v>
                </c:pt>
                <c:pt idx="4">
                  <c:v>3943156</c:v>
                </c:pt>
                <c:pt idx="5">
                  <c:v>3046411</c:v>
                </c:pt>
                <c:pt idx="6">
                  <c:v>2049212</c:v>
                </c:pt>
                <c:pt idx="7">
                  <c:v>1534600</c:v>
                </c:pt>
                <c:pt idx="8">
                  <c:v>1146778</c:v>
                </c:pt>
                <c:pt idx="9">
                  <c:v>1280505</c:v>
                </c:pt>
                <c:pt idx="10">
                  <c:v>1077275</c:v>
                </c:pt>
                <c:pt idx="11">
                  <c:v>1832994</c:v>
                </c:pt>
              </c:numCache>
            </c:numRef>
          </c:val>
          <c:extLst>
            <c:ext xmlns:c16="http://schemas.microsoft.com/office/drawing/2014/chart" uri="{C3380CC4-5D6E-409C-BE32-E72D297353CC}">
              <c16:uniqueId val="{00000052-6D8E-4704-81C6-241D6D647E76}"/>
            </c:ext>
          </c:extLst>
        </c:ser>
        <c:ser>
          <c:idx val="2"/>
          <c:order val="2"/>
          <c:tx>
            <c:strRef>
              <c:f>Revenue!$D$17:$D$18</c:f>
              <c:strCache>
                <c:ptCount val="1"/>
                <c:pt idx="0">
                  <c:v>Tronton</c:v>
                </c:pt>
              </c:strCache>
            </c:strRef>
          </c:tx>
          <c:spPr>
            <a:solidFill>
              <a:schemeClr val="tx2">
                <a:lumMod val="60000"/>
                <a:lumOff val="40000"/>
              </a:schemeClr>
            </a:solidFill>
            <a:ln>
              <a:noFill/>
            </a:ln>
            <a:effectLst/>
          </c:spPr>
          <c:invertIfNegative val="0"/>
          <c:dPt>
            <c:idx val="0"/>
            <c:invertIfNegative val="0"/>
            <c:bubble3D val="0"/>
            <c:spPr>
              <a:solidFill>
                <a:schemeClr val="tx2">
                  <a:lumMod val="60000"/>
                  <a:lumOff val="40000"/>
                </a:schemeClr>
              </a:solidFill>
              <a:ln>
                <a:noFill/>
              </a:ln>
              <a:effectLst/>
            </c:spPr>
          </c:dPt>
          <c:dPt>
            <c:idx val="1"/>
            <c:invertIfNegative val="0"/>
            <c:bubble3D val="0"/>
            <c:spPr>
              <a:solidFill>
                <a:schemeClr val="accent3">
                  <a:lumMod val="75000"/>
                </a:schemeClr>
              </a:solidFill>
              <a:ln>
                <a:noFill/>
              </a:ln>
              <a:effectLst/>
            </c:spPr>
          </c:dPt>
          <c:dPt>
            <c:idx val="2"/>
            <c:invertIfNegative val="0"/>
            <c:bubble3D val="0"/>
            <c:spPr>
              <a:solidFill>
                <a:schemeClr val="tx2">
                  <a:lumMod val="60000"/>
                  <a:lumOff val="40000"/>
                </a:schemeClr>
              </a:solidFill>
              <a:ln>
                <a:noFill/>
              </a:ln>
              <a:effectLst/>
            </c:spPr>
          </c:dPt>
          <c:dPt>
            <c:idx val="3"/>
            <c:invertIfNegative val="0"/>
            <c:bubble3D val="0"/>
            <c:spPr>
              <a:solidFill>
                <a:schemeClr val="tx2">
                  <a:lumMod val="60000"/>
                  <a:lumOff val="40000"/>
                </a:schemeClr>
              </a:solidFill>
              <a:ln>
                <a:noFill/>
              </a:ln>
              <a:effectLst/>
            </c:spPr>
          </c:dPt>
          <c:dPt>
            <c:idx val="4"/>
            <c:invertIfNegative val="0"/>
            <c:bubble3D val="0"/>
            <c:spPr>
              <a:solidFill>
                <a:schemeClr val="tx2">
                  <a:lumMod val="60000"/>
                  <a:lumOff val="40000"/>
                </a:schemeClr>
              </a:solidFill>
              <a:ln>
                <a:noFill/>
              </a:ln>
              <a:effectLst/>
            </c:spPr>
          </c:dPt>
          <c:dPt>
            <c:idx val="5"/>
            <c:invertIfNegative val="0"/>
            <c:bubble3D val="0"/>
            <c:spPr>
              <a:solidFill>
                <a:schemeClr val="tx2">
                  <a:lumMod val="60000"/>
                  <a:lumOff val="40000"/>
                </a:schemeClr>
              </a:solidFill>
              <a:ln>
                <a:noFill/>
              </a:ln>
              <a:effectLst/>
            </c:spPr>
          </c:dPt>
          <c:dPt>
            <c:idx val="6"/>
            <c:invertIfNegative val="0"/>
            <c:bubble3D val="0"/>
            <c:spPr>
              <a:solidFill>
                <a:schemeClr val="tx2">
                  <a:lumMod val="60000"/>
                  <a:lumOff val="40000"/>
                </a:schemeClr>
              </a:solidFill>
              <a:ln>
                <a:noFill/>
              </a:ln>
              <a:effectLst/>
            </c:spPr>
          </c:dPt>
          <c:dPt>
            <c:idx val="7"/>
            <c:invertIfNegative val="0"/>
            <c:bubble3D val="0"/>
            <c:spPr>
              <a:solidFill>
                <a:schemeClr val="accent3">
                  <a:lumMod val="75000"/>
                </a:schemeClr>
              </a:solidFill>
              <a:ln>
                <a:noFill/>
              </a:ln>
              <a:effectLst/>
            </c:spPr>
          </c:dPt>
          <c:dPt>
            <c:idx val="8"/>
            <c:invertIfNegative val="0"/>
            <c:bubble3D val="0"/>
            <c:spPr>
              <a:solidFill>
                <a:schemeClr val="tx2">
                  <a:lumMod val="60000"/>
                  <a:lumOff val="40000"/>
                </a:schemeClr>
              </a:solidFill>
              <a:ln>
                <a:noFill/>
              </a:ln>
              <a:effectLst/>
            </c:spPr>
          </c:dPt>
          <c:dPt>
            <c:idx val="10"/>
            <c:invertIfNegative val="0"/>
            <c:bubble3D val="0"/>
            <c:spPr>
              <a:solidFill>
                <a:schemeClr val="accent3">
                  <a:lumMod val="75000"/>
                </a:schemeClr>
              </a:solidFill>
              <a:ln>
                <a:noFill/>
              </a:ln>
              <a:effectLst/>
            </c:spPr>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Revenue!$D$19:$D$31</c:f>
              <c:numCache>
                <c:formatCode>_-* #,##0_-;\-* #,##0_-;_-* "-"??_-;_-@_-</c:formatCode>
                <c:ptCount val="12"/>
                <c:pt idx="0">
                  <c:v>1599229</c:v>
                </c:pt>
                <c:pt idx="2">
                  <c:v>225972</c:v>
                </c:pt>
                <c:pt idx="3">
                  <c:v>1379520</c:v>
                </c:pt>
                <c:pt idx="4">
                  <c:v>2495826</c:v>
                </c:pt>
                <c:pt idx="5">
                  <c:v>4211333</c:v>
                </c:pt>
                <c:pt idx="6">
                  <c:v>150637</c:v>
                </c:pt>
                <c:pt idx="7">
                  <c:v>1423532</c:v>
                </c:pt>
                <c:pt idx="8">
                  <c:v>1708423</c:v>
                </c:pt>
                <c:pt idx="9">
                  <c:v>8755848</c:v>
                </c:pt>
                <c:pt idx="10">
                  <c:v>1485142</c:v>
                </c:pt>
                <c:pt idx="11">
                  <c:v>4860899</c:v>
                </c:pt>
              </c:numCache>
            </c:numRef>
          </c:val>
          <c:extLst>
            <c:ext xmlns:c16="http://schemas.microsoft.com/office/drawing/2014/chart" uri="{C3380CC4-5D6E-409C-BE32-E72D297353CC}">
              <c16:uniqueId val="{00000053-6D8E-4704-81C6-241D6D647E76}"/>
            </c:ext>
          </c:extLst>
        </c:ser>
        <c:ser>
          <c:idx val="3"/>
          <c:order val="3"/>
          <c:tx>
            <c:strRef>
              <c:f>Revenue!$E$17:$E$18</c:f>
              <c:strCache>
                <c:ptCount val="1"/>
                <c:pt idx="0">
                  <c:v>Wingbox</c:v>
                </c:pt>
              </c:strCache>
            </c:strRef>
          </c:tx>
          <c:spPr>
            <a:solidFill>
              <a:schemeClr val="bg2">
                <a:lumMod val="75000"/>
              </a:schemeClr>
            </a:solidFill>
            <a:ln>
              <a:noFill/>
            </a:ln>
            <a:effectLst/>
          </c:spPr>
          <c:invertIfNegative val="0"/>
          <c:dPt>
            <c:idx val="0"/>
            <c:invertIfNegative val="0"/>
            <c:bubble3D val="0"/>
            <c:spPr>
              <a:solidFill>
                <a:schemeClr val="bg2">
                  <a:lumMod val="75000"/>
                </a:schemeClr>
              </a:solidFill>
              <a:ln>
                <a:noFill/>
              </a:ln>
              <a:effectLst/>
            </c:spPr>
          </c:dPt>
          <c:dPt>
            <c:idx val="1"/>
            <c:invertIfNegative val="0"/>
            <c:bubble3D val="0"/>
            <c:spPr>
              <a:solidFill>
                <a:schemeClr val="bg2">
                  <a:lumMod val="75000"/>
                </a:schemeClr>
              </a:solidFill>
              <a:ln>
                <a:noFill/>
              </a:ln>
              <a:effectLst/>
            </c:spPr>
          </c:dPt>
          <c:dPt>
            <c:idx val="2"/>
            <c:invertIfNegative val="0"/>
            <c:bubble3D val="0"/>
            <c:spPr>
              <a:solidFill>
                <a:schemeClr val="bg2">
                  <a:lumMod val="75000"/>
                </a:schemeClr>
              </a:solidFill>
              <a:ln>
                <a:noFill/>
              </a:ln>
              <a:effectLst/>
            </c:spPr>
          </c:dPt>
          <c:dPt>
            <c:idx val="3"/>
            <c:invertIfNegative val="0"/>
            <c:bubble3D val="0"/>
            <c:spPr>
              <a:solidFill>
                <a:schemeClr val="bg2">
                  <a:lumMod val="75000"/>
                </a:schemeClr>
              </a:solidFill>
              <a:ln>
                <a:noFill/>
              </a:ln>
              <a:effectLst/>
            </c:spPr>
          </c:dPt>
          <c:dPt>
            <c:idx val="4"/>
            <c:invertIfNegative val="0"/>
            <c:bubble3D val="0"/>
            <c:spPr>
              <a:solidFill>
                <a:schemeClr val="bg2">
                  <a:lumMod val="75000"/>
                </a:schemeClr>
              </a:solidFill>
              <a:ln>
                <a:noFill/>
              </a:ln>
              <a:effectLst/>
            </c:spPr>
          </c:dPt>
          <c:dPt>
            <c:idx val="5"/>
            <c:invertIfNegative val="0"/>
            <c:bubble3D val="0"/>
            <c:spPr>
              <a:solidFill>
                <a:schemeClr val="bg2">
                  <a:lumMod val="75000"/>
                </a:schemeClr>
              </a:solidFill>
              <a:ln>
                <a:noFill/>
              </a:ln>
              <a:effectLst/>
            </c:spPr>
          </c:dPt>
          <c:dPt>
            <c:idx val="6"/>
            <c:invertIfNegative val="0"/>
            <c:bubble3D val="0"/>
            <c:spPr>
              <a:solidFill>
                <a:schemeClr val="bg2">
                  <a:lumMod val="75000"/>
                </a:schemeClr>
              </a:solidFill>
              <a:ln>
                <a:noFill/>
              </a:ln>
              <a:effectLst/>
            </c:spPr>
          </c:dPt>
          <c:dPt>
            <c:idx val="7"/>
            <c:invertIfNegative val="0"/>
            <c:bubble3D val="0"/>
            <c:spPr>
              <a:solidFill>
                <a:schemeClr val="bg2">
                  <a:lumMod val="75000"/>
                </a:schemeClr>
              </a:solidFill>
              <a:ln>
                <a:noFill/>
              </a:ln>
              <a:effectLst/>
            </c:spPr>
          </c:dPt>
          <c:dPt>
            <c:idx val="8"/>
            <c:invertIfNegative val="0"/>
            <c:bubble3D val="0"/>
            <c:spPr>
              <a:solidFill>
                <a:schemeClr val="bg2">
                  <a:lumMod val="75000"/>
                </a:schemeClr>
              </a:solidFill>
              <a:ln>
                <a:noFill/>
              </a:ln>
              <a:effectLst/>
            </c:spPr>
          </c:dPt>
          <c:cat>
            <c:strRef>
              <c:f>Revenue!$A$19:$A$31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Revenue!$E$19:$E$31</c:f>
              <c:numCache>
                <c:formatCode>_-* #,##0_-;\-* #,##0_-;_-* "-"??_-;_-@_-</c:formatCode>
                <c:ptCount val="12"/>
                <c:pt idx="0">
                  <c:v>1609530</c:v>
                </c:pt>
                <c:pt idx="2">
                  <c:v>1853138</c:v>
                </c:pt>
                <c:pt idx="3">
                  <c:v>852414</c:v>
                </c:pt>
                <c:pt idx="5">
                  <c:v>2218663</c:v>
                </c:pt>
                <c:pt idx="6">
                  <c:v>1410896</c:v>
                </c:pt>
                <c:pt idx="7">
                  <c:v>2805966</c:v>
                </c:pt>
                <c:pt idx="8">
                  <c:v>4277593</c:v>
                </c:pt>
                <c:pt idx="9">
                  <c:v>1941095</c:v>
                </c:pt>
                <c:pt idx="10">
                  <c:v>1244190</c:v>
                </c:pt>
                <c:pt idx="11">
                  <c:v>3295051</c:v>
                </c:pt>
              </c:numCache>
            </c:numRef>
          </c:val>
          <c:extLst>
            <c:ext xmlns:c16="http://schemas.microsoft.com/office/drawing/2014/chart" uri="{C3380CC4-5D6E-409C-BE32-E72D297353CC}">
              <c16:uniqueId val="{00000054-6D8E-4704-81C6-241D6D647E76}"/>
            </c:ext>
          </c:extLst>
        </c:ser>
        <c:dLbls>
          <c:showLegendKey val="0"/>
          <c:showVal val="0"/>
          <c:showCatName val="0"/>
          <c:showSerName val="0"/>
          <c:showPercent val="0"/>
          <c:showBubbleSize val="0"/>
        </c:dLbls>
        <c:gapWidth val="150"/>
        <c:overlap val="100"/>
        <c:serLines>
          <c:spPr>
            <a:ln w="9525" cap="flat" cmpd="sng" algn="ctr">
              <a:solidFill>
                <a:schemeClr val="tx1">
                  <a:lumMod val="35000"/>
                  <a:lumOff val="65000"/>
                </a:schemeClr>
              </a:solidFill>
              <a:round/>
            </a:ln>
            <a:effectLst/>
          </c:spPr>
        </c:serLines>
        <c:axId val="82162511"/>
        <c:axId val="82175823"/>
      </c:barChart>
      <c:catAx>
        <c:axId val="82162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5823"/>
        <c:crosses val="autoZero"/>
        <c:auto val="1"/>
        <c:lblAlgn val="ctr"/>
        <c:lblOffset val="100"/>
        <c:noMultiLvlLbl val="0"/>
      </c:catAx>
      <c:valAx>
        <c:axId val="82175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Revenue (Rp)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[Logistic and Transportation 2024_Data Analysis (ver2).xlsx]Revenue!pvtTopCust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Top 5 Customers Contribution</a:t>
            </a:r>
          </a:p>
          <a:p>
            <a:pPr>
              <a:defRPr/>
            </a:pPr>
            <a:r>
              <a:rPr lang="en-ID" sz="1400" b="0" i="0" u="none" strike="noStrike" baseline="0"/>
              <a:t>Revenue &amp; Orders 2024</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Revenue!$B$45</c:f>
              <c:strCache>
                <c:ptCount val="1"/>
                <c:pt idx="0">
                  <c:v>Sum of Revenue</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Revenue!$A$46:$A$51</c:f>
              <c:strCache>
                <c:ptCount val="5"/>
                <c:pt idx="0">
                  <c:v>CV Transindo</c:v>
                </c:pt>
                <c:pt idx="1">
                  <c:v>PT Lintas Jaya</c:v>
                </c:pt>
                <c:pt idx="2">
                  <c:v>PT Sumber Makmur</c:v>
                </c:pt>
                <c:pt idx="3">
                  <c:v>PT Berkah Abadi</c:v>
                </c:pt>
                <c:pt idx="4">
                  <c:v>CV Logindo</c:v>
                </c:pt>
              </c:strCache>
            </c:strRef>
          </c:cat>
          <c:val>
            <c:numRef>
              <c:f>Revenue!$B$46:$B$51</c:f>
              <c:numCache>
                <c:formatCode>_-* #,##0_-;\-* #,##0_-;_-* "-"??_-;_-@_-</c:formatCode>
                <c:ptCount val="5"/>
                <c:pt idx="0">
                  <c:v>12037965</c:v>
                </c:pt>
                <c:pt idx="1">
                  <c:v>13641545</c:v>
                </c:pt>
                <c:pt idx="2">
                  <c:v>18229861</c:v>
                </c:pt>
                <c:pt idx="3">
                  <c:v>20523785</c:v>
                </c:pt>
                <c:pt idx="4">
                  <c:v>22420039</c:v>
                </c:pt>
              </c:numCache>
            </c:numRef>
          </c:val>
          <c:extLst>
            <c:ext xmlns:c16="http://schemas.microsoft.com/office/drawing/2014/chart" uri="{C3380CC4-5D6E-409C-BE32-E72D297353CC}">
              <c16:uniqueId val="{00000000-A50C-4236-96B9-87105F699C36}"/>
            </c:ext>
          </c:extLst>
        </c:ser>
        <c:ser>
          <c:idx val="1"/>
          <c:order val="1"/>
          <c:tx>
            <c:strRef>
              <c:f>Revenue!$C$45</c:f>
              <c:strCache>
                <c:ptCount val="1"/>
                <c:pt idx="0">
                  <c:v>Count of OrderID</c:v>
                </c:pt>
              </c:strCache>
            </c:strRef>
          </c:tx>
          <c:spPr>
            <a:solidFill>
              <a:schemeClr val="accent3">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Revenue!$A$46:$A$51</c:f>
              <c:strCache>
                <c:ptCount val="5"/>
                <c:pt idx="0">
                  <c:v>CV Transindo</c:v>
                </c:pt>
                <c:pt idx="1">
                  <c:v>PT Lintas Jaya</c:v>
                </c:pt>
                <c:pt idx="2">
                  <c:v>PT Sumber Makmur</c:v>
                </c:pt>
                <c:pt idx="3">
                  <c:v>PT Berkah Abadi</c:v>
                </c:pt>
                <c:pt idx="4">
                  <c:v>CV Logindo</c:v>
                </c:pt>
              </c:strCache>
            </c:strRef>
          </c:cat>
          <c:val>
            <c:numRef>
              <c:f>Revenue!$C$46:$C$51</c:f>
              <c:numCache>
                <c:formatCode>_-* #,##0_-;\-* #,##0_-;_-* "-"??_-;_-@_-</c:formatCode>
                <c:ptCount val="5"/>
                <c:pt idx="0">
                  <c:v>13</c:v>
                </c:pt>
                <c:pt idx="1">
                  <c:v>16</c:v>
                </c:pt>
                <c:pt idx="2">
                  <c:v>17</c:v>
                </c:pt>
                <c:pt idx="3">
                  <c:v>21</c:v>
                </c:pt>
                <c:pt idx="4">
                  <c:v>21</c:v>
                </c:pt>
              </c:numCache>
            </c:numRef>
          </c:val>
          <c:extLst>
            <c:ext xmlns:c16="http://schemas.microsoft.com/office/drawing/2014/chart" uri="{C3380CC4-5D6E-409C-BE32-E72D297353CC}">
              <c16:uniqueId val="{00000002-36AE-47CF-B2C2-9C229469A259}"/>
            </c:ext>
          </c:extLst>
        </c:ser>
        <c:dLbls>
          <c:dLblPos val="outEnd"/>
          <c:showLegendKey val="0"/>
          <c:showVal val="1"/>
          <c:showCatName val="0"/>
          <c:showSerName val="0"/>
          <c:showPercent val="0"/>
          <c:showBubbleSize val="0"/>
        </c:dLbls>
        <c:gapWidth val="182"/>
        <c:axId val="83894591"/>
        <c:axId val="83909567"/>
      </c:barChart>
      <c:catAx>
        <c:axId val="8389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09567"/>
        <c:crosses val="autoZero"/>
        <c:auto val="1"/>
        <c:lblAlgn val="ctr"/>
        <c:lblOffset val="100"/>
        <c:noMultiLvlLbl val="0"/>
      </c:catAx>
      <c:valAx>
        <c:axId val="83909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Revenue</a:t>
                </a:r>
                <a:r>
                  <a:rPr lang="en-ID" baseline="0"/>
                  <a:t> (Rp)</a:t>
                </a:r>
                <a:endParaRPr lang="en-ID"/>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[Logistic and Transportation 2024_Data Analysis (ver2).xlsx]Operational!pvtDistance_Order</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Monthly Operational</a:t>
            </a:r>
            <a:r>
              <a:rPr lang="en-ID" baseline="0"/>
              <a:t> Performance by Route Type</a:t>
            </a:r>
          </a:p>
          <a:p>
            <a:pPr>
              <a:defRPr/>
            </a:pPr>
            <a:r>
              <a:rPr lang="en-ID" baseline="0"/>
              <a:t>Year 2024</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dk1">
              <a:tint val="88500"/>
            </a:schemeClr>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Operational!$B$34:$B$36</c:f>
              <c:strCache>
                <c:ptCount val="1"/>
                <c:pt idx="0">
                  <c:v>Intercity</c:v>
                </c:pt>
              </c:strCache>
            </c:strRef>
          </c:tx>
          <c:spPr>
            <a:ln w="28575" cap="rnd">
              <a:solidFill>
                <a:schemeClr val="dk1">
                  <a:tint val="88500"/>
                </a:schemeClr>
              </a:solidFill>
              <a:round/>
            </a:ln>
            <a:effectLst/>
          </c:spPr>
          <c:marker>
            <c:symbol val="none"/>
          </c:marker>
          <c:cat>
            <c:strRef>
              <c:f>Operational!$A$37:$A$48</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Operational!$B$37:$B$48</c:f>
              <c:numCache>
                <c:formatCode>General</c:formatCode>
                <c:ptCount val="11"/>
                <c:pt idx="0">
                  <c:v>10</c:v>
                </c:pt>
                <c:pt idx="1">
                  <c:v>8</c:v>
                </c:pt>
                <c:pt idx="2">
                  <c:v>5</c:v>
                </c:pt>
                <c:pt idx="3">
                  <c:v>10</c:v>
                </c:pt>
                <c:pt idx="4">
                  <c:v>8</c:v>
                </c:pt>
                <c:pt idx="5">
                  <c:v>7</c:v>
                </c:pt>
                <c:pt idx="6">
                  <c:v>7</c:v>
                </c:pt>
                <c:pt idx="7">
                  <c:v>7</c:v>
                </c:pt>
                <c:pt idx="8">
                  <c:v>10</c:v>
                </c:pt>
                <c:pt idx="9">
                  <c:v>5</c:v>
                </c:pt>
                <c:pt idx="10">
                  <c:v>8</c:v>
                </c:pt>
              </c:numCache>
            </c:numRef>
          </c:val>
          <c:smooth val="0"/>
          <c:extLst>
            <c:ext xmlns:c16="http://schemas.microsoft.com/office/drawing/2014/chart" uri="{C3380CC4-5D6E-409C-BE32-E72D297353CC}">
              <c16:uniqueId val="{00000000-24EC-4E4A-BE48-364A95CD99F5}"/>
            </c:ext>
          </c:extLst>
        </c:ser>
        <c:ser>
          <c:idx val="1"/>
          <c:order val="1"/>
          <c:tx>
            <c:strRef>
              <c:f>Operational!$C$34:$C$36</c:f>
              <c:strCache>
                <c:ptCount val="1"/>
                <c:pt idx="0">
                  <c:v>Within City</c:v>
                </c:pt>
              </c:strCache>
            </c:strRef>
          </c:tx>
          <c:spPr>
            <a:ln w="28575" cap="rnd">
              <a:solidFill>
                <a:schemeClr val="dk1">
                  <a:tint val="55000"/>
                </a:schemeClr>
              </a:solidFill>
              <a:round/>
            </a:ln>
            <a:effectLst/>
          </c:spPr>
          <c:marker>
            <c:symbol val="none"/>
          </c:marker>
          <c:cat>
            <c:strRef>
              <c:f>Operational!$A$37:$A$48</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Operational!$C$37:$C$48</c:f>
              <c:numCache>
                <c:formatCode>General</c:formatCode>
                <c:ptCount val="11"/>
                <c:pt idx="0">
                  <c:v>0</c:v>
                </c:pt>
                <c:pt idx="1">
                  <c:v>2</c:v>
                </c:pt>
                <c:pt idx="2">
                  <c:v>1</c:v>
                </c:pt>
                <c:pt idx="3">
                  <c:v>2</c:v>
                </c:pt>
                <c:pt idx="4">
                  <c:v>1</c:v>
                </c:pt>
                <c:pt idx="5">
                  <c:v>0</c:v>
                </c:pt>
                <c:pt idx="6">
                  <c:v>0</c:v>
                </c:pt>
                <c:pt idx="7">
                  <c:v>2</c:v>
                </c:pt>
                <c:pt idx="8">
                  <c:v>2</c:v>
                </c:pt>
                <c:pt idx="9">
                  <c:v>0</c:v>
                </c:pt>
                <c:pt idx="10">
                  <c:v>1</c:v>
                </c:pt>
              </c:numCache>
            </c:numRef>
          </c:val>
          <c:smooth val="0"/>
          <c:extLst>
            <c:ext xmlns:c16="http://schemas.microsoft.com/office/drawing/2014/chart" uri="{C3380CC4-5D6E-409C-BE32-E72D297353CC}">
              <c16:uniqueId val="{00000003-7554-4580-97A5-B7D115A4FA15}"/>
            </c:ext>
          </c:extLst>
        </c:ser>
        <c:dLbls>
          <c:showLegendKey val="0"/>
          <c:showVal val="0"/>
          <c:showCatName val="0"/>
          <c:showSerName val="0"/>
          <c:showPercent val="0"/>
          <c:showBubbleSize val="0"/>
        </c:dLbls>
        <c:smooth val="0"/>
        <c:axId val="710785919"/>
        <c:axId val="710786751"/>
      </c:lineChart>
      <c:catAx>
        <c:axId val="710785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786751"/>
        <c:crosses val="autoZero"/>
        <c:auto val="1"/>
        <c:lblAlgn val="ctr"/>
        <c:lblOffset val="100"/>
        <c:noMultiLvlLbl val="0"/>
      </c:catAx>
      <c:valAx>
        <c:axId val="710786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Total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78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0" i="0" u="none" strike="noStrike" baseline="0"/>
              <a:t>Monthly Operational Performance: </a:t>
            </a:r>
          </a:p>
          <a:p>
            <a:pPr>
              <a:defRPr/>
            </a:pPr>
            <a:r>
              <a:rPr lang="en-ID" sz="1400" b="0" i="0" u="none" strike="noStrike" baseline="0"/>
              <a:t>Revenue, Fuel Cost, and Profit Margin</a:t>
            </a:r>
          </a:p>
          <a:p>
            <a:pPr>
              <a:defRPr/>
            </a:pPr>
            <a:r>
              <a:rPr lang="en-ID" sz="1400" b="0" i="0" u="none" strike="noStrike" baseline="0"/>
              <a:t>Year 2024</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1"/>
          <c:order val="1"/>
          <c:tx>
            <c:strRef>
              <c:f>Operational!$B$68</c:f>
              <c:strCache>
                <c:ptCount val="1"/>
                <c:pt idx="0">
                  <c:v>Fuel Cost-I</c:v>
                </c:pt>
              </c:strCache>
              <c:extLst xmlns:c15="http://schemas.microsoft.com/office/drawing/2012/chart"/>
            </c:strRef>
          </c:tx>
          <c:spPr>
            <a:solidFill>
              <a:schemeClr val="accent1">
                <a:shade val="55000"/>
              </a:schemeClr>
            </a:solidFill>
            <a:ln>
              <a:noFill/>
            </a:ln>
            <a:effectLst/>
          </c:spPr>
          <c:dLbls>
            <c:delete val="1"/>
          </c:dLbls>
          <c:cat>
            <c:strRef>
              <c:extLst>
                <c:ext xmlns:c15="http://schemas.microsoft.com/office/drawing/2012/chart" uri="{02D57815-91ED-43cb-92C2-25804820EDAC}">
                  <c15:fullRef>
                    <c15:sqref>Operational!$A$69:$A$80</c15:sqref>
                  </c15:fullRef>
                </c:ext>
              </c:extLst>
              <c:f>Operational!$A$69:$A$80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Operational!$B$69:$B$81</c15:sqref>
                  </c15:fullRef>
                </c:ext>
              </c:extLst>
              <c:f>Operational!$B$69:$B$80</c:f>
              <c:numCache>
                <c:formatCode>_-* #,##0_-;\-* #,##0_-;_-* "-"??_-;_-@_-</c:formatCode>
                <c:ptCount val="12"/>
                <c:pt idx="0">
                  <c:v>1343186</c:v>
                </c:pt>
                <c:pt idx="1">
                  <c:v>632456</c:v>
                </c:pt>
                <c:pt idx="2">
                  <c:v>1750836</c:v>
                </c:pt>
                <c:pt idx="3">
                  <c:v>890773</c:v>
                </c:pt>
                <c:pt idx="4">
                  <c:v>1985602</c:v>
                </c:pt>
                <c:pt idx="5">
                  <c:v>1877223</c:v>
                </c:pt>
                <c:pt idx="6">
                  <c:v>1392722</c:v>
                </c:pt>
                <c:pt idx="7">
                  <c:v>1277560</c:v>
                </c:pt>
                <c:pt idx="8">
                  <c:v>1169129</c:v>
                </c:pt>
                <c:pt idx="9">
                  <c:v>1929333</c:v>
                </c:pt>
                <c:pt idx="10">
                  <c:v>1015329</c:v>
                </c:pt>
                <c:pt idx="11">
                  <c:v>1666949</c:v>
                </c:pt>
              </c:numCache>
            </c:numRef>
          </c:val>
          <c:extLst xmlns:c15="http://schemas.microsoft.com/office/drawing/2012/chart">
            <c:ext xmlns:c16="http://schemas.microsoft.com/office/drawing/2014/chart" uri="{C3380CC4-5D6E-409C-BE32-E72D297353CC}">
              <c16:uniqueId val="{00000001-FEA5-4CDC-9F77-9391241C7BAB}"/>
            </c:ext>
          </c:extLst>
        </c:ser>
        <c:dLbls>
          <c:showLegendKey val="0"/>
          <c:showVal val="1"/>
          <c:showCatName val="0"/>
          <c:showSerName val="0"/>
          <c:showPercent val="0"/>
          <c:showBubbleSize val="0"/>
        </c:dLbls>
        <c:axId val="919649759"/>
        <c:axId val="919650175"/>
        <c:extLst>
          <c:ext xmlns:c15="http://schemas.microsoft.com/office/drawing/2012/chart" uri="{02D57815-91ED-43cb-92C2-25804820EDAC}">
            <c15:filteredAreaSeries>
              <c15:ser>
                <c:idx val="3"/>
                <c:order val="3"/>
                <c:tx>
                  <c:strRef>
                    <c:extLst>
                      <c:ext uri="{02D57815-91ED-43cb-92C2-25804820EDAC}">
                        <c15:formulaRef>
                          <c15:sqref>Operational!$D$68</c15:sqref>
                        </c15:formulaRef>
                      </c:ext>
                    </c:extLst>
                    <c:strCache>
                      <c:ptCount val="1"/>
                      <c:pt idx="0">
                        <c:v>Fuel Cost-W</c:v>
                      </c:pt>
                    </c:strCache>
                  </c:strRef>
                </c:tx>
                <c:spPr>
                  <a:solidFill>
                    <a:schemeClr val="accent1">
                      <a:shade val="80000"/>
                    </a:schemeClr>
                  </a:solidFill>
                  <a:ln>
                    <a:noFill/>
                  </a:ln>
                  <a:effectLst/>
                </c:spPr>
                <c:dLbls>
                  <c:delete val="1"/>
                </c:dLbls>
                <c:cat>
                  <c:strRef>
                    <c:extLst>
                      <c:ex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ullRef>
                          <c15:sqref>Operational!$D$69:$D$81</c15:sqref>
                        </c15:fullRef>
                        <c15:formulaRef>
                          <c15:sqref>Operational!$D$69:$D$80</c15:sqref>
                        </c15:formulaRef>
                      </c:ext>
                    </c:extLst>
                    <c:numCache>
                      <c:formatCode>_-* #,##0_-;\-* #,##0_-;_-* "-"??_-;_-@_-</c:formatCode>
                      <c:ptCount val="12"/>
                      <c:pt idx="0">
                        <c:v>0</c:v>
                      </c:pt>
                      <c:pt idx="1">
                        <c:v>0</c:v>
                      </c:pt>
                      <c:pt idx="2">
                        <c:v>130040</c:v>
                      </c:pt>
                      <c:pt idx="3">
                        <c:v>218999</c:v>
                      </c:pt>
                      <c:pt idx="4">
                        <c:v>346002</c:v>
                      </c:pt>
                      <c:pt idx="5">
                        <c:v>202650</c:v>
                      </c:pt>
                      <c:pt idx="6">
                        <c:v>0</c:v>
                      </c:pt>
                      <c:pt idx="7">
                        <c:v>0</c:v>
                      </c:pt>
                      <c:pt idx="8">
                        <c:v>593362</c:v>
                      </c:pt>
                      <c:pt idx="9">
                        <c:v>535287</c:v>
                      </c:pt>
                      <c:pt idx="10">
                        <c:v>0</c:v>
                      </c:pt>
                      <c:pt idx="11">
                        <c:v>301552</c:v>
                      </c:pt>
                    </c:numCache>
                  </c:numRef>
                </c:val>
                <c:extLst>
                  <c:ext xmlns:c16="http://schemas.microsoft.com/office/drawing/2014/chart" uri="{C3380CC4-5D6E-409C-BE32-E72D297353CC}">
                    <c16:uniqueId val="{00000003-FEA5-4CDC-9F77-9391241C7BAB}"/>
                  </c:ext>
                </c:extLst>
              </c15:ser>
            </c15:filteredAreaSeries>
            <c15:filteredAreaSeries>
              <c15:ser>
                <c:idx val="5"/>
                <c:order val="5"/>
                <c:tx>
                  <c:strRef>
                    <c:extLst xmlns:c15="http://schemas.microsoft.com/office/drawing/2012/chart">
                      <c:ext xmlns:c15="http://schemas.microsoft.com/office/drawing/2012/chart" uri="{02D57815-91ED-43cb-92C2-25804820EDAC}">
                        <c15:formulaRef>
                          <c15:sqref>Operational!$F$68</c15:sqref>
                        </c15:formulaRef>
                      </c:ext>
                    </c:extLst>
                    <c:strCache>
                      <c:ptCount val="1"/>
                      <c:pt idx="0">
                        <c:v>Grand Total Fuel Cost </c:v>
                      </c:pt>
                    </c:strCache>
                  </c:strRef>
                </c:tx>
                <c:spPr>
                  <a:solidFill>
                    <a:schemeClr val="accent1">
                      <a:tint val="94000"/>
                    </a:schemeClr>
                  </a:solidFill>
                  <a:ln>
                    <a:noFill/>
                  </a:ln>
                  <a:effectLst/>
                </c:spPr>
                <c:dLbls>
                  <c:delete val="1"/>
                </c:dLbls>
                <c:cat>
                  <c:strRef>
                    <c:extLst>
                      <c:ext xmlns:c15="http://schemas.microsoft.com/office/drawing/2012/char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Operational!$F$69:$F$81</c15:sqref>
                        </c15:fullRef>
                        <c15:formulaRef>
                          <c15:sqref>Operational!$F$69:$F$80</c15:sqref>
                        </c15:formulaRef>
                      </c:ext>
                    </c:extLst>
                    <c:numCache>
                      <c:formatCode>_-* #,##0_-;\-* #,##0_-;_-* "-"??_-;_-@_-</c:formatCode>
                      <c:ptCount val="12"/>
                      <c:pt idx="0">
                        <c:v>1343186</c:v>
                      </c:pt>
                      <c:pt idx="1">
                        <c:v>632456</c:v>
                      </c:pt>
                      <c:pt idx="2">
                        <c:v>1880876</c:v>
                      </c:pt>
                      <c:pt idx="3">
                        <c:v>1109772</c:v>
                      </c:pt>
                      <c:pt idx="4">
                        <c:v>2331604</c:v>
                      </c:pt>
                      <c:pt idx="5">
                        <c:v>2079873</c:v>
                      </c:pt>
                      <c:pt idx="6">
                        <c:v>1392722</c:v>
                      </c:pt>
                      <c:pt idx="7">
                        <c:v>1277560</c:v>
                      </c:pt>
                      <c:pt idx="8">
                        <c:v>1762491</c:v>
                      </c:pt>
                      <c:pt idx="9">
                        <c:v>2464620</c:v>
                      </c:pt>
                      <c:pt idx="10">
                        <c:v>1015329</c:v>
                      </c:pt>
                      <c:pt idx="11">
                        <c:v>1968501</c:v>
                      </c:pt>
                    </c:numCache>
                  </c:numRef>
                </c:val>
                <c:extLst xmlns:c15="http://schemas.microsoft.com/office/drawing/2012/chart">
                  <c:ext xmlns:c16="http://schemas.microsoft.com/office/drawing/2014/chart" uri="{C3380CC4-5D6E-409C-BE32-E72D297353CC}">
                    <c16:uniqueId val="{00000005-FEA5-4CDC-9F77-9391241C7BAB}"/>
                  </c:ext>
                </c:extLst>
              </c15:ser>
            </c15:filteredAreaSeries>
          </c:ext>
        </c:extLst>
      </c:areaChart>
      <c:barChart>
        <c:barDir val="col"/>
        <c:grouping val="clustered"/>
        <c:varyColors val="0"/>
        <c:ser>
          <c:idx val="6"/>
          <c:order val="6"/>
          <c:tx>
            <c:strRef>
              <c:f>Operational!$G$68</c:f>
              <c:strCache>
                <c:ptCount val="1"/>
                <c:pt idx="0">
                  <c:v>Grand Total Revenue</c:v>
                </c:pt>
              </c:strCache>
              <c:extLst xmlns:c15="http://schemas.microsoft.com/office/drawing/2012/chart"/>
            </c:strRef>
          </c:tx>
          <c:spPr>
            <a:solidFill>
              <a:schemeClr val="accent1">
                <a:tint val="81000"/>
              </a:schemeClr>
            </a:solidFill>
            <a:ln>
              <a:noFill/>
            </a:ln>
            <a:effectLst/>
          </c:spPr>
          <c:invertIfNegative val="0"/>
          <c:dLbls>
            <c:delete val="1"/>
          </c:dLbls>
          <c:cat>
            <c:strRef>
              <c:extLst>
                <c:ext xmlns:c15="http://schemas.microsoft.com/office/drawing/2012/chart" uri="{02D57815-91ED-43cb-92C2-25804820EDAC}">
                  <c15:fullRef>
                    <c15:sqref>Operational!$A$69:$A$80</c15:sqref>
                  </c15:fullRef>
                </c:ext>
              </c:extLst>
              <c:f>Operational!$A$69:$A$80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Operational!$G$69:$G$81</c15:sqref>
                  </c15:fullRef>
                </c:ext>
              </c:extLst>
              <c:f>Operational!$G$69:$G$80</c:f>
              <c:numCache>
                <c:formatCode>_-* #,##0_-;\-* #,##0_-;_-* "-"??_-;_-@_-</c:formatCode>
                <c:ptCount val="12"/>
                <c:pt idx="0">
                  <c:v>7878270</c:v>
                </c:pt>
                <c:pt idx="1">
                  <c:v>3109293</c:v>
                </c:pt>
                <c:pt idx="2">
                  <c:v>9379318</c:v>
                </c:pt>
                <c:pt idx="3">
                  <c:v>5318603</c:v>
                </c:pt>
                <c:pt idx="4">
                  <c:v>11934171</c:v>
                </c:pt>
                <c:pt idx="5">
                  <c:v>11596475</c:v>
                </c:pt>
                <c:pt idx="6">
                  <c:v>7221755</c:v>
                </c:pt>
                <c:pt idx="7">
                  <c:v>5764098</c:v>
                </c:pt>
                <c:pt idx="8">
                  <c:v>8804441</c:v>
                </c:pt>
                <c:pt idx="9">
                  <c:v>12409735</c:v>
                </c:pt>
                <c:pt idx="10">
                  <c:v>6211547</c:v>
                </c:pt>
                <c:pt idx="11">
                  <c:v>9988944</c:v>
                </c:pt>
              </c:numCache>
            </c:numRef>
          </c:val>
          <c:extLst xmlns:c15="http://schemas.microsoft.com/office/drawing/2012/chart">
            <c:ext xmlns:c16="http://schemas.microsoft.com/office/drawing/2014/chart" uri="{C3380CC4-5D6E-409C-BE32-E72D297353CC}">
              <c16:uniqueId val="{00000006-FEA5-4CDC-9F77-9391241C7BAB}"/>
            </c:ext>
          </c:extLst>
        </c:ser>
        <c:dLbls>
          <c:showLegendKey val="0"/>
          <c:showVal val="1"/>
          <c:showCatName val="0"/>
          <c:showSerName val="0"/>
          <c:showPercent val="0"/>
          <c:showBubbleSize val="0"/>
        </c:dLbls>
        <c:gapWidth val="150"/>
        <c:axId val="919649759"/>
        <c:axId val="919650175"/>
        <c:extLst>
          <c:ext xmlns:c15="http://schemas.microsoft.com/office/drawing/2012/chart" uri="{02D57815-91ED-43cb-92C2-25804820EDAC}">
            <c15:filteredBarSeries>
              <c15:ser>
                <c:idx val="0"/>
                <c:order val="0"/>
                <c:tx>
                  <c:strRef>
                    <c:extLst>
                      <c:ext uri="{02D57815-91ED-43cb-92C2-25804820EDAC}">
                        <c15:formulaRef>
                          <c15:sqref>Operational!$A$68</c15:sqref>
                        </c15:formulaRef>
                      </c:ext>
                    </c:extLst>
                    <c:strCache>
                      <c:ptCount val="1"/>
                      <c:pt idx="0">
                        <c:v>Months</c:v>
                      </c:pt>
                    </c:strCache>
                  </c:strRef>
                </c:tx>
                <c:spPr>
                  <a:solidFill>
                    <a:schemeClr val="accent1">
                      <a:shade val="42000"/>
                    </a:schemeClr>
                  </a:solidFill>
                  <a:ln>
                    <a:noFill/>
                  </a:ln>
                  <a:effectLst/>
                </c:spPr>
                <c:invertIfNegative val="0"/>
                <c:dLbls>
                  <c:delete val="1"/>
                </c:dLbls>
                <c:cat>
                  <c:strRef>
                    <c:extLst>
                      <c:ex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ullRef>
                          <c15:sqref>Operational!$A$69:$A$81</c15:sqref>
                        </c15:fullRef>
                        <c15:formulaRef>
                          <c15:sqref>Operational!$A$69:$A$80</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FEA5-4CDC-9F77-9391241C7BAB}"/>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Operational!$C$68</c15:sqref>
                        </c15:formulaRef>
                      </c:ext>
                    </c:extLst>
                    <c:strCache>
                      <c:ptCount val="1"/>
                      <c:pt idx="0">
                        <c:v>Total Revenue-I</c:v>
                      </c:pt>
                    </c:strCache>
                  </c:strRef>
                </c:tx>
                <c:spPr>
                  <a:solidFill>
                    <a:schemeClr val="accent1">
                      <a:shade val="68000"/>
                    </a:schemeClr>
                  </a:solidFill>
                  <a:ln>
                    <a:noFill/>
                  </a:ln>
                  <a:effectLst/>
                </c:spPr>
                <c:invertIfNegative val="0"/>
                <c:dLbls>
                  <c:delete val="1"/>
                </c:dLbls>
                <c:cat>
                  <c:strRef>
                    <c:extLst>
                      <c:ext xmlns:c15="http://schemas.microsoft.com/office/drawing/2012/char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Operational!$C$69:$C$81</c15:sqref>
                        </c15:fullRef>
                        <c15:formulaRef>
                          <c15:sqref>Operational!$C$69:$C$80</c15:sqref>
                        </c15:formulaRef>
                      </c:ext>
                    </c:extLst>
                    <c:numCache>
                      <c:formatCode>_-* #,##0_-;\-* #,##0_-;_-* "-"??_-;_-@_-</c:formatCode>
                      <c:ptCount val="12"/>
                      <c:pt idx="0">
                        <c:v>7878270</c:v>
                      </c:pt>
                      <c:pt idx="1">
                        <c:v>3109293</c:v>
                      </c:pt>
                      <c:pt idx="2">
                        <c:v>8767215</c:v>
                      </c:pt>
                      <c:pt idx="3">
                        <c:v>4466189</c:v>
                      </c:pt>
                      <c:pt idx="4">
                        <c:v>10228666</c:v>
                      </c:pt>
                      <c:pt idx="5">
                        <c:v>10337992</c:v>
                      </c:pt>
                      <c:pt idx="6">
                        <c:v>7221755</c:v>
                      </c:pt>
                      <c:pt idx="7">
                        <c:v>5764098</c:v>
                      </c:pt>
                      <c:pt idx="8">
                        <c:v>5949240</c:v>
                      </c:pt>
                      <c:pt idx="9">
                        <c:v>9417202</c:v>
                      </c:pt>
                      <c:pt idx="10">
                        <c:v>6211547</c:v>
                      </c:pt>
                      <c:pt idx="11">
                        <c:v>8134020</c:v>
                      </c:pt>
                    </c:numCache>
                  </c:numRef>
                </c:val>
                <c:extLst xmlns:c15="http://schemas.microsoft.com/office/drawing/2012/chart">
                  <c:ext xmlns:c16="http://schemas.microsoft.com/office/drawing/2014/chart" uri="{C3380CC4-5D6E-409C-BE32-E72D297353CC}">
                    <c16:uniqueId val="{00000002-FEA5-4CDC-9F77-9391241C7BAB}"/>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Operational!$E$68</c15:sqref>
                        </c15:formulaRef>
                      </c:ext>
                    </c:extLst>
                    <c:strCache>
                      <c:ptCount val="1"/>
                      <c:pt idx="0">
                        <c:v>Total Revenue-W</c:v>
                      </c:pt>
                    </c:strCache>
                  </c:strRef>
                </c:tx>
                <c:spPr>
                  <a:solidFill>
                    <a:schemeClr val="accent1">
                      <a:shade val="93000"/>
                    </a:schemeClr>
                  </a:solidFill>
                  <a:ln>
                    <a:noFill/>
                  </a:ln>
                  <a:effectLst/>
                </c:spPr>
                <c:invertIfNegative val="0"/>
                <c:dLbls>
                  <c:delete val="1"/>
                </c:dLbls>
                <c:val>
                  <c:numRef>
                    <c:extLst>
                      <c:ext xmlns:c15="http://schemas.microsoft.com/office/drawing/2012/chart" uri="{02D57815-91ED-43cb-92C2-25804820EDAC}">
                        <c15:fullRef>
                          <c15:sqref>Operational!$E$69:$E$81</c15:sqref>
                        </c15:fullRef>
                        <c15:formulaRef>
                          <c15:sqref>Operational!$E$69:$E$80</c15:sqref>
                        </c15:formulaRef>
                      </c:ext>
                    </c:extLst>
                    <c:numCache>
                      <c:formatCode>_-* #,##0_-;\-* #,##0_-;_-* "-"??_-;_-@_-</c:formatCode>
                      <c:ptCount val="12"/>
                      <c:pt idx="0">
                        <c:v>0</c:v>
                      </c:pt>
                      <c:pt idx="1">
                        <c:v>0</c:v>
                      </c:pt>
                      <c:pt idx="2">
                        <c:v>612103</c:v>
                      </c:pt>
                      <c:pt idx="3">
                        <c:v>852414</c:v>
                      </c:pt>
                      <c:pt idx="4">
                        <c:v>1705505</c:v>
                      </c:pt>
                      <c:pt idx="5">
                        <c:v>1258483</c:v>
                      </c:pt>
                      <c:pt idx="6">
                        <c:v>0</c:v>
                      </c:pt>
                      <c:pt idx="7">
                        <c:v>0</c:v>
                      </c:pt>
                      <c:pt idx="8">
                        <c:v>2855201</c:v>
                      </c:pt>
                      <c:pt idx="9">
                        <c:v>2992533</c:v>
                      </c:pt>
                      <c:pt idx="10">
                        <c:v>0</c:v>
                      </c:pt>
                      <c:pt idx="11">
                        <c:v>1854924</c:v>
                      </c:pt>
                    </c:numCache>
                  </c:numRef>
                </c:val>
                <c:extLst xmlns:c15="http://schemas.microsoft.com/office/drawing/2012/chart">
                  <c:ext xmlns:c16="http://schemas.microsoft.com/office/drawing/2014/chart" uri="{C3380CC4-5D6E-409C-BE32-E72D297353CC}">
                    <c16:uniqueId val="{00000004-FEA5-4CDC-9F77-9391241C7BAB}"/>
                  </c:ext>
                </c:extLst>
              </c15:ser>
            </c15:filteredBarSeries>
          </c:ext>
        </c:extLst>
      </c:barChart>
      <c:lineChart>
        <c:grouping val="standard"/>
        <c:varyColors val="0"/>
        <c:ser>
          <c:idx val="9"/>
          <c:order val="9"/>
          <c:tx>
            <c:strRef>
              <c:f>Operational!$J$68</c:f>
              <c:strCache>
                <c:ptCount val="1"/>
                <c:pt idx="0">
                  <c:v>Margin Profit</c:v>
                </c:pt>
              </c:strCache>
              <c:extLst xmlns:c15="http://schemas.microsoft.com/office/drawing/2012/chart"/>
            </c:strRef>
          </c:tx>
          <c:spPr>
            <a:ln w="28575" cap="rnd">
              <a:solidFill>
                <a:schemeClr val="accent1">
                  <a:tint val="43000"/>
                </a:schemeClr>
              </a:solidFill>
              <a:round/>
            </a:ln>
            <a:effectLst/>
          </c:spPr>
          <c:marker>
            <c:symbol val="circle"/>
            <c:size val="5"/>
            <c:spPr>
              <a:solidFill>
                <a:schemeClr val="accent1">
                  <a:tint val="43000"/>
                </a:schemeClr>
              </a:solidFill>
              <a:ln w="9525">
                <a:solidFill>
                  <a:schemeClr val="accent1">
                    <a:tint val="43000"/>
                  </a:schemeClr>
                </a:solidFill>
              </a:ln>
              <a:effectLst/>
            </c:spPr>
          </c:marker>
          <c:dLbls>
            <c:dLbl>
              <c:idx val="1"/>
              <c:layout>
                <c:manualLayout>
                  <c:x val="-1.9179488573514245E-2"/>
                  <c:y val="-6.6276803118908448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D-FEA5-4CDC-9F77-9391241C7BAB}"/>
                </c:ext>
              </c:extLst>
            </c:dLbl>
            <c:dLbl>
              <c:idx val="2"/>
              <c:layout>
                <c:manualLayout>
                  <c:x val="3.4871797406389473E-3"/>
                  <c:y val="-4.2884990253411304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E-6A4E-4F2B-B54D-7EF9A5F88D64}"/>
                </c:ext>
              </c:extLst>
            </c:dLbl>
            <c:dLbl>
              <c:idx val="3"/>
              <c:layout>
                <c:manualLayout>
                  <c:x val="-1.7435898703194736E-3"/>
                  <c:y val="5.8479532163742687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F-6A4E-4F2B-B54D-7EF9A5F88D64}"/>
                </c:ext>
              </c:extLst>
            </c:dLbl>
            <c:dLbl>
              <c:idx val="5"/>
              <c:layout>
                <c:manualLayout>
                  <c:x val="-6.3930890043283489E-17"/>
                  <c:y val="-1.559454191033138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0-6A4E-4F2B-B54D-7EF9A5F88D64}"/>
                </c:ext>
              </c:extLst>
            </c:dLbl>
            <c:dLbl>
              <c:idx val="8"/>
              <c:layout>
                <c:manualLayout>
                  <c:x val="-3.1384617665750653E-2"/>
                  <c:y val="-5.8479532163742687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1-6A4E-4F2B-B54D-7EF9A5F88D64}"/>
                </c:ext>
              </c:extLst>
            </c:dLbl>
            <c:dLbl>
              <c:idx val="11"/>
              <c:layout>
                <c:manualLayout>
                  <c:x val="-2.4410258184472632E-2"/>
                  <c:y val="-8.966861598440545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2-6A4E-4F2B-B54D-7EF9A5F88D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Operational!$J$69:$J$81</c15:sqref>
                  </c15:fullRef>
                </c:ext>
              </c:extLst>
              <c:f>Operational!$J$69:$J$80</c:f>
              <c:numCache>
                <c:formatCode>0.00%</c:formatCode>
                <c:ptCount val="12"/>
                <c:pt idx="0">
                  <c:v>0.82950749339639285</c:v>
                </c:pt>
                <c:pt idx="1">
                  <c:v>0.79659170107159405</c:v>
                </c:pt>
                <c:pt idx="2">
                  <c:v>0.79946559014205509</c:v>
                </c:pt>
                <c:pt idx="3">
                  <c:v>0.79134144812086937</c:v>
                </c:pt>
                <c:pt idx="4">
                  <c:v>0.80462790419208841</c:v>
                </c:pt>
                <c:pt idx="5">
                  <c:v>0.82064610150929485</c:v>
                </c:pt>
                <c:pt idx="6">
                  <c:v>0.80714909326057172</c:v>
                </c:pt>
                <c:pt idx="7">
                  <c:v>0.77835907717044361</c:v>
                </c:pt>
                <c:pt idx="8">
                  <c:v>0.79981795550677215</c:v>
                </c:pt>
                <c:pt idx="9">
                  <c:v>0.80139624254667807</c:v>
                </c:pt>
                <c:pt idx="10">
                  <c:v>0.83654168599223344</c:v>
                </c:pt>
                <c:pt idx="11">
                  <c:v>0.8029320216431286</c:v>
                </c:pt>
              </c:numCache>
            </c:numRef>
          </c:val>
          <c:smooth val="0"/>
          <c:extLst xmlns:c15="http://schemas.microsoft.com/office/drawing/2012/chart">
            <c:ext xmlns:c16="http://schemas.microsoft.com/office/drawing/2014/chart" uri="{C3380CC4-5D6E-409C-BE32-E72D297353CC}">
              <c16:uniqueId val="{0000000C-FEA5-4CDC-9F77-9391241C7BAB}"/>
            </c:ext>
          </c:extLst>
        </c:ser>
        <c:dLbls>
          <c:showLegendKey val="0"/>
          <c:showVal val="1"/>
          <c:showCatName val="0"/>
          <c:showSerName val="0"/>
          <c:showPercent val="0"/>
          <c:showBubbleSize val="0"/>
        </c:dLbls>
        <c:marker val="1"/>
        <c:smooth val="0"/>
        <c:axId val="917841311"/>
        <c:axId val="917845471"/>
        <c:extLst>
          <c:ext xmlns:c15="http://schemas.microsoft.com/office/drawing/2012/chart" uri="{02D57815-91ED-43cb-92C2-25804820EDAC}">
            <c15:filteredLineSeries>
              <c15:ser>
                <c:idx val="7"/>
                <c:order val="7"/>
                <c:tx>
                  <c:strRef>
                    <c:extLst>
                      <c:ext uri="{02D57815-91ED-43cb-92C2-25804820EDAC}">
                        <c15:formulaRef>
                          <c15:sqref>Operational!$H$68</c15:sqref>
                        </c15:formulaRef>
                      </c:ext>
                    </c:extLst>
                    <c:strCache>
                      <c:ptCount val="1"/>
                      <c:pt idx="0">
                        <c:v>Intercity - Margin Profit</c:v>
                      </c:pt>
                    </c:strCache>
                  </c:strRef>
                </c:tx>
                <c:spPr>
                  <a:ln w="28575" cap="rnd">
                    <a:solidFill>
                      <a:schemeClr val="accent1">
                        <a:tint val="69000"/>
                      </a:schemeClr>
                    </a:solidFill>
                    <a:round/>
                  </a:ln>
                  <a:effectLst/>
                </c:spPr>
                <c:marker>
                  <c:symbol val="circle"/>
                  <c:size val="5"/>
                  <c:spPr>
                    <a:solidFill>
                      <a:schemeClr val="accent1">
                        <a:tint val="69000"/>
                      </a:schemeClr>
                    </a:solidFill>
                    <a:ln w="9525">
                      <a:solidFill>
                        <a:schemeClr val="accent1">
                          <a:tint val="69000"/>
                        </a:schemeClr>
                      </a:solidFill>
                    </a:ln>
                    <a:effectLst/>
                  </c:spPr>
                </c:marker>
                <c:dLbls>
                  <c:dLbl>
                    <c:idx val="1"/>
                    <c:layout>
                      <c:manualLayout>
                        <c:x val="-1.7366155108381957E-2"/>
                        <c:y val="6.0458012923823044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2-6A4E-4F2B-B54D-7EF9A5F88D64}"/>
                      </c:ext>
                    </c:extLst>
                  </c:dLbl>
                  <c:dLbl>
                    <c:idx val="7"/>
                    <c:layout>
                      <c:manualLayout>
                        <c:x val="-1.3878975367743011E-2"/>
                        <c:y val="5.2660741968657429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1-6A4E-4F2B-B54D-7EF9A5F88D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ullRef>
                          <c15:sqref>Operational!$H$69:$H$81</c15:sqref>
                        </c15:fullRef>
                        <c15:formulaRef>
                          <c15:sqref>Operational!$H$69:$H$80</c15:sqref>
                        </c15:formulaRef>
                      </c:ext>
                    </c:extLst>
                    <c:numCache>
                      <c:formatCode>0.00%</c:formatCode>
                      <c:ptCount val="12"/>
                      <c:pt idx="0">
                        <c:v>0.82950749339639285</c:v>
                      </c:pt>
                      <c:pt idx="1">
                        <c:v>0.79659170107159405</c:v>
                      </c:pt>
                      <c:pt idx="2">
                        <c:v>0.8002973578268584</c:v>
                      </c:pt>
                      <c:pt idx="3">
                        <c:v>0.80055187991372512</c:v>
                      </c:pt>
                      <c:pt idx="4">
                        <c:v>0.80587869425006153</c:v>
                      </c:pt>
                      <c:pt idx="5">
                        <c:v>0.81841512355590906</c:v>
                      </c:pt>
                      <c:pt idx="6">
                        <c:v>0.80714909326057172</c:v>
                      </c:pt>
                      <c:pt idx="7">
                        <c:v>0.77835907717044361</c:v>
                      </c:pt>
                      <c:pt idx="8">
                        <c:v>0.80348262971404749</c:v>
                      </c:pt>
                      <c:pt idx="9">
                        <c:v>0.79512672660095851</c:v>
                      </c:pt>
                      <c:pt idx="10">
                        <c:v>0.83654168599223344</c:v>
                      </c:pt>
                      <c:pt idx="11">
                        <c:v>0.795064556025188</c:v>
                      </c:pt>
                    </c:numCache>
                  </c:numRef>
                </c:val>
                <c:smooth val="0"/>
                <c:extLst>
                  <c:ext xmlns:c16="http://schemas.microsoft.com/office/drawing/2014/chart" uri="{C3380CC4-5D6E-409C-BE32-E72D297353CC}">
                    <c16:uniqueId val="{00000008-FEA5-4CDC-9F77-9391241C7BA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Operational!$I$68</c15:sqref>
                        </c15:formulaRef>
                      </c:ext>
                    </c:extLst>
                    <c:strCache>
                      <c:ptCount val="1"/>
                      <c:pt idx="0">
                        <c:v>Within City - Margin Profit</c:v>
                      </c:pt>
                    </c:strCache>
                  </c:strRef>
                </c:tx>
                <c:spPr>
                  <a:ln w="28575" cap="rnd">
                    <a:solidFill>
                      <a:schemeClr val="accent1">
                        <a:tint val="56000"/>
                      </a:schemeClr>
                    </a:solidFill>
                    <a:round/>
                  </a:ln>
                  <a:effectLst/>
                </c:spPr>
                <c:marker>
                  <c:symbol val="circle"/>
                  <c:size val="5"/>
                  <c:spPr>
                    <a:solidFill>
                      <a:schemeClr val="accent1">
                        <a:tint val="56000"/>
                      </a:schemeClr>
                    </a:solidFill>
                    <a:ln w="9525">
                      <a:solidFill>
                        <a:schemeClr val="accent1">
                          <a:tint val="56000"/>
                        </a:schemeClr>
                      </a:solidFill>
                    </a:ln>
                    <a:effectLst/>
                  </c:spPr>
                </c:marker>
                <c:dLbls>
                  <c:dLbl>
                    <c:idx val="0"/>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D-6A4E-4F2B-B54D-7EF9A5F88D64}"/>
                      </c:ext>
                    </c:extLst>
                  </c:dLbl>
                  <c:dLbl>
                    <c:idx val="1"/>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C-6A4E-4F2B-B54D-7EF9A5F88D64}"/>
                      </c:ext>
                    </c:extLst>
                  </c:dLbl>
                  <c:dLbl>
                    <c:idx val="2"/>
                    <c:layout>
                      <c:manualLayout>
                        <c:x val="-6.3930890043283489E-17"/>
                        <c:y val="-3.898635477582849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6A4E-4F2B-B54D-7EF9A5F88D64}"/>
                      </c:ext>
                    </c:extLst>
                  </c:dLbl>
                  <c:dLbl>
                    <c:idx val="3"/>
                    <c:layout>
                      <c:manualLayout>
                        <c:x val="3.4871797406389473E-3"/>
                        <c:y val="4.6783625730994149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6A4E-4F2B-B54D-7EF9A5F88D64}"/>
                      </c:ext>
                    </c:extLst>
                  </c:dLbl>
                  <c:dLbl>
                    <c:idx val="4"/>
                    <c:layout>
                      <c:manualLayout>
                        <c:x val="-1.7435898703194736E-3"/>
                        <c:y val="4.678362573099408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6A4E-4F2B-B54D-7EF9A5F88D64}"/>
                      </c:ext>
                    </c:extLst>
                  </c:dLbl>
                  <c:dLbl>
                    <c:idx val="5"/>
                    <c:layout>
                      <c:manualLayout>
                        <c:x val="1.0461539221916843E-2"/>
                        <c:y val="-1.1695906432748574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6A4E-4F2B-B54D-7EF9A5F88D64}"/>
                      </c:ext>
                    </c:extLst>
                  </c:dLbl>
                  <c:dLbl>
                    <c:idx val="6"/>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A-6A4E-4F2B-B54D-7EF9A5F88D64}"/>
                      </c:ext>
                    </c:extLst>
                  </c:dLbl>
                  <c:dLbl>
                    <c:idx val="7"/>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B-6A4E-4F2B-B54D-7EF9A5F88D64}"/>
                      </c:ext>
                    </c:extLst>
                  </c:dLbl>
                  <c:dLbl>
                    <c:idx val="8"/>
                    <c:layout>
                      <c:manualLayout>
                        <c:x val="-1.7435898703194736E-3"/>
                        <c:y val="5.0682261208576995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7-6A4E-4F2B-B54D-7EF9A5F88D64}"/>
                      </c:ext>
                    </c:extLst>
                  </c:dLbl>
                  <c:dLbl>
                    <c:idx val="10"/>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9-6A4E-4F2B-B54D-7EF9A5F88D64}"/>
                      </c:ext>
                    </c:extLst>
                  </c:dLbl>
                  <c:dLbl>
                    <c:idx val="11"/>
                    <c:layout>
                      <c:manualLayout>
                        <c:x val="-4.0102567017347893E-2"/>
                        <c:y val="-6.2378167641325574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6A4E-4F2B-B54D-7EF9A5F88D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Operational!$A$69:$A$80</c15:sqref>
                        </c15:fullRef>
                        <c15:formulaRef>
                          <c15:sqref>Operational!$A$69:$A$80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Operational!$I$69:$I$81</c15:sqref>
                        </c15:fullRef>
                        <c15:formulaRef>
                          <c15:sqref>Operational!$I$69:$I$80</c15:sqref>
                        </c15:formulaRef>
                      </c:ext>
                    </c:extLst>
                    <c:numCache>
                      <c:formatCode>0.00%</c:formatCode>
                      <c:ptCount val="12"/>
                      <c:pt idx="0">
                        <c:v>0</c:v>
                      </c:pt>
                      <c:pt idx="1">
                        <c:v>0</c:v>
                      </c:pt>
                      <c:pt idx="2">
                        <c:v>0.78755209499054901</c:v>
                      </c:pt>
                      <c:pt idx="3">
                        <c:v>0.74308375976931396</c:v>
                      </c:pt>
                      <c:pt idx="4">
                        <c:v>0.79712636433197204</c:v>
                      </c:pt>
                      <c:pt idx="5">
                        <c:v>0.83897279502385014</c:v>
                      </c:pt>
                      <c:pt idx="6">
                        <c:v>0</c:v>
                      </c:pt>
                      <c:pt idx="7">
                        <c:v>0</c:v>
                      </c:pt>
                      <c:pt idx="8">
                        <c:v>0.79218205653472384</c:v>
                      </c:pt>
                      <c:pt idx="9">
                        <c:v>0.82112578207157616</c:v>
                      </c:pt>
                      <c:pt idx="10">
                        <c:v>0</c:v>
                      </c:pt>
                      <c:pt idx="11">
                        <c:v>0.83743161444889391</c:v>
                      </c:pt>
                    </c:numCache>
                  </c:numRef>
                </c:val>
                <c:smooth val="0"/>
                <c:extLst xmlns:c15="http://schemas.microsoft.com/office/drawing/2012/chart">
                  <c:ext xmlns:c16="http://schemas.microsoft.com/office/drawing/2014/chart" uri="{C3380CC4-5D6E-409C-BE32-E72D297353CC}">
                    <c16:uniqueId val="{00000009-FEA5-4CDC-9F77-9391241C7BAB}"/>
                  </c:ext>
                </c:extLst>
              </c15:ser>
            </c15:filteredLineSeries>
          </c:ext>
        </c:extLst>
      </c:lineChart>
      <c:catAx>
        <c:axId val="919649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50175"/>
        <c:crosses val="autoZero"/>
        <c:auto val="1"/>
        <c:lblAlgn val="ctr"/>
        <c:lblOffset val="100"/>
        <c:noMultiLvlLbl val="0"/>
      </c:catAx>
      <c:valAx>
        <c:axId val="919650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Revenue</a:t>
                </a:r>
              </a:p>
              <a:p>
                <a:pPr>
                  <a:defRPr/>
                </a:pP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49759"/>
        <c:crosses val="autoZero"/>
        <c:crossBetween val="between"/>
      </c:valAx>
      <c:valAx>
        <c:axId val="91784547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841311"/>
        <c:crosses val="max"/>
        <c:crossBetween val="between"/>
      </c:valAx>
      <c:catAx>
        <c:axId val="917841311"/>
        <c:scaling>
          <c:orientation val="minMax"/>
        </c:scaling>
        <c:delete val="1"/>
        <c:axPos val="b"/>
        <c:numFmt formatCode="General" sourceLinked="1"/>
        <c:majorTickMark val="out"/>
        <c:minorTickMark val="none"/>
        <c:tickLblPos val="nextTo"/>
        <c:crossAx val="91784547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aseline="0"/>
              <a:t>Top 5 Driver by Total Order &amp; Performance Rate</a:t>
            </a:r>
          </a:p>
          <a:p>
            <a:pPr>
              <a:defRPr/>
            </a:pPr>
            <a:r>
              <a:rPr lang="en-ID" baseline="0"/>
              <a:t>Year 2024</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Operational!$B$117</c:f>
              <c:strCache>
                <c:ptCount val="1"/>
                <c:pt idx="0">
                  <c:v>Cancelled</c:v>
                </c:pt>
              </c:strCache>
            </c:strRef>
          </c:tx>
          <c:spPr>
            <a:solidFill>
              <a:schemeClr val="accent3">
                <a:shade val="53000"/>
              </a:schemeClr>
            </a:solidFill>
            <a:ln>
              <a:noFill/>
            </a:ln>
            <a:effectLst/>
          </c:spPr>
          <c:invertIfNegative val="0"/>
          <c:cat>
            <c:strRef>
              <c:f>Operational!$A$118:$A$122</c:f>
              <c:strCache>
                <c:ptCount val="5"/>
                <c:pt idx="0">
                  <c:v>Andi</c:v>
                </c:pt>
                <c:pt idx="1">
                  <c:v>Eko</c:v>
                </c:pt>
                <c:pt idx="2">
                  <c:v>Rizal</c:v>
                </c:pt>
                <c:pt idx="3">
                  <c:v>Joko</c:v>
                </c:pt>
                <c:pt idx="4">
                  <c:v>Slamet</c:v>
                </c:pt>
              </c:strCache>
            </c:strRef>
          </c:cat>
          <c:val>
            <c:numRef>
              <c:f>Operational!$B$118:$B$122</c:f>
              <c:numCache>
                <c:formatCode>0</c:formatCode>
                <c:ptCount val="5"/>
                <c:pt idx="0">
                  <c:v>1</c:v>
                </c:pt>
                <c:pt idx="1">
                  <c:v>0</c:v>
                </c:pt>
                <c:pt idx="2">
                  <c:v>1</c:v>
                </c:pt>
                <c:pt idx="3">
                  <c:v>0</c:v>
                </c:pt>
                <c:pt idx="4">
                  <c:v>1</c:v>
                </c:pt>
              </c:numCache>
            </c:numRef>
          </c:val>
          <c:extLst>
            <c:ext xmlns:c16="http://schemas.microsoft.com/office/drawing/2014/chart" uri="{C3380CC4-5D6E-409C-BE32-E72D297353CC}">
              <c16:uniqueId val="{00000000-9752-411E-9FD4-5A0E774B9CB5}"/>
            </c:ext>
          </c:extLst>
        </c:ser>
        <c:ser>
          <c:idx val="1"/>
          <c:order val="1"/>
          <c:tx>
            <c:strRef>
              <c:f>Operational!$C$117</c:f>
              <c:strCache>
                <c:ptCount val="1"/>
                <c:pt idx="0">
                  <c:v>Late</c:v>
                </c:pt>
              </c:strCache>
            </c:strRef>
          </c:tx>
          <c:spPr>
            <a:solidFill>
              <a:schemeClr val="accent3">
                <a:shade val="76000"/>
              </a:schemeClr>
            </a:solidFill>
            <a:ln>
              <a:noFill/>
            </a:ln>
            <a:effectLst/>
          </c:spPr>
          <c:invertIfNegative val="0"/>
          <c:cat>
            <c:strRef>
              <c:f>Operational!$A$118:$A$122</c:f>
              <c:strCache>
                <c:ptCount val="5"/>
                <c:pt idx="0">
                  <c:v>Andi</c:v>
                </c:pt>
                <c:pt idx="1">
                  <c:v>Eko</c:v>
                </c:pt>
                <c:pt idx="2">
                  <c:v>Rizal</c:v>
                </c:pt>
                <c:pt idx="3">
                  <c:v>Joko</c:v>
                </c:pt>
                <c:pt idx="4">
                  <c:v>Slamet</c:v>
                </c:pt>
              </c:strCache>
            </c:strRef>
          </c:cat>
          <c:val>
            <c:numRef>
              <c:f>Operational!$C$118:$C$122</c:f>
              <c:numCache>
                <c:formatCode>0</c:formatCode>
                <c:ptCount val="5"/>
                <c:pt idx="0">
                  <c:v>7</c:v>
                </c:pt>
                <c:pt idx="1">
                  <c:v>3</c:v>
                </c:pt>
                <c:pt idx="2">
                  <c:v>3</c:v>
                </c:pt>
                <c:pt idx="3">
                  <c:v>4</c:v>
                </c:pt>
                <c:pt idx="4">
                  <c:v>1</c:v>
                </c:pt>
              </c:numCache>
            </c:numRef>
          </c:val>
          <c:extLst>
            <c:ext xmlns:c16="http://schemas.microsoft.com/office/drawing/2014/chart" uri="{C3380CC4-5D6E-409C-BE32-E72D297353CC}">
              <c16:uniqueId val="{00000001-9752-411E-9FD4-5A0E774B9CB5}"/>
            </c:ext>
          </c:extLst>
        </c:ser>
        <c:ser>
          <c:idx val="2"/>
          <c:order val="2"/>
          <c:tx>
            <c:strRef>
              <c:f>Operational!$D$117</c:f>
              <c:strCache>
                <c:ptCount val="1"/>
                <c:pt idx="0">
                  <c:v>On-time</c:v>
                </c:pt>
              </c:strCache>
            </c:strRef>
          </c:tx>
          <c:spPr>
            <a:solidFill>
              <a:schemeClr val="accent3"/>
            </a:solidFill>
            <a:ln>
              <a:noFill/>
            </a:ln>
            <a:effectLst/>
          </c:spPr>
          <c:invertIfNegative val="0"/>
          <c:cat>
            <c:strRef>
              <c:f>Operational!$A$118:$A$122</c:f>
              <c:strCache>
                <c:ptCount val="5"/>
                <c:pt idx="0">
                  <c:v>Andi</c:v>
                </c:pt>
                <c:pt idx="1">
                  <c:v>Eko</c:v>
                </c:pt>
                <c:pt idx="2">
                  <c:v>Rizal</c:v>
                </c:pt>
                <c:pt idx="3">
                  <c:v>Joko</c:v>
                </c:pt>
                <c:pt idx="4">
                  <c:v>Slamet</c:v>
                </c:pt>
              </c:strCache>
            </c:strRef>
          </c:cat>
          <c:val>
            <c:numRef>
              <c:f>Operational!$D$118:$D$122</c:f>
              <c:numCache>
                <c:formatCode>0</c:formatCode>
                <c:ptCount val="5"/>
                <c:pt idx="0">
                  <c:v>10</c:v>
                </c:pt>
                <c:pt idx="1">
                  <c:v>14</c:v>
                </c:pt>
                <c:pt idx="2">
                  <c:v>12</c:v>
                </c:pt>
                <c:pt idx="3">
                  <c:v>12</c:v>
                </c:pt>
                <c:pt idx="4">
                  <c:v>11</c:v>
                </c:pt>
              </c:numCache>
            </c:numRef>
          </c:val>
          <c:extLst>
            <c:ext xmlns:c16="http://schemas.microsoft.com/office/drawing/2014/chart" uri="{C3380CC4-5D6E-409C-BE32-E72D297353CC}">
              <c16:uniqueId val="{00000002-9752-411E-9FD4-5A0E774B9CB5}"/>
            </c:ext>
          </c:extLst>
        </c:ser>
        <c:dLbls>
          <c:showLegendKey val="0"/>
          <c:showVal val="0"/>
          <c:showCatName val="0"/>
          <c:showSerName val="0"/>
          <c:showPercent val="0"/>
          <c:showBubbleSize val="0"/>
        </c:dLbls>
        <c:gapWidth val="150"/>
        <c:overlap val="100"/>
        <c:axId val="812995167"/>
        <c:axId val="812997247"/>
        <c:extLst>
          <c:ext xmlns:c15="http://schemas.microsoft.com/office/drawing/2012/chart" uri="{02D57815-91ED-43cb-92C2-25804820EDAC}">
            <c15:filteredBarSeries>
              <c15:ser>
                <c:idx val="3"/>
                <c:order val="3"/>
                <c:tx>
                  <c:strRef>
                    <c:extLst>
                      <c:ext uri="{02D57815-91ED-43cb-92C2-25804820EDAC}">
                        <c15:formulaRef>
                          <c15:sqref>Operational!$E$117</c15:sqref>
                        </c15:formulaRef>
                      </c:ext>
                    </c:extLst>
                    <c:strCache>
                      <c:ptCount val="1"/>
                      <c:pt idx="0">
                        <c:v>Total Contribution</c:v>
                      </c:pt>
                    </c:strCache>
                  </c:strRef>
                </c:tx>
                <c:spPr>
                  <a:solidFill>
                    <a:schemeClr val="accent3">
                      <a:tint val="77000"/>
                    </a:schemeClr>
                  </a:solidFill>
                  <a:ln>
                    <a:noFill/>
                  </a:ln>
                  <a:effectLst/>
                </c:spPr>
                <c:invertIfNegative val="0"/>
                <c:cat>
                  <c:strRef>
                    <c:extLst>
                      <c:ext uri="{02D57815-91ED-43cb-92C2-25804820EDAC}">
                        <c15:formulaRef>
                          <c15:sqref>Operational!$A$118:$A$122</c15:sqref>
                        </c15:formulaRef>
                      </c:ext>
                    </c:extLst>
                    <c:strCache>
                      <c:ptCount val="5"/>
                      <c:pt idx="0">
                        <c:v>Andi</c:v>
                      </c:pt>
                      <c:pt idx="1">
                        <c:v>Eko</c:v>
                      </c:pt>
                      <c:pt idx="2">
                        <c:v>Rizal</c:v>
                      </c:pt>
                      <c:pt idx="3">
                        <c:v>Joko</c:v>
                      </c:pt>
                      <c:pt idx="4">
                        <c:v>Slamet</c:v>
                      </c:pt>
                    </c:strCache>
                  </c:strRef>
                </c:cat>
                <c:val>
                  <c:numRef>
                    <c:extLst>
                      <c:ext uri="{02D57815-91ED-43cb-92C2-25804820EDAC}">
                        <c15:formulaRef>
                          <c15:sqref>Operational!$E$118:$E$122</c15:sqref>
                        </c15:formulaRef>
                      </c:ext>
                    </c:extLst>
                    <c:numCache>
                      <c:formatCode>General</c:formatCode>
                      <c:ptCount val="5"/>
                      <c:pt idx="0">
                        <c:v>18</c:v>
                      </c:pt>
                      <c:pt idx="1">
                        <c:v>17</c:v>
                      </c:pt>
                      <c:pt idx="2">
                        <c:v>16</c:v>
                      </c:pt>
                      <c:pt idx="3">
                        <c:v>16</c:v>
                      </c:pt>
                      <c:pt idx="4">
                        <c:v>13</c:v>
                      </c:pt>
                    </c:numCache>
                  </c:numRef>
                </c:val>
                <c:extLst>
                  <c:ext xmlns:c16="http://schemas.microsoft.com/office/drawing/2014/chart" uri="{C3380CC4-5D6E-409C-BE32-E72D297353CC}">
                    <c16:uniqueId val="{00000003-9752-411E-9FD4-5A0E774B9CB5}"/>
                  </c:ext>
                </c:extLst>
              </c15:ser>
            </c15:filteredBarSeries>
          </c:ext>
        </c:extLst>
      </c:barChart>
      <c:lineChart>
        <c:grouping val="standard"/>
        <c:varyColors val="0"/>
        <c:ser>
          <c:idx val="4"/>
          <c:order val="4"/>
          <c:tx>
            <c:strRef>
              <c:f>Operational!$F$117</c:f>
              <c:strCache>
                <c:ptCount val="1"/>
                <c:pt idx="0">
                  <c:v>Driver's Performance Rate**</c:v>
                </c:pt>
              </c:strCache>
            </c:strRef>
          </c:tx>
          <c:spPr>
            <a:ln w="28575" cap="rnd">
              <a:noFill/>
              <a:round/>
            </a:ln>
            <a:effectLst/>
          </c:spPr>
          <c:marker>
            <c:symbol val="dash"/>
            <c:size val="30"/>
            <c:spPr>
              <a:solidFill>
                <a:schemeClr val="accent3">
                  <a:tint val="54000"/>
                </a:schemeClr>
              </a:solidFill>
              <a:ln w="9525">
                <a:solidFill>
                  <a:schemeClr val="accent3">
                    <a:tint val="54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Operational!$A$118:$A$122</c:f>
              <c:strCache>
                <c:ptCount val="5"/>
                <c:pt idx="0">
                  <c:v>Andi</c:v>
                </c:pt>
                <c:pt idx="1">
                  <c:v>Eko</c:v>
                </c:pt>
                <c:pt idx="2">
                  <c:v>Rizal</c:v>
                </c:pt>
                <c:pt idx="3">
                  <c:v>Joko</c:v>
                </c:pt>
                <c:pt idx="4">
                  <c:v>Slamet</c:v>
                </c:pt>
              </c:strCache>
            </c:strRef>
          </c:cat>
          <c:val>
            <c:numRef>
              <c:f>Operational!$F$118:$F$122</c:f>
              <c:numCache>
                <c:formatCode>0%</c:formatCode>
                <c:ptCount val="5"/>
                <c:pt idx="0">
                  <c:v>0.3611111111111111</c:v>
                </c:pt>
                <c:pt idx="1">
                  <c:v>0.73529411764705888</c:v>
                </c:pt>
                <c:pt idx="2">
                  <c:v>0.65625</c:v>
                </c:pt>
                <c:pt idx="3">
                  <c:v>0.625</c:v>
                </c:pt>
                <c:pt idx="4">
                  <c:v>0.80769230769230771</c:v>
                </c:pt>
              </c:numCache>
            </c:numRef>
          </c:val>
          <c:smooth val="0"/>
          <c:extLst>
            <c:ext xmlns:c16="http://schemas.microsoft.com/office/drawing/2014/chart" uri="{C3380CC4-5D6E-409C-BE32-E72D297353CC}">
              <c16:uniqueId val="{00000004-9752-411E-9FD4-5A0E774B9CB5}"/>
            </c:ext>
          </c:extLst>
        </c:ser>
        <c:dLbls>
          <c:showLegendKey val="0"/>
          <c:showVal val="0"/>
          <c:showCatName val="0"/>
          <c:showSerName val="0"/>
          <c:showPercent val="0"/>
          <c:showBubbleSize val="0"/>
        </c:dLbls>
        <c:marker val="1"/>
        <c:smooth val="0"/>
        <c:axId val="1259576879"/>
        <c:axId val="1259576047"/>
      </c:lineChart>
      <c:catAx>
        <c:axId val="81299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997247"/>
        <c:crosses val="autoZero"/>
        <c:auto val="1"/>
        <c:lblAlgn val="ctr"/>
        <c:lblOffset val="100"/>
        <c:noMultiLvlLbl val="0"/>
      </c:catAx>
      <c:valAx>
        <c:axId val="812997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995167"/>
        <c:crosses val="autoZero"/>
        <c:crossBetween val="between"/>
      </c:valAx>
      <c:valAx>
        <c:axId val="12595760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576879"/>
        <c:crosses val="max"/>
        <c:crossBetween val="between"/>
      </c:valAx>
      <c:catAx>
        <c:axId val="1259576879"/>
        <c:scaling>
          <c:orientation val="minMax"/>
        </c:scaling>
        <c:delete val="1"/>
        <c:axPos val="b"/>
        <c:numFmt formatCode="General" sourceLinked="1"/>
        <c:majorTickMark val="out"/>
        <c:minorTickMark val="none"/>
        <c:tickLblPos val="nextTo"/>
        <c:crossAx val="12595760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Driver's</a:t>
            </a:r>
            <a:r>
              <a:rPr lang="en-US" baseline="0"/>
              <a:t> </a:t>
            </a:r>
            <a:r>
              <a:rPr lang="en-US"/>
              <a:t>Contribution by Total</a:t>
            </a:r>
            <a:r>
              <a:rPr lang="en-US" baseline="0"/>
              <a:t> </a:t>
            </a:r>
            <a:r>
              <a:rPr lang="en-US"/>
              <a:t>Order</a:t>
            </a:r>
          </a:p>
          <a:p>
            <a:pPr>
              <a:defRPr/>
            </a:pPr>
            <a:r>
              <a:rPr lang="en-US"/>
              <a:t>Year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3"/>
          <c:order val="3"/>
          <c:tx>
            <c:strRef>
              <c:f>Operational!$E$117</c:f>
              <c:strCache>
                <c:ptCount val="1"/>
                <c:pt idx="0">
                  <c:v>Total Contribution</c:v>
                </c:pt>
              </c:strCache>
            </c:strRef>
          </c:tx>
          <c:dPt>
            <c:idx val="0"/>
            <c:bubble3D val="0"/>
            <c:spPr>
              <a:solidFill>
                <a:schemeClr val="accent3">
                  <a:tint val="48000"/>
                </a:schemeClr>
              </a:solidFill>
              <a:ln w="19050">
                <a:solidFill>
                  <a:schemeClr val="lt1"/>
                </a:solidFill>
              </a:ln>
              <a:effectLst/>
            </c:spPr>
            <c:extLst>
              <c:ext xmlns:c16="http://schemas.microsoft.com/office/drawing/2014/chart" uri="{C3380CC4-5D6E-409C-BE32-E72D297353CC}">
                <c16:uniqueId val="{00000001-A336-4F88-89AD-99781DB152B7}"/>
              </c:ext>
            </c:extLst>
          </c:dPt>
          <c:dPt>
            <c:idx val="1"/>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3-A336-4F88-89AD-99781DB152B7}"/>
              </c:ext>
            </c:extLst>
          </c:dPt>
          <c:dPt>
            <c:idx val="2"/>
            <c:bubble3D val="0"/>
            <c:spPr>
              <a:solidFill>
                <a:schemeClr val="accent3">
                  <a:tint val="83000"/>
                </a:schemeClr>
              </a:solidFill>
              <a:ln w="19050">
                <a:solidFill>
                  <a:schemeClr val="lt1"/>
                </a:solidFill>
              </a:ln>
              <a:effectLst/>
            </c:spPr>
            <c:extLst>
              <c:ext xmlns:c16="http://schemas.microsoft.com/office/drawing/2014/chart" uri="{C3380CC4-5D6E-409C-BE32-E72D297353CC}">
                <c16:uniqueId val="{00000005-A336-4F88-89AD-99781DB152B7}"/>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A336-4F88-89AD-99781DB152B7}"/>
              </c:ext>
            </c:extLst>
          </c:dPt>
          <c:dPt>
            <c:idx val="4"/>
            <c:bubble3D val="0"/>
            <c:spPr>
              <a:solidFill>
                <a:schemeClr val="accent3">
                  <a:shade val="82000"/>
                </a:schemeClr>
              </a:solidFill>
              <a:ln w="19050">
                <a:solidFill>
                  <a:schemeClr val="lt1"/>
                </a:solidFill>
              </a:ln>
              <a:effectLst/>
            </c:spPr>
            <c:extLst>
              <c:ext xmlns:c16="http://schemas.microsoft.com/office/drawing/2014/chart" uri="{C3380CC4-5D6E-409C-BE32-E72D297353CC}">
                <c16:uniqueId val="{00000009-A336-4F88-89AD-99781DB152B7}"/>
              </c:ext>
            </c:extLst>
          </c:dPt>
          <c:dPt>
            <c:idx val="5"/>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B-A336-4F88-89AD-99781DB152B7}"/>
              </c:ext>
            </c:extLst>
          </c:dPt>
          <c:dPt>
            <c:idx val="6"/>
            <c:bubble3D val="0"/>
            <c:spPr>
              <a:solidFill>
                <a:schemeClr val="accent3">
                  <a:shade val="47000"/>
                </a:schemeClr>
              </a:solidFill>
              <a:ln w="19050">
                <a:solidFill>
                  <a:schemeClr val="lt1"/>
                </a:solidFill>
              </a:ln>
              <a:effectLst/>
            </c:spPr>
            <c:extLst>
              <c:ext xmlns:c16="http://schemas.microsoft.com/office/drawing/2014/chart" uri="{C3380CC4-5D6E-409C-BE32-E72D297353CC}">
                <c16:uniqueId val="{0000000D-A336-4F88-89AD-99781DB152B7}"/>
              </c:ext>
            </c:extLst>
          </c:dPt>
          <c:dLbls>
            <c:dLbl>
              <c:idx val="0"/>
              <c:tx>
                <c:rich>
                  <a:bodyPr/>
                  <a:lstStyle/>
                  <a:p>
                    <a:fld id="{3C2BAEA4-B448-4ECD-A82D-2A47F916EDB7}" type="PERCENTAGE">
                      <a:rPr lang="en-US" b="1" i="0"/>
                      <a:pPr/>
                      <a:t>[PERCENTAGE]</a:t>
                    </a:fld>
                    <a:endParaRPr lang="en-ID"/>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36-4F88-89AD-99781DB152B7}"/>
                </c:ext>
              </c:extLst>
            </c:dLbl>
            <c:dLbl>
              <c:idx val="1"/>
              <c:tx>
                <c:rich>
                  <a:bodyPr/>
                  <a:lstStyle/>
                  <a:p>
                    <a:fld id="{1EE80AEF-9DFF-405B-BC4F-882AA1D00673}" type="PERCENTAGE">
                      <a:rPr lang="en-US" b="0"/>
                      <a:pPr/>
                      <a:t>[PERCENTAGE]</a:t>
                    </a:fld>
                    <a:endParaRPr lang="en-ID"/>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36-4F88-89AD-99781DB152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Operational!$A$118:$A$124</c:f>
              <c:strCache>
                <c:ptCount val="7"/>
                <c:pt idx="0">
                  <c:v>Andi</c:v>
                </c:pt>
                <c:pt idx="1">
                  <c:v>Eko</c:v>
                </c:pt>
                <c:pt idx="2">
                  <c:v>Rizal</c:v>
                </c:pt>
                <c:pt idx="3">
                  <c:v>Joko</c:v>
                </c:pt>
                <c:pt idx="4">
                  <c:v>Slamet</c:v>
                </c:pt>
                <c:pt idx="5">
                  <c:v>Budi</c:v>
                </c:pt>
                <c:pt idx="6">
                  <c:v>Tono</c:v>
                </c:pt>
              </c:strCache>
            </c:strRef>
          </c:cat>
          <c:val>
            <c:numRef>
              <c:f>Operational!$E$118:$E$124</c:f>
              <c:numCache>
                <c:formatCode>General</c:formatCode>
                <c:ptCount val="7"/>
                <c:pt idx="0">
                  <c:v>18</c:v>
                </c:pt>
                <c:pt idx="1">
                  <c:v>17</c:v>
                </c:pt>
                <c:pt idx="2">
                  <c:v>16</c:v>
                </c:pt>
                <c:pt idx="3">
                  <c:v>16</c:v>
                </c:pt>
                <c:pt idx="4">
                  <c:v>13</c:v>
                </c:pt>
                <c:pt idx="5">
                  <c:v>12</c:v>
                </c:pt>
                <c:pt idx="6">
                  <c:v>8</c:v>
                </c:pt>
              </c:numCache>
            </c:numRef>
          </c:val>
          <c:extLst>
            <c:ext xmlns:c16="http://schemas.microsoft.com/office/drawing/2014/chart" uri="{C3380CC4-5D6E-409C-BE32-E72D297353CC}">
              <c16:uniqueId val="{00000003-9737-4B09-83D5-1E6DB0256385}"/>
            </c:ext>
          </c:extLst>
        </c:ser>
        <c:dLbls>
          <c:showLegendKey val="0"/>
          <c:showVal val="1"/>
          <c:showCatName val="0"/>
          <c:showSerName val="0"/>
          <c:showPercent val="0"/>
          <c:showBubbleSize val="0"/>
          <c:showLeaderLines val="1"/>
        </c:dLbls>
        <c:firstSliceAng val="0"/>
        <c:holeSize val="50"/>
        <c:extLst>
          <c:ext xmlns:c15="http://schemas.microsoft.com/office/drawing/2012/chart" uri="{02D57815-91ED-43cb-92C2-25804820EDAC}">
            <c15:filteredPieSeries>
              <c15:ser>
                <c:idx val="0"/>
                <c:order val="0"/>
                <c:tx>
                  <c:strRef>
                    <c:extLst>
                      <c:ext uri="{02D57815-91ED-43cb-92C2-25804820EDAC}">
                        <c15:formulaRef>
                          <c15:sqref>Operational!$B$117</c15:sqref>
                        </c15:formulaRef>
                      </c:ext>
                    </c:extLst>
                    <c:strCache>
                      <c:ptCount val="1"/>
                      <c:pt idx="0">
                        <c:v>Cancelled</c:v>
                      </c:pt>
                    </c:strCache>
                  </c:strRef>
                </c:tx>
                <c:dPt>
                  <c:idx val="0"/>
                  <c:bubble3D val="0"/>
                  <c:spPr>
                    <a:solidFill>
                      <a:schemeClr val="accent3">
                        <a:tint val="48000"/>
                      </a:schemeClr>
                    </a:solidFill>
                    <a:ln w="19050">
                      <a:solidFill>
                        <a:schemeClr val="lt1"/>
                      </a:solidFill>
                    </a:ln>
                    <a:effectLst/>
                  </c:spPr>
                  <c:extLst>
                    <c:ext xmlns:c16="http://schemas.microsoft.com/office/drawing/2014/chart" uri="{C3380CC4-5D6E-409C-BE32-E72D297353CC}">
                      <c16:uniqueId val="{0000000F-A336-4F88-89AD-99781DB152B7}"/>
                    </c:ext>
                  </c:extLst>
                </c:dPt>
                <c:dPt>
                  <c:idx val="1"/>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11-A336-4F88-89AD-99781DB152B7}"/>
                    </c:ext>
                  </c:extLst>
                </c:dPt>
                <c:dPt>
                  <c:idx val="2"/>
                  <c:bubble3D val="0"/>
                  <c:spPr>
                    <a:solidFill>
                      <a:schemeClr val="accent3">
                        <a:tint val="83000"/>
                      </a:schemeClr>
                    </a:solidFill>
                    <a:ln w="19050">
                      <a:solidFill>
                        <a:schemeClr val="lt1"/>
                      </a:solidFill>
                    </a:ln>
                    <a:effectLst/>
                  </c:spPr>
                  <c:extLst>
                    <c:ext xmlns:c16="http://schemas.microsoft.com/office/drawing/2014/chart" uri="{C3380CC4-5D6E-409C-BE32-E72D297353CC}">
                      <c16:uniqueId val="{00000013-A336-4F88-89AD-99781DB152B7}"/>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15-A336-4F88-89AD-99781DB152B7}"/>
                    </c:ext>
                  </c:extLst>
                </c:dPt>
                <c:dPt>
                  <c:idx val="4"/>
                  <c:bubble3D val="0"/>
                  <c:spPr>
                    <a:solidFill>
                      <a:schemeClr val="accent3">
                        <a:shade val="82000"/>
                      </a:schemeClr>
                    </a:solidFill>
                    <a:ln w="19050">
                      <a:solidFill>
                        <a:schemeClr val="lt1"/>
                      </a:solidFill>
                    </a:ln>
                    <a:effectLst/>
                  </c:spPr>
                  <c:extLst>
                    <c:ext xmlns:c16="http://schemas.microsoft.com/office/drawing/2014/chart" uri="{C3380CC4-5D6E-409C-BE32-E72D297353CC}">
                      <c16:uniqueId val="{00000017-A336-4F88-89AD-99781DB152B7}"/>
                    </c:ext>
                  </c:extLst>
                </c:dPt>
                <c:dPt>
                  <c:idx val="5"/>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19-A336-4F88-89AD-99781DB152B7}"/>
                    </c:ext>
                  </c:extLst>
                </c:dPt>
                <c:dPt>
                  <c:idx val="6"/>
                  <c:bubble3D val="0"/>
                  <c:spPr>
                    <a:solidFill>
                      <a:schemeClr val="accent3">
                        <a:shade val="47000"/>
                      </a:schemeClr>
                    </a:solidFill>
                    <a:ln w="19050">
                      <a:solidFill>
                        <a:schemeClr val="lt1"/>
                      </a:solidFill>
                    </a:ln>
                    <a:effectLst/>
                  </c:spPr>
                  <c:extLst>
                    <c:ext xmlns:c16="http://schemas.microsoft.com/office/drawing/2014/chart" uri="{C3380CC4-5D6E-409C-BE32-E72D297353CC}">
                      <c16:uniqueId val="{0000001B-A336-4F88-89AD-99781DB152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Operational!$A$118:$A$124</c15:sqref>
                        </c15:formulaRef>
                      </c:ext>
                    </c:extLst>
                    <c:strCache>
                      <c:ptCount val="7"/>
                      <c:pt idx="0">
                        <c:v>Andi</c:v>
                      </c:pt>
                      <c:pt idx="1">
                        <c:v>Eko</c:v>
                      </c:pt>
                      <c:pt idx="2">
                        <c:v>Rizal</c:v>
                      </c:pt>
                      <c:pt idx="3">
                        <c:v>Joko</c:v>
                      </c:pt>
                      <c:pt idx="4">
                        <c:v>Slamet</c:v>
                      </c:pt>
                      <c:pt idx="5">
                        <c:v>Budi</c:v>
                      </c:pt>
                      <c:pt idx="6">
                        <c:v>Tono</c:v>
                      </c:pt>
                    </c:strCache>
                  </c:strRef>
                </c:cat>
                <c:val>
                  <c:numRef>
                    <c:extLst>
                      <c:ext uri="{02D57815-91ED-43cb-92C2-25804820EDAC}">
                        <c15:formulaRef>
                          <c15:sqref>Operational!$B$118:$B$124</c15:sqref>
                        </c15:formulaRef>
                      </c:ext>
                    </c:extLst>
                    <c:numCache>
                      <c:formatCode>0</c:formatCode>
                      <c:ptCount val="7"/>
                      <c:pt idx="0">
                        <c:v>1</c:v>
                      </c:pt>
                      <c:pt idx="1">
                        <c:v>0</c:v>
                      </c:pt>
                      <c:pt idx="2">
                        <c:v>1</c:v>
                      </c:pt>
                      <c:pt idx="3">
                        <c:v>0</c:v>
                      </c:pt>
                      <c:pt idx="4">
                        <c:v>1</c:v>
                      </c:pt>
                      <c:pt idx="5">
                        <c:v>1</c:v>
                      </c:pt>
                      <c:pt idx="6">
                        <c:v>0</c:v>
                      </c:pt>
                    </c:numCache>
                  </c:numRef>
                </c:val>
                <c:extLst>
                  <c:ext xmlns:c16="http://schemas.microsoft.com/office/drawing/2014/chart" uri="{C3380CC4-5D6E-409C-BE32-E72D297353CC}">
                    <c16:uniqueId val="{00000000-9737-4B09-83D5-1E6DB0256385}"/>
                  </c:ext>
                </c:extLst>
              </c15:ser>
            </c15:filteredPieSeries>
            <c15:filteredPieSeries>
              <c15:ser>
                <c:idx val="1"/>
                <c:order val="1"/>
                <c:tx>
                  <c:strRef>
                    <c:extLst xmlns:c15="http://schemas.microsoft.com/office/drawing/2012/chart">
                      <c:ext xmlns:c15="http://schemas.microsoft.com/office/drawing/2012/chart" uri="{02D57815-91ED-43cb-92C2-25804820EDAC}">
                        <c15:formulaRef>
                          <c15:sqref>Operational!$C$117</c15:sqref>
                        </c15:formulaRef>
                      </c:ext>
                    </c:extLst>
                    <c:strCache>
                      <c:ptCount val="1"/>
                      <c:pt idx="0">
                        <c:v>Late</c:v>
                      </c:pt>
                    </c:strCache>
                  </c:strRef>
                </c:tx>
                <c:dPt>
                  <c:idx val="0"/>
                  <c:bubble3D val="0"/>
                  <c:spPr>
                    <a:solidFill>
                      <a:schemeClr val="accent3">
                        <a:tint val="48000"/>
                      </a:schemeClr>
                    </a:solidFill>
                    <a:ln w="19050">
                      <a:solidFill>
                        <a:schemeClr val="lt1"/>
                      </a:solidFill>
                    </a:ln>
                    <a:effectLst/>
                  </c:spPr>
                  <c:extLst xmlns:c15="http://schemas.microsoft.com/office/drawing/2012/chart">
                    <c:ext xmlns:c16="http://schemas.microsoft.com/office/drawing/2014/chart" uri="{C3380CC4-5D6E-409C-BE32-E72D297353CC}">
                      <c16:uniqueId val="{0000001D-A336-4F88-89AD-99781DB152B7}"/>
                    </c:ext>
                  </c:extLst>
                </c:dPt>
                <c:dPt>
                  <c:idx val="1"/>
                  <c:bubble3D val="0"/>
                  <c:spPr>
                    <a:solidFill>
                      <a:schemeClr val="accent3">
                        <a:tint val="65000"/>
                      </a:schemeClr>
                    </a:solidFill>
                    <a:ln w="19050">
                      <a:solidFill>
                        <a:schemeClr val="lt1"/>
                      </a:solidFill>
                    </a:ln>
                    <a:effectLst/>
                  </c:spPr>
                  <c:extLst xmlns:c15="http://schemas.microsoft.com/office/drawing/2012/chart">
                    <c:ext xmlns:c16="http://schemas.microsoft.com/office/drawing/2014/chart" uri="{C3380CC4-5D6E-409C-BE32-E72D297353CC}">
                      <c16:uniqueId val="{0000001F-A336-4F88-89AD-99781DB152B7}"/>
                    </c:ext>
                  </c:extLst>
                </c:dPt>
                <c:dPt>
                  <c:idx val="2"/>
                  <c:bubble3D val="0"/>
                  <c:spPr>
                    <a:solidFill>
                      <a:schemeClr val="accent3">
                        <a:tint val="83000"/>
                      </a:schemeClr>
                    </a:solidFill>
                    <a:ln w="19050">
                      <a:solidFill>
                        <a:schemeClr val="lt1"/>
                      </a:solidFill>
                    </a:ln>
                    <a:effectLst/>
                  </c:spPr>
                  <c:extLst xmlns:c15="http://schemas.microsoft.com/office/drawing/2012/chart">
                    <c:ext xmlns:c16="http://schemas.microsoft.com/office/drawing/2014/chart" uri="{C3380CC4-5D6E-409C-BE32-E72D297353CC}">
                      <c16:uniqueId val="{00000021-A336-4F88-89AD-99781DB152B7}"/>
                    </c:ext>
                  </c:extLst>
                </c:dPt>
                <c:dPt>
                  <c:idx val="3"/>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3-A336-4F88-89AD-99781DB152B7}"/>
                    </c:ext>
                  </c:extLst>
                </c:dPt>
                <c:dPt>
                  <c:idx val="4"/>
                  <c:bubble3D val="0"/>
                  <c:spPr>
                    <a:solidFill>
                      <a:schemeClr val="accent3">
                        <a:shade val="82000"/>
                      </a:schemeClr>
                    </a:solidFill>
                    <a:ln w="19050">
                      <a:solidFill>
                        <a:schemeClr val="lt1"/>
                      </a:solidFill>
                    </a:ln>
                    <a:effectLst/>
                  </c:spPr>
                  <c:extLst xmlns:c15="http://schemas.microsoft.com/office/drawing/2012/chart">
                    <c:ext xmlns:c16="http://schemas.microsoft.com/office/drawing/2014/chart" uri="{C3380CC4-5D6E-409C-BE32-E72D297353CC}">
                      <c16:uniqueId val="{00000025-A336-4F88-89AD-99781DB152B7}"/>
                    </c:ext>
                  </c:extLst>
                </c:dPt>
                <c:dPt>
                  <c:idx val="5"/>
                  <c:bubble3D val="0"/>
                  <c:spPr>
                    <a:solidFill>
                      <a:schemeClr val="accent3">
                        <a:shade val="65000"/>
                      </a:schemeClr>
                    </a:solidFill>
                    <a:ln w="19050">
                      <a:solidFill>
                        <a:schemeClr val="lt1"/>
                      </a:solidFill>
                    </a:ln>
                    <a:effectLst/>
                  </c:spPr>
                  <c:extLst xmlns:c15="http://schemas.microsoft.com/office/drawing/2012/chart">
                    <c:ext xmlns:c16="http://schemas.microsoft.com/office/drawing/2014/chart" uri="{C3380CC4-5D6E-409C-BE32-E72D297353CC}">
                      <c16:uniqueId val="{00000027-A336-4F88-89AD-99781DB152B7}"/>
                    </c:ext>
                  </c:extLst>
                </c:dPt>
                <c:dPt>
                  <c:idx val="6"/>
                  <c:bubble3D val="0"/>
                  <c:spPr>
                    <a:solidFill>
                      <a:schemeClr val="accent3">
                        <a:shade val="47000"/>
                      </a:schemeClr>
                    </a:solidFill>
                    <a:ln w="19050">
                      <a:solidFill>
                        <a:schemeClr val="lt1"/>
                      </a:solidFill>
                    </a:ln>
                    <a:effectLst/>
                  </c:spPr>
                  <c:extLst xmlns:c15="http://schemas.microsoft.com/office/drawing/2012/chart">
                    <c:ext xmlns:c16="http://schemas.microsoft.com/office/drawing/2014/chart" uri="{C3380CC4-5D6E-409C-BE32-E72D297353CC}">
                      <c16:uniqueId val="{00000029-A336-4F88-89AD-99781DB152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Operational!$A$118:$A$124</c15:sqref>
                        </c15:formulaRef>
                      </c:ext>
                    </c:extLst>
                    <c:strCache>
                      <c:ptCount val="7"/>
                      <c:pt idx="0">
                        <c:v>Andi</c:v>
                      </c:pt>
                      <c:pt idx="1">
                        <c:v>Eko</c:v>
                      </c:pt>
                      <c:pt idx="2">
                        <c:v>Rizal</c:v>
                      </c:pt>
                      <c:pt idx="3">
                        <c:v>Joko</c:v>
                      </c:pt>
                      <c:pt idx="4">
                        <c:v>Slamet</c:v>
                      </c:pt>
                      <c:pt idx="5">
                        <c:v>Budi</c:v>
                      </c:pt>
                      <c:pt idx="6">
                        <c:v>Tono</c:v>
                      </c:pt>
                    </c:strCache>
                  </c:strRef>
                </c:cat>
                <c:val>
                  <c:numRef>
                    <c:extLst xmlns:c15="http://schemas.microsoft.com/office/drawing/2012/chart">
                      <c:ext xmlns:c15="http://schemas.microsoft.com/office/drawing/2012/chart" uri="{02D57815-91ED-43cb-92C2-25804820EDAC}">
                        <c15:formulaRef>
                          <c15:sqref>Operational!$C$118:$C$124</c15:sqref>
                        </c15:formulaRef>
                      </c:ext>
                    </c:extLst>
                    <c:numCache>
                      <c:formatCode>0</c:formatCode>
                      <c:ptCount val="7"/>
                      <c:pt idx="0">
                        <c:v>7</c:v>
                      </c:pt>
                      <c:pt idx="1">
                        <c:v>3</c:v>
                      </c:pt>
                      <c:pt idx="2">
                        <c:v>3</c:v>
                      </c:pt>
                      <c:pt idx="3">
                        <c:v>4</c:v>
                      </c:pt>
                      <c:pt idx="4">
                        <c:v>1</c:v>
                      </c:pt>
                      <c:pt idx="5">
                        <c:v>1</c:v>
                      </c:pt>
                      <c:pt idx="6">
                        <c:v>2</c:v>
                      </c:pt>
                    </c:numCache>
                  </c:numRef>
                </c:val>
                <c:extLst xmlns:c15="http://schemas.microsoft.com/office/drawing/2012/chart">
                  <c:ext xmlns:c16="http://schemas.microsoft.com/office/drawing/2014/chart" uri="{C3380CC4-5D6E-409C-BE32-E72D297353CC}">
                    <c16:uniqueId val="{00000001-9737-4B09-83D5-1E6DB0256385}"/>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Operational!$D$117</c15:sqref>
                        </c15:formulaRef>
                      </c:ext>
                    </c:extLst>
                    <c:strCache>
                      <c:ptCount val="1"/>
                      <c:pt idx="0">
                        <c:v>On-time</c:v>
                      </c:pt>
                    </c:strCache>
                  </c:strRef>
                </c:tx>
                <c:dPt>
                  <c:idx val="0"/>
                  <c:bubble3D val="0"/>
                  <c:spPr>
                    <a:solidFill>
                      <a:schemeClr val="accent3">
                        <a:tint val="48000"/>
                      </a:schemeClr>
                    </a:solidFill>
                    <a:ln w="19050">
                      <a:solidFill>
                        <a:schemeClr val="lt1"/>
                      </a:solidFill>
                    </a:ln>
                    <a:effectLst/>
                  </c:spPr>
                  <c:extLst xmlns:c15="http://schemas.microsoft.com/office/drawing/2012/chart">
                    <c:ext xmlns:c16="http://schemas.microsoft.com/office/drawing/2014/chart" uri="{C3380CC4-5D6E-409C-BE32-E72D297353CC}">
                      <c16:uniqueId val="{0000002B-A336-4F88-89AD-99781DB152B7}"/>
                    </c:ext>
                  </c:extLst>
                </c:dPt>
                <c:dPt>
                  <c:idx val="1"/>
                  <c:bubble3D val="0"/>
                  <c:spPr>
                    <a:solidFill>
                      <a:schemeClr val="accent3">
                        <a:tint val="65000"/>
                      </a:schemeClr>
                    </a:solidFill>
                    <a:ln w="19050">
                      <a:solidFill>
                        <a:schemeClr val="lt1"/>
                      </a:solidFill>
                    </a:ln>
                    <a:effectLst/>
                  </c:spPr>
                  <c:extLst xmlns:c15="http://schemas.microsoft.com/office/drawing/2012/chart">
                    <c:ext xmlns:c16="http://schemas.microsoft.com/office/drawing/2014/chart" uri="{C3380CC4-5D6E-409C-BE32-E72D297353CC}">
                      <c16:uniqueId val="{0000002D-A336-4F88-89AD-99781DB152B7}"/>
                    </c:ext>
                  </c:extLst>
                </c:dPt>
                <c:dPt>
                  <c:idx val="2"/>
                  <c:bubble3D val="0"/>
                  <c:spPr>
                    <a:solidFill>
                      <a:schemeClr val="accent3">
                        <a:tint val="83000"/>
                      </a:schemeClr>
                    </a:solidFill>
                    <a:ln w="19050">
                      <a:solidFill>
                        <a:schemeClr val="lt1"/>
                      </a:solidFill>
                    </a:ln>
                    <a:effectLst/>
                  </c:spPr>
                  <c:extLst xmlns:c15="http://schemas.microsoft.com/office/drawing/2012/chart">
                    <c:ext xmlns:c16="http://schemas.microsoft.com/office/drawing/2014/chart" uri="{C3380CC4-5D6E-409C-BE32-E72D297353CC}">
                      <c16:uniqueId val="{0000002F-A336-4F88-89AD-99781DB152B7}"/>
                    </c:ext>
                  </c:extLst>
                </c:dPt>
                <c:dPt>
                  <c:idx val="3"/>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31-A336-4F88-89AD-99781DB152B7}"/>
                    </c:ext>
                  </c:extLst>
                </c:dPt>
                <c:dPt>
                  <c:idx val="4"/>
                  <c:bubble3D val="0"/>
                  <c:spPr>
                    <a:solidFill>
                      <a:schemeClr val="accent3">
                        <a:shade val="82000"/>
                      </a:schemeClr>
                    </a:solidFill>
                    <a:ln w="19050">
                      <a:solidFill>
                        <a:schemeClr val="lt1"/>
                      </a:solidFill>
                    </a:ln>
                    <a:effectLst/>
                  </c:spPr>
                  <c:extLst xmlns:c15="http://schemas.microsoft.com/office/drawing/2012/chart">
                    <c:ext xmlns:c16="http://schemas.microsoft.com/office/drawing/2014/chart" uri="{C3380CC4-5D6E-409C-BE32-E72D297353CC}">
                      <c16:uniqueId val="{00000033-A336-4F88-89AD-99781DB152B7}"/>
                    </c:ext>
                  </c:extLst>
                </c:dPt>
                <c:dPt>
                  <c:idx val="5"/>
                  <c:bubble3D val="0"/>
                  <c:spPr>
                    <a:solidFill>
                      <a:schemeClr val="accent3">
                        <a:shade val="65000"/>
                      </a:schemeClr>
                    </a:solidFill>
                    <a:ln w="19050">
                      <a:solidFill>
                        <a:schemeClr val="lt1"/>
                      </a:solidFill>
                    </a:ln>
                    <a:effectLst/>
                  </c:spPr>
                  <c:extLst xmlns:c15="http://schemas.microsoft.com/office/drawing/2012/chart">
                    <c:ext xmlns:c16="http://schemas.microsoft.com/office/drawing/2014/chart" uri="{C3380CC4-5D6E-409C-BE32-E72D297353CC}">
                      <c16:uniqueId val="{00000035-A336-4F88-89AD-99781DB152B7}"/>
                    </c:ext>
                  </c:extLst>
                </c:dPt>
                <c:dPt>
                  <c:idx val="6"/>
                  <c:bubble3D val="0"/>
                  <c:spPr>
                    <a:solidFill>
                      <a:schemeClr val="accent3">
                        <a:shade val="47000"/>
                      </a:schemeClr>
                    </a:solidFill>
                    <a:ln w="19050">
                      <a:solidFill>
                        <a:schemeClr val="lt1"/>
                      </a:solidFill>
                    </a:ln>
                    <a:effectLst/>
                  </c:spPr>
                  <c:extLst xmlns:c15="http://schemas.microsoft.com/office/drawing/2012/chart">
                    <c:ext xmlns:c16="http://schemas.microsoft.com/office/drawing/2014/chart" uri="{C3380CC4-5D6E-409C-BE32-E72D297353CC}">
                      <c16:uniqueId val="{00000037-A336-4F88-89AD-99781DB152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Operational!$A$118:$A$124</c15:sqref>
                        </c15:formulaRef>
                      </c:ext>
                    </c:extLst>
                    <c:strCache>
                      <c:ptCount val="7"/>
                      <c:pt idx="0">
                        <c:v>Andi</c:v>
                      </c:pt>
                      <c:pt idx="1">
                        <c:v>Eko</c:v>
                      </c:pt>
                      <c:pt idx="2">
                        <c:v>Rizal</c:v>
                      </c:pt>
                      <c:pt idx="3">
                        <c:v>Joko</c:v>
                      </c:pt>
                      <c:pt idx="4">
                        <c:v>Slamet</c:v>
                      </c:pt>
                      <c:pt idx="5">
                        <c:v>Budi</c:v>
                      </c:pt>
                      <c:pt idx="6">
                        <c:v>Tono</c:v>
                      </c:pt>
                    </c:strCache>
                  </c:strRef>
                </c:cat>
                <c:val>
                  <c:numRef>
                    <c:extLst xmlns:c15="http://schemas.microsoft.com/office/drawing/2012/chart">
                      <c:ext xmlns:c15="http://schemas.microsoft.com/office/drawing/2012/chart" uri="{02D57815-91ED-43cb-92C2-25804820EDAC}">
                        <c15:formulaRef>
                          <c15:sqref>Operational!$D$118:$D$124</c15:sqref>
                        </c15:formulaRef>
                      </c:ext>
                    </c:extLst>
                    <c:numCache>
                      <c:formatCode>0</c:formatCode>
                      <c:ptCount val="7"/>
                      <c:pt idx="0">
                        <c:v>10</c:v>
                      </c:pt>
                      <c:pt idx="1">
                        <c:v>14</c:v>
                      </c:pt>
                      <c:pt idx="2">
                        <c:v>12</c:v>
                      </c:pt>
                      <c:pt idx="3">
                        <c:v>12</c:v>
                      </c:pt>
                      <c:pt idx="4">
                        <c:v>11</c:v>
                      </c:pt>
                      <c:pt idx="5">
                        <c:v>10</c:v>
                      </c:pt>
                      <c:pt idx="6">
                        <c:v>6</c:v>
                      </c:pt>
                    </c:numCache>
                  </c:numRef>
                </c:val>
                <c:extLst xmlns:c15="http://schemas.microsoft.com/office/drawing/2012/chart">
                  <c:ext xmlns:c16="http://schemas.microsoft.com/office/drawing/2014/chart" uri="{C3380CC4-5D6E-409C-BE32-E72D297353CC}">
                    <c16:uniqueId val="{00000002-9737-4B09-83D5-1E6DB0256385}"/>
                  </c:ext>
                </c:extLst>
              </c15:ser>
            </c15:filteredPieSeries>
          </c:ext>
        </c:extLst>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'Service Level'!$E$16</c:f>
              <c:strCache>
                <c:ptCount val="1"/>
                <c:pt idx="0">
                  <c:v>Total Order</c:v>
                </c:pt>
              </c:strCache>
            </c:strRef>
          </c:tx>
          <c:spPr>
            <a:solidFill>
              <a:schemeClr val="accent4"/>
            </a:solidFill>
            <a:ln>
              <a:noFill/>
            </a:ln>
            <a:effectLst/>
          </c:spPr>
          <c:invertIfNegative val="0"/>
          <c:cat>
            <c:strRef>
              <c:extLst>
                <c:ext xmlns:c15="http://schemas.microsoft.com/office/drawing/2012/chart" uri="{02D57815-91ED-43cb-92C2-25804820EDAC}">
                  <c15:fullRef>
                    <c15:sqref>'Service Level'!$A$17:$A$29</c15:sqref>
                  </c15:fullRef>
                </c:ext>
              </c:extLst>
              <c:f>'Service Level'!$A$17:$A$28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'Service Level'!$E$17:$E$29</c15:sqref>
                  </c15:fullRef>
                </c:ext>
              </c:extLst>
              <c:f>'Service Level'!$E$17:$E$28</c:f>
              <c:numCache>
                <c:formatCode>General</c:formatCode>
                <c:ptCount val="12"/>
                <c:pt idx="0">
                  <c:v>10</c:v>
                </c:pt>
                <c:pt idx="1">
                  <c:v>4</c:v>
                </c:pt>
                <c:pt idx="2">
                  <c:v>10</c:v>
                </c:pt>
                <c:pt idx="3">
                  <c:v>6</c:v>
                </c:pt>
                <c:pt idx="4">
                  <c:v>12</c:v>
                </c:pt>
                <c:pt idx="5">
                  <c:v>9</c:v>
                </c:pt>
                <c:pt idx="6">
                  <c:v>7</c:v>
                </c:pt>
                <c:pt idx="7">
                  <c:v>7</c:v>
                </c:pt>
                <c:pt idx="8">
                  <c:v>9</c:v>
                </c:pt>
                <c:pt idx="9">
                  <c:v>12</c:v>
                </c:pt>
                <c:pt idx="10">
                  <c:v>5</c:v>
                </c:pt>
                <c:pt idx="11">
                  <c:v>9</c:v>
                </c:pt>
              </c:numCache>
            </c:numRef>
          </c:val>
          <c:extLst>
            <c:ext xmlns:c16="http://schemas.microsoft.com/office/drawing/2014/chart" uri="{C3380CC4-5D6E-409C-BE32-E72D297353CC}">
              <c16:uniqueId val="{00000003-E3CB-412F-BC59-DE12A68869CD}"/>
            </c:ext>
          </c:extLst>
        </c:ser>
        <c:dLbls>
          <c:showLegendKey val="0"/>
          <c:showVal val="0"/>
          <c:showCatName val="0"/>
          <c:showSerName val="0"/>
          <c:showPercent val="0"/>
          <c:showBubbleSize val="0"/>
        </c:dLbls>
        <c:gapWidth val="150"/>
        <c:axId val="1084798704"/>
        <c:axId val="1084791632"/>
      </c:barChart>
      <c:lineChart>
        <c:grouping val="standard"/>
        <c:varyColors val="0"/>
        <c:ser>
          <c:idx val="2"/>
          <c:order val="2"/>
          <c:tx>
            <c:strRef>
              <c:f>'Service Level'!$D$16</c:f>
              <c:strCache>
                <c:ptCount val="1"/>
                <c:pt idx="0">
                  <c:v>On-time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'Service Level'!$A$17:$A$29</c15:sqref>
                  </c15:fullRef>
                </c:ext>
              </c:extLst>
              <c:f>'Service Level'!$A$17:$A$28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'Service Level'!$D$17:$D$29</c15:sqref>
                  </c15:fullRef>
                </c:ext>
              </c:extLst>
              <c:f>'Service Level'!$D$17:$D$28</c:f>
              <c:numCache>
                <c:formatCode>0%</c:formatCode>
                <c:ptCount val="12"/>
                <c:pt idx="0">
                  <c:v>0.7</c:v>
                </c:pt>
                <c:pt idx="1">
                  <c:v>1</c:v>
                </c:pt>
                <c:pt idx="2">
                  <c:v>0.8</c:v>
                </c:pt>
                <c:pt idx="3">
                  <c:v>0.66666666666666663</c:v>
                </c:pt>
                <c:pt idx="4">
                  <c:v>0.83333333333333337</c:v>
                </c:pt>
                <c:pt idx="5">
                  <c:v>0.77777777777777779</c:v>
                </c:pt>
                <c:pt idx="6">
                  <c:v>0.7142857142857143</c:v>
                </c:pt>
                <c:pt idx="7">
                  <c:v>0.7142857142857143</c:v>
                </c:pt>
                <c:pt idx="8">
                  <c:v>0.66666666666666663</c:v>
                </c:pt>
                <c:pt idx="9">
                  <c:v>0.83333333333333337</c:v>
                </c:pt>
                <c:pt idx="10">
                  <c:v>0.6</c:v>
                </c:pt>
                <c:pt idx="11">
                  <c:v>0.66666666666666663</c:v>
                </c:pt>
              </c:numCache>
            </c:numRef>
          </c:val>
          <c:smooth val="0"/>
          <c:extLst>
            <c:ext xmlns:c16="http://schemas.microsoft.com/office/drawing/2014/chart" uri="{C3380CC4-5D6E-409C-BE32-E72D297353CC}">
              <c16:uniqueId val="{00000002-E3CB-412F-BC59-DE12A68869CD}"/>
            </c:ext>
          </c:extLst>
        </c:ser>
        <c:dLbls>
          <c:showLegendKey val="0"/>
          <c:showVal val="0"/>
          <c:showCatName val="0"/>
          <c:showSerName val="0"/>
          <c:showPercent val="0"/>
          <c:showBubbleSize val="0"/>
        </c:dLbls>
        <c:marker val="1"/>
        <c:smooth val="0"/>
        <c:axId val="1271963760"/>
        <c:axId val="1271970000"/>
        <c:extLst>
          <c:ext xmlns:c15="http://schemas.microsoft.com/office/drawing/2012/chart" uri="{02D57815-91ED-43cb-92C2-25804820EDAC}">
            <c15:filteredLineSeries>
              <c15:ser>
                <c:idx val="0"/>
                <c:order val="0"/>
                <c:tx>
                  <c:strRef>
                    <c:extLst>
                      <c:ext uri="{02D57815-91ED-43cb-92C2-25804820EDAC}">
                        <c15:formulaRef>
                          <c15:sqref>'Service Level'!$B$16</c15:sqref>
                        </c15:formulaRef>
                      </c:ext>
                    </c:extLst>
                    <c:strCache>
                      <c:ptCount val="1"/>
                      <c:pt idx="0">
                        <c:v>Cancelled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'Service Level'!$A$17:$A$29</c15:sqref>
                        </c15:fullRef>
                        <c15:formulaRef>
                          <c15:sqref>'Service Level'!$A$17:$A$28</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ullRef>
                          <c15:sqref>'Service Level'!$B$17:$B$29</c15:sqref>
                        </c15:fullRef>
                        <c15:formulaRef>
                          <c15:sqref>'Service Level'!$B$17:$B$28</c15:sqref>
                        </c15:formulaRef>
                      </c:ext>
                    </c:extLst>
                    <c:numCache>
                      <c:formatCode>0%</c:formatCode>
                      <c:ptCount val="12"/>
                      <c:pt idx="0">
                        <c:v>0</c:v>
                      </c:pt>
                      <c:pt idx="1">
                        <c:v>0</c:v>
                      </c:pt>
                      <c:pt idx="2">
                        <c:v>0</c:v>
                      </c:pt>
                      <c:pt idx="3">
                        <c:v>0</c:v>
                      </c:pt>
                      <c:pt idx="4">
                        <c:v>0.16666666666666666</c:v>
                      </c:pt>
                      <c:pt idx="5">
                        <c:v>0</c:v>
                      </c:pt>
                      <c:pt idx="6">
                        <c:v>0</c:v>
                      </c:pt>
                      <c:pt idx="7">
                        <c:v>0.14285714285714285</c:v>
                      </c:pt>
                      <c:pt idx="8">
                        <c:v>0.1111111111111111</c:v>
                      </c:pt>
                      <c:pt idx="9">
                        <c:v>0</c:v>
                      </c:pt>
                      <c:pt idx="10">
                        <c:v>0</c:v>
                      </c:pt>
                      <c:pt idx="11">
                        <c:v>0</c:v>
                      </c:pt>
                    </c:numCache>
                  </c:numRef>
                </c:val>
                <c:smooth val="0"/>
                <c:extLst>
                  <c:ext xmlns:c16="http://schemas.microsoft.com/office/drawing/2014/chart" uri="{C3380CC4-5D6E-409C-BE32-E72D297353CC}">
                    <c16:uniqueId val="{00000000-E3CB-412F-BC59-DE12A68869C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'Service Level'!$C$16</c15:sqref>
                        </c15:formulaRef>
                      </c:ext>
                    </c:extLst>
                    <c:strCache>
                      <c:ptCount val="1"/>
                      <c:pt idx="0">
                        <c:v>Late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'Service Level'!$A$17:$A$29</c15:sqref>
                        </c15:fullRef>
                        <c15:formulaRef>
                          <c15:sqref>'Service Level'!$A$17:$A$28</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'Service Level'!$C$17:$C$29</c15:sqref>
                        </c15:fullRef>
                        <c15:formulaRef>
                          <c15:sqref>'Service Level'!$C$17:$C$28</c15:sqref>
                        </c15:formulaRef>
                      </c:ext>
                    </c:extLst>
                    <c:numCache>
                      <c:formatCode>0%</c:formatCode>
                      <c:ptCount val="12"/>
                      <c:pt idx="0">
                        <c:v>0.3</c:v>
                      </c:pt>
                      <c:pt idx="1">
                        <c:v>0</c:v>
                      </c:pt>
                      <c:pt idx="2">
                        <c:v>0.2</c:v>
                      </c:pt>
                      <c:pt idx="3">
                        <c:v>0.33333333333333331</c:v>
                      </c:pt>
                      <c:pt idx="4">
                        <c:v>0</c:v>
                      </c:pt>
                      <c:pt idx="5">
                        <c:v>0.22222222222222221</c:v>
                      </c:pt>
                      <c:pt idx="6">
                        <c:v>0.2857142857142857</c:v>
                      </c:pt>
                      <c:pt idx="7">
                        <c:v>0.14285714285714285</c:v>
                      </c:pt>
                      <c:pt idx="8">
                        <c:v>0.22222222222222221</c:v>
                      </c:pt>
                      <c:pt idx="9">
                        <c:v>0.16666666666666666</c:v>
                      </c:pt>
                      <c:pt idx="10">
                        <c:v>0.4</c:v>
                      </c:pt>
                      <c:pt idx="11">
                        <c:v>0.33333333333333331</c:v>
                      </c:pt>
                    </c:numCache>
                  </c:numRef>
                </c:val>
                <c:smooth val="0"/>
                <c:extLst xmlns:c15="http://schemas.microsoft.com/office/drawing/2012/chart">
                  <c:ext xmlns:c16="http://schemas.microsoft.com/office/drawing/2014/chart" uri="{C3380CC4-5D6E-409C-BE32-E72D297353CC}">
                    <c16:uniqueId val="{00000001-E3CB-412F-BC59-DE12A68869CD}"/>
                  </c:ext>
                </c:extLst>
              </c15:ser>
            </c15:filteredLineSeries>
          </c:ext>
        </c:extLst>
      </c:lineChart>
      <c:catAx>
        <c:axId val="108479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791632"/>
        <c:crosses val="autoZero"/>
        <c:auto val="1"/>
        <c:lblAlgn val="ctr"/>
        <c:lblOffset val="100"/>
        <c:noMultiLvlLbl val="0"/>
      </c:catAx>
      <c:valAx>
        <c:axId val="108479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798704"/>
        <c:crosses val="autoZero"/>
        <c:crossBetween val="between"/>
      </c:valAx>
      <c:valAx>
        <c:axId val="1271970000"/>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963760"/>
        <c:crosses val="max"/>
        <c:crossBetween val="between"/>
        <c:minorUnit val="0.2"/>
      </c:valAx>
      <c:catAx>
        <c:axId val="1271963760"/>
        <c:scaling>
          <c:orientation val="minMax"/>
        </c:scaling>
        <c:delete val="1"/>
        <c:axPos val="b"/>
        <c:numFmt formatCode="General" sourceLinked="1"/>
        <c:majorTickMark val="out"/>
        <c:minorTickMark val="none"/>
        <c:tickLblPos val="nextTo"/>
        <c:crossAx val="12719700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withinLinear" id="16">
  <a:schemeClr val="accent3"/>
</cs:colorStyle>
</file>

<file path=xl/charts/colors23.xml><?xml version="1.0" encoding="utf-8"?>
<cs:colorStyle xmlns:cs="http://schemas.microsoft.com/office/drawing/2012/chartStyle" xmlns:a="http://schemas.openxmlformats.org/drawingml/2006/main" meth="withinLinearReversed" id="23">
  <a:schemeClr val="accent3"/>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b-Operational'!A1"/><Relationship Id="rId13" Type="http://schemas.openxmlformats.org/officeDocument/2006/relationships/image" Target="../media/image9.svg"/><Relationship Id="rId18" Type="http://schemas.openxmlformats.org/officeDocument/2006/relationships/chart" Target="../charts/chart3.xml"/><Relationship Id="rId26" Type="http://schemas.openxmlformats.org/officeDocument/2006/relationships/image" Target="../media/image17.svg"/><Relationship Id="rId3" Type="http://schemas.openxmlformats.org/officeDocument/2006/relationships/image" Target="../media/image2.png"/><Relationship Id="rId21" Type="http://schemas.openxmlformats.org/officeDocument/2006/relationships/image" Target="../media/image14.png"/><Relationship Id="rId7" Type="http://schemas.openxmlformats.org/officeDocument/2006/relationships/image" Target="../media/image5.svg"/><Relationship Id="rId12" Type="http://schemas.openxmlformats.org/officeDocument/2006/relationships/image" Target="../media/image8.png"/><Relationship Id="rId17" Type="http://schemas.openxmlformats.org/officeDocument/2006/relationships/chart" Target="../charts/chart2.xml"/><Relationship Id="rId25" Type="http://schemas.openxmlformats.org/officeDocument/2006/relationships/image" Target="../media/image16.png"/><Relationship Id="rId2" Type="http://schemas.microsoft.com/office/2007/relationships/hdphoto" Target="../media/hdphoto1.wdp"/><Relationship Id="rId16" Type="http://schemas.openxmlformats.org/officeDocument/2006/relationships/chart" Target="../charts/chart1.xml"/><Relationship Id="rId20" Type="http://schemas.openxmlformats.org/officeDocument/2006/relationships/image" Target="../media/image13.sv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Db-ServiceLevel'!A1"/><Relationship Id="rId24" Type="http://schemas.openxmlformats.org/officeDocument/2006/relationships/chart" Target="../charts/chart5.xml"/><Relationship Id="rId5" Type="http://schemas.openxmlformats.org/officeDocument/2006/relationships/hyperlink" Target="#'Db-Revenue'!A1"/><Relationship Id="rId15" Type="http://schemas.openxmlformats.org/officeDocument/2006/relationships/image" Target="../media/image11.svg"/><Relationship Id="rId23" Type="http://schemas.openxmlformats.org/officeDocument/2006/relationships/chart" Target="../charts/chart4.xml"/><Relationship Id="rId28" Type="http://schemas.openxmlformats.org/officeDocument/2006/relationships/image" Target="../media/image19.svg"/><Relationship Id="rId10" Type="http://schemas.openxmlformats.org/officeDocument/2006/relationships/image" Target="../media/image7.svg"/><Relationship Id="rId19" Type="http://schemas.openxmlformats.org/officeDocument/2006/relationships/image" Target="../media/image12.pn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10.png"/><Relationship Id="rId22" Type="http://schemas.openxmlformats.org/officeDocument/2006/relationships/image" Target="../media/image15.svg"/><Relationship Id="rId27" Type="http://schemas.openxmlformats.org/officeDocument/2006/relationships/image" Target="../media/image18.png"/></Relationships>
</file>

<file path=xl/drawings/_rels/drawing2.xml.rels><?xml version="1.0" encoding="UTF-8" standalone="yes"?>
<Relationships xmlns="http://schemas.openxmlformats.org/package/2006/relationships"><Relationship Id="rId8" Type="http://schemas.openxmlformats.org/officeDocument/2006/relationships/hyperlink" Target="#'Db-Operational'!A1"/><Relationship Id="rId13" Type="http://schemas.openxmlformats.org/officeDocument/2006/relationships/image" Target="../media/image9.svg"/><Relationship Id="rId18" Type="http://schemas.openxmlformats.org/officeDocument/2006/relationships/image" Target="../media/image20.svg"/><Relationship Id="rId26" Type="http://schemas.openxmlformats.org/officeDocument/2006/relationships/image" Target="../media/image23.png"/><Relationship Id="rId3" Type="http://schemas.openxmlformats.org/officeDocument/2006/relationships/image" Target="../media/image2.png"/><Relationship Id="rId21" Type="http://schemas.openxmlformats.org/officeDocument/2006/relationships/chart" Target="../charts/chart7.xml"/><Relationship Id="rId7" Type="http://schemas.openxmlformats.org/officeDocument/2006/relationships/image" Target="../media/image5.svg"/><Relationship Id="rId12" Type="http://schemas.openxmlformats.org/officeDocument/2006/relationships/image" Target="../media/image8.png"/><Relationship Id="rId17" Type="http://schemas.openxmlformats.org/officeDocument/2006/relationships/image" Target="../media/image12.png"/><Relationship Id="rId25" Type="http://schemas.openxmlformats.org/officeDocument/2006/relationships/image" Target="../media/image22.svg"/><Relationship Id="rId2" Type="http://schemas.microsoft.com/office/2007/relationships/hdphoto" Target="../media/hdphoto1.wdp"/><Relationship Id="rId16" Type="http://schemas.openxmlformats.org/officeDocument/2006/relationships/chart" Target="../charts/chart6.xml"/><Relationship Id="rId20"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Db-ServiceLevel'!A1"/><Relationship Id="rId24" Type="http://schemas.openxmlformats.org/officeDocument/2006/relationships/image" Target="../media/image21.png"/><Relationship Id="rId5" Type="http://schemas.openxmlformats.org/officeDocument/2006/relationships/hyperlink" Target="#'Db-Revenue'!A1"/><Relationship Id="rId15" Type="http://schemas.openxmlformats.org/officeDocument/2006/relationships/image" Target="../media/image11.svg"/><Relationship Id="rId23" Type="http://schemas.openxmlformats.org/officeDocument/2006/relationships/chart" Target="../charts/chart9.xml"/><Relationship Id="rId10" Type="http://schemas.openxmlformats.org/officeDocument/2006/relationships/image" Target="../media/image7.svg"/><Relationship Id="rId19" Type="http://schemas.openxmlformats.org/officeDocument/2006/relationships/image" Target="../media/image14.pn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10.png"/><Relationship Id="rId22"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hyperlink" Target="#'Db-Operational'!A1"/><Relationship Id="rId13" Type="http://schemas.openxmlformats.org/officeDocument/2006/relationships/image" Target="../media/image9.svg"/><Relationship Id="rId18" Type="http://schemas.openxmlformats.org/officeDocument/2006/relationships/chart" Target="../charts/chart12.xml"/><Relationship Id="rId3" Type="http://schemas.openxmlformats.org/officeDocument/2006/relationships/image" Target="../media/image2.png"/><Relationship Id="rId21" Type="http://schemas.openxmlformats.org/officeDocument/2006/relationships/chart" Target="../charts/chart15.xml"/><Relationship Id="rId7" Type="http://schemas.openxmlformats.org/officeDocument/2006/relationships/image" Target="../media/image5.svg"/><Relationship Id="rId12" Type="http://schemas.openxmlformats.org/officeDocument/2006/relationships/image" Target="../media/image8.png"/><Relationship Id="rId17" Type="http://schemas.openxmlformats.org/officeDocument/2006/relationships/chart" Target="../charts/chart11.xml"/><Relationship Id="rId2" Type="http://schemas.microsoft.com/office/2007/relationships/hdphoto" Target="../media/hdphoto1.wdp"/><Relationship Id="rId16" Type="http://schemas.openxmlformats.org/officeDocument/2006/relationships/chart" Target="../charts/chart10.xml"/><Relationship Id="rId20"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hyperlink" Target="#'Db-ServiceLevel'!A1"/><Relationship Id="rId5" Type="http://schemas.openxmlformats.org/officeDocument/2006/relationships/hyperlink" Target="#'Db-Revenue'!A1"/><Relationship Id="rId15" Type="http://schemas.openxmlformats.org/officeDocument/2006/relationships/image" Target="../media/image11.svg"/><Relationship Id="rId23" Type="http://schemas.openxmlformats.org/officeDocument/2006/relationships/chart" Target="../charts/chart17.xml"/><Relationship Id="rId10" Type="http://schemas.openxmlformats.org/officeDocument/2006/relationships/image" Target="../media/image7.svg"/><Relationship Id="rId19" Type="http://schemas.openxmlformats.org/officeDocument/2006/relationships/chart" Target="../charts/chart13.xml"/><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image" Target="../media/image10.png"/><Relationship Id="rId22"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image" Target="../media/image25.svg"/><Relationship Id="rId5" Type="http://schemas.openxmlformats.org/officeDocument/2006/relationships/image" Target="../media/image24.png"/><Relationship Id="rId4"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1</xdr:col>
      <xdr:colOff>196850</xdr:colOff>
      <xdr:row>25</xdr:row>
      <xdr:rowOff>88900</xdr:rowOff>
    </xdr:from>
    <xdr:to>
      <xdr:col>4</xdr:col>
      <xdr:colOff>177800</xdr:colOff>
      <xdr:row>34</xdr:row>
      <xdr:rowOff>12700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80645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Total</a:t>
          </a:r>
          <a:r>
            <a:rPr lang="en-ID" sz="1100" baseline="0"/>
            <a:t> Revenue</a:t>
          </a:r>
        </a:p>
        <a:p>
          <a:pPr algn="ctr"/>
          <a:endParaRPr lang="en-ID" sz="1100"/>
        </a:p>
      </xdr:txBody>
    </xdr:sp>
    <xdr:clientData/>
  </xdr:twoCellAnchor>
  <xdr:twoCellAnchor>
    <xdr:from>
      <xdr:col>4</xdr:col>
      <xdr:colOff>406400</xdr:colOff>
      <xdr:row>25</xdr:row>
      <xdr:rowOff>88900</xdr:rowOff>
    </xdr:from>
    <xdr:to>
      <xdr:col>7</xdr:col>
      <xdr:colOff>387350</xdr:colOff>
      <xdr:row>34</xdr:row>
      <xdr:rowOff>12700</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284480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On-time Delivery (%)</a:t>
          </a:r>
          <a:endParaRPr lang="en-ID" sz="1100" baseline="0"/>
        </a:p>
        <a:p>
          <a:pPr algn="ctr"/>
          <a:endParaRPr lang="en-ID" sz="1100"/>
        </a:p>
      </xdr:txBody>
    </xdr:sp>
    <xdr:clientData/>
  </xdr:twoCellAnchor>
  <xdr:twoCellAnchor>
    <xdr:from>
      <xdr:col>8</xdr:col>
      <xdr:colOff>12700</xdr:colOff>
      <xdr:row>25</xdr:row>
      <xdr:rowOff>88900</xdr:rowOff>
    </xdr:from>
    <xdr:to>
      <xdr:col>10</xdr:col>
      <xdr:colOff>603250</xdr:colOff>
      <xdr:row>34</xdr:row>
      <xdr:rowOff>12700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488950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Average</a:t>
          </a:r>
          <a:r>
            <a:rPr lang="en-ID" sz="1100" baseline="0"/>
            <a:t> Distance</a:t>
          </a:r>
        </a:p>
        <a:p>
          <a:pPr algn="ctr"/>
          <a:endParaRPr lang="en-ID" sz="1100"/>
        </a:p>
      </xdr:txBody>
    </xdr:sp>
    <xdr:clientData/>
  </xdr:twoCellAnchor>
  <xdr:twoCellAnchor>
    <xdr:from>
      <xdr:col>1</xdr:col>
      <xdr:colOff>215900</xdr:colOff>
      <xdr:row>35</xdr:row>
      <xdr:rowOff>0</xdr:rowOff>
    </xdr:from>
    <xdr:to>
      <xdr:col>4</xdr:col>
      <xdr:colOff>196850</xdr:colOff>
      <xdr:row>43</xdr:row>
      <xdr:rowOff>107950</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82550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Top 3 Customers by Revenue</a:t>
          </a:r>
        </a:p>
        <a:p>
          <a:pPr algn="ctr"/>
          <a:endParaRPr lang="en-ID" sz="1100"/>
        </a:p>
      </xdr:txBody>
    </xdr:sp>
    <xdr:clientData/>
  </xdr:twoCellAnchor>
  <xdr:twoCellAnchor>
    <xdr:from>
      <xdr:col>4</xdr:col>
      <xdr:colOff>412750</xdr:colOff>
      <xdr:row>35</xdr:row>
      <xdr:rowOff>0</xdr:rowOff>
    </xdr:from>
    <xdr:to>
      <xdr:col>7</xdr:col>
      <xdr:colOff>393700</xdr:colOff>
      <xdr:row>43</xdr:row>
      <xdr:rowOff>107950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285115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Chart Trend Revenue Monthly/ Quarter</a:t>
          </a:r>
        </a:p>
      </xdr:txBody>
    </xdr:sp>
    <xdr:clientData/>
  </xdr:twoCellAnchor>
  <xdr:twoCellAnchor>
    <xdr:from>
      <xdr:col>8</xdr:col>
      <xdr:colOff>0</xdr:colOff>
      <xdr:row>35</xdr:row>
      <xdr:rowOff>0</xdr:rowOff>
    </xdr:from>
    <xdr:to>
      <xdr:col>10</xdr:col>
      <xdr:colOff>590550</xdr:colOff>
      <xdr:row>43</xdr:row>
      <xdr:rowOff>107950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87680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Pie</a:t>
          </a:r>
          <a:r>
            <a:rPr lang="en-ID" sz="1100" baseline="0"/>
            <a:t> Chart Truck Type Portion</a:t>
          </a:r>
          <a:endParaRPr lang="en-ID" sz="1100"/>
        </a:p>
      </xdr:txBody>
    </xdr:sp>
    <xdr:clientData/>
  </xdr:twoCellAnchor>
  <xdr:twoCellAnchor>
    <xdr:from>
      <xdr:col>0</xdr:col>
      <xdr:colOff>0</xdr:colOff>
      <xdr:row>0</xdr:row>
      <xdr:rowOff>0</xdr:rowOff>
    </xdr:from>
    <xdr:to>
      <xdr:col>30</xdr:col>
      <xdr:colOff>190500</xdr:colOff>
      <xdr:row>48</xdr:row>
      <xdr:rowOff>63500</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0" y="0"/>
          <a:ext cx="18478500" cy="8902700"/>
        </a:xfrm>
        <a:prstGeom prst="rect">
          <a:avLst/>
        </a:prstGeom>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195300</xdr:colOff>
      <xdr:row>0</xdr:row>
      <xdr:rowOff>127000</xdr:rowOff>
    </xdr:from>
    <xdr:to>
      <xdr:col>18</xdr:col>
      <xdr:colOff>527049</xdr:colOff>
      <xdr:row>27</xdr:row>
      <xdr:rowOff>76199</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195300" y="127000"/>
          <a:ext cx="11190249" cy="5092699"/>
        </a:xfrm>
        <a:prstGeom prst="roundRect">
          <a:avLst>
            <a:gd name="adj" fmla="val 5097"/>
          </a:avLst>
        </a:prstGeom>
        <a:solidFill>
          <a:schemeClr val="bg1">
            <a:lumMod val="95000"/>
          </a:schemeClr>
        </a:solidFill>
        <a:ln>
          <a:noFill/>
        </a:ln>
        <a:effectLst>
          <a:outerShdw blurRad="609600" dist="38100" dir="7500000" algn="tr" rotWithShape="0">
            <a:prstClr val="black">
              <a:alpha val="4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4</xdr:col>
      <xdr:colOff>480219</xdr:colOff>
      <xdr:row>0</xdr:row>
      <xdr:rowOff>107951</xdr:rowOff>
    </xdr:from>
    <xdr:to>
      <xdr:col>18</xdr:col>
      <xdr:colOff>539751</xdr:colOff>
      <xdr:row>27</xdr:row>
      <xdr:rowOff>82551</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 cstate="print">
          <a:alphaModFix amt="20000"/>
          <a:extLst>
            <a:ext uri="{BEBA8EAE-BF5A-486C-A8C5-ECC9F3942E4B}">
              <a14:imgProps xmlns:a14="http://schemas.microsoft.com/office/drawing/2010/main">
                <a14:imgLayer r:embed="rId2">
                  <a14:imgEffect>
                    <a14:artisticCement/>
                  </a14:imgEffect>
                </a14:imgLayer>
              </a14:imgProps>
            </a:ext>
            <a:ext uri="{28A0092B-C50C-407E-A947-70E740481C1C}">
              <a14:useLocalDpi xmlns:a14="http://schemas.microsoft.com/office/drawing/2010/main" val="0"/>
            </a:ext>
          </a:extLst>
        </a:blip>
        <a:stretch>
          <a:fillRect/>
        </a:stretch>
      </xdr:blipFill>
      <xdr:spPr>
        <a:xfrm>
          <a:off x="2930572" y="107951"/>
          <a:ext cx="8635767" cy="5017247"/>
        </a:xfrm>
        <a:prstGeom prst="roundRect">
          <a:avLst>
            <a:gd name="adj" fmla="val 4749"/>
          </a:avLst>
        </a:prstGeom>
      </xdr:spPr>
    </xdr:pic>
    <xdr:clientData/>
  </xdr:twoCellAnchor>
  <xdr:twoCellAnchor>
    <xdr:from>
      <xdr:col>0</xdr:col>
      <xdr:colOff>190500</xdr:colOff>
      <xdr:row>0</xdr:row>
      <xdr:rowOff>129379</xdr:rowOff>
    </xdr:from>
    <xdr:to>
      <xdr:col>5</xdr:col>
      <xdr:colOff>165100</xdr:colOff>
      <xdr:row>27</xdr:row>
      <xdr:rowOff>97629</xdr:rowOff>
    </xdr:to>
    <xdr:sp macro="" textlink="">
      <xdr:nvSpPr>
        <xdr:cNvPr id="14" name="Rectangle: Top Corners Rounded 13">
          <a:extLst>
            <a:ext uri="{FF2B5EF4-FFF2-40B4-BE49-F238E27FC236}">
              <a16:creationId xmlns:a16="http://schemas.microsoft.com/office/drawing/2014/main" id="{00000000-0008-0000-0000-00000E000000}"/>
            </a:ext>
          </a:extLst>
        </xdr:cNvPr>
        <xdr:cNvSpPr/>
      </xdr:nvSpPr>
      <xdr:spPr>
        <a:xfrm rot="5400000">
          <a:off x="-768350" y="1088229"/>
          <a:ext cx="4940300" cy="3022600"/>
        </a:xfrm>
        <a:prstGeom prst="round2SameRect">
          <a:avLst>
            <a:gd name="adj1" fmla="val 0"/>
            <a:gd name="adj2" fmla="val 6017"/>
          </a:avLst>
        </a:prstGeom>
        <a:gradFill flip="none" rotWithShape="1">
          <a:gsLst>
            <a:gs pos="0">
              <a:schemeClr val="accent3">
                <a:lumMod val="40000"/>
                <a:lumOff val="60000"/>
                <a:shade val="30000"/>
                <a:satMod val="115000"/>
              </a:schemeClr>
            </a:gs>
            <a:gs pos="50000">
              <a:schemeClr val="accent3">
                <a:lumMod val="40000"/>
                <a:lumOff val="60000"/>
                <a:shade val="67500"/>
                <a:satMod val="115000"/>
              </a:schemeClr>
            </a:gs>
            <a:gs pos="100000">
              <a:schemeClr val="accent3">
                <a:lumMod val="40000"/>
                <a:lumOff val="60000"/>
                <a:shade val="100000"/>
                <a:satMod val="115000"/>
              </a:schemeClr>
            </a:gs>
          </a:gsLst>
          <a:lin ang="10800000" scaled="1"/>
          <a:tileRect/>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282575</xdr:colOff>
      <xdr:row>0</xdr:row>
      <xdr:rowOff>0</xdr:rowOff>
    </xdr:from>
    <xdr:to>
      <xdr:col>4</xdr:col>
      <xdr:colOff>517416</xdr:colOff>
      <xdr:row>5</xdr:row>
      <xdr:rowOff>52500</xdr:rowOff>
    </xdr:to>
    <xdr:grpSp>
      <xdr:nvGrpSpPr>
        <xdr:cNvPr id="40" name="Group 39">
          <a:extLst>
            <a:ext uri="{FF2B5EF4-FFF2-40B4-BE49-F238E27FC236}">
              <a16:creationId xmlns:a16="http://schemas.microsoft.com/office/drawing/2014/main" id="{00000000-0008-0000-0000-000028000000}"/>
            </a:ext>
          </a:extLst>
        </xdr:cNvPr>
        <xdr:cNvGrpSpPr/>
      </xdr:nvGrpSpPr>
      <xdr:grpSpPr>
        <a:xfrm>
          <a:off x="282575" y="0"/>
          <a:ext cx="2673241" cy="973250"/>
          <a:chOff x="520700" y="80850"/>
          <a:chExt cx="2679471" cy="965313"/>
        </a:xfrm>
      </xdr:grpSpPr>
      <xdr:cxnSp macro="">
        <xdr:nvCxnSpPr>
          <xdr:cNvPr id="36" name="Straight Connector 35">
            <a:extLst>
              <a:ext uri="{FF2B5EF4-FFF2-40B4-BE49-F238E27FC236}">
                <a16:creationId xmlns:a16="http://schemas.microsoft.com/office/drawing/2014/main" id="{00000000-0008-0000-0000-000024000000}"/>
              </a:ext>
            </a:extLst>
          </xdr:cNvPr>
          <xdr:cNvCxnSpPr/>
        </xdr:nvCxnSpPr>
        <xdr:spPr>
          <a:xfrm>
            <a:off x="520700" y="742950"/>
            <a:ext cx="2025650"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7" name="TextBox 36">
            <a:extLst>
              <a:ext uri="{FF2B5EF4-FFF2-40B4-BE49-F238E27FC236}">
                <a16:creationId xmlns:a16="http://schemas.microsoft.com/office/drawing/2014/main" id="{00000000-0008-0000-0000-000025000000}"/>
              </a:ext>
            </a:extLst>
          </xdr:cNvPr>
          <xdr:cNvSpPr txBox="1"/>
        </xdr:nvSpPr>
        <xdr:spPr>
          <a:xfrm>
            <a:off x="596900" y="277813"/>
            <a:ext cx="1833563" cy="45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a:solidFill>
                  <a:schemeClr val="bg1"/>
                </a:solidFill>
                <a:latin typeface="Bahnschrift Light Condensed" panose="020B0502040204020203" pitchFamily="34" charset="0"/>
              </a:rPr>
              <a:t>LOGISTICTACTOE</a:t>
            </a:r>
          </a:p>
        </xdr:txBody>
      </xdr:sp>
      <xdr:pic>
        <xdr:nvPicPr>
          <xdr:cNvPr id="34" name="Graphic 33" descr="Truck with solid fill">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2596" y="80850"/>
            <a:ext cx="917575" cy="906463"/>
          </a:xfrm>
          <a:prstGeom prst="rect">
            <a:avLst/>
          </a:prstGeom>
        </xdr:spPr>
      </xdr:pic>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539750" y="749300"/>
            <a:ext cx="2542783" cy="29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b="1">
                <a:latin typeface="Courier New" panose="02070309020205020404" pitchFamily="49" charset="0"/>
                <a:cs typeface="Courier New" panose="02070309020205020404" pitchFamily="49" charset="0"/>
              </a:rPr>
              <a:t>a</a:t>
            </a:r>
            <a:r>
              <a:rPr lang="en-ID" sz="800" b="1" baseline="0">
                <a:latin typeface="Courier New" panose="02070309020205020404" pitchFamily="49" charset="0"/>
                <a:cs typeface="Courier New" panose="02070309020205020404" pitchFamily="49" charset="0"/>
              </a:rPr>
              <a:t> trucking &amp; logistic service company</a:t>
            </a:r>
            <a:endParaRPr lang="en-ID" sz="800" b="1">
              <a:latin typeface="Courier New" panose="02070309020205020404" pitchFamily="49" charset="0"/>
              <a:cs typeface="Courier New" panose="02070309020205020404" pitchFamily="49" charset="0"/>
            </a:endParaRPr>
          </a:p>
        </xdr:txBody>
      </xdr:sp>
    </xdr:grpSp>
    <xdr:clientData/>
  </xdr:twoCellAnchor>
  <xdr:twoCellAnchor>
    <xdr:from>
      <xdr:col>0</xdr:col>
      <xdr:colOff>279400</xdr:colOff>
      <xdr:row>16</xdr:row>
      <xdr:rowOff>12701</xdr:rowOff>
    </xdr:from>
    <xdr:to>
      <xdr:col>3</xdr:col>
      <xdr:colOff>333498</xdr:colOff>
      <xdr:row>19</xdr:row>
      <xdr:rowOff>55585</xdr:rowOff>
    </xdr:to>
    <xdr:grpSp>
      <xdr:nvGrpSpPr>
        <xdr:cNvPr id="69" name="Group 68">
          <a:hlinkClick xmlns:r="http://schemas.openxmlformats.org/officeDocument/2006/relationships" r:id="rId5"/>
          <a:extLst>
            <a:ext uri="{FF2B5EF4-FFF2-40B4-BE49-F238E27FC236}">
              <a16:creationId xmlns:a16="http://schemas.microsoft.com/office/drawing/2014/main" id="{00000000-0008-0000-0000-000045000000}"/>
            </a:ext>
          </a:extLst>
        </xdr:cNvPr>
        <xdr:cNvGrpSpPr/>
      </xdr:nvGrpSpPr>
      <xdr:grpSpPr>
        <a:xfrm>
          <a:off x="279400" y="2959101"/>
          <a:ext cx="1882898" cy="595334"/>
          <a:chOff x="369957" y="1898558"/>
          <a:chExt cx="2044148" cy="646319"/>
        </a:xfrm>
      </xdr:grpSpPr>
      <xdr:sp macro="" textlink="">
        <xdr:nvSpPr>
          <xdr:cNvPr id="48" name="Rectangle: Rounded Corners 47">
            <a:hlinkClick xmlns:r="http://schemas.openxmlformats.org/officeDocument/2006/relationships" r:id="rId5"/>
            <a:extLst>
              <a:ext uri="{FF2B5EF4-FFF2-40B4-BE49-F238E27FC236}">
                <a16:creationId xmlns:a16="http://schemas.microsoft.com/office/drawing/2014/main" id="{00000000-0008-0000-0000-000030000000}"/>
              </a:ext>
            </a:extLst>
          </xdr:cNvPr>
          <xdr:cNvSpPr/>
        </xdr:nvSpPr>
        <xdr:spPr>
          <a:xfrm>
            <a:off x="369957" y="1898558"/>
            <a:ext cx="2044148" cy="646319"/>
          </a:xfrm>
          <a:prstGeom prst="roundRect">
            <a:avLst/>
          </a:prstGeom>
          <a:solidFill>
            <a:schemeClr val="accent3">
              <a:lumMod val="20000"/>
              <a:lumOff val="80000"/>
            </a:schemeClr>
          </a:solidFill>
          <a:ln>
            <a:noFill/>
          </a:ln>
          <a:effectLst>
            <a:innerShdw blurRad="114300">
              <a:prstClr val="black"/>
            </a:inn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0" name="TextBox 49">
            <a:extLst>
              <a:ext uri="{FF2B5EF4-FFF2-40B4-BE49-F238E27FC236}">
                <a16:creationId xmlns:a16="http://schemas.microsoft.com/office/drawing/2014/main" id="{00000000-0008-0000-0000-000032000000}"/>
              </a:ext>
            </a:extLst>
          </xdr:cNvPr>
          <xdr:cNvSpPr txBox="1"/>
        </xdr:nvSpPr>
        <xdr:spPr>
          <a:xfrm>
            <a:off x="856842" y="2033012"/>
            <a:ext cx="1326689" cy="37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REVENUE</a:t>
            </a:r>
          </a:p>
        </xdr:txBody>
      </xdr:sp>
      <xdr:pic>
        <xdr:nvPicPr>
          <xdr:cNvPr id="26" name="Graphic 25" descr="Coins with solid fill">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56435" y="2007987"/>
            <a:ext cx="412687" cy="413906"/>
          </a:xfrm>
          <a:prstGeom prst="rect">
            <a:avLst/>
          </a:prstGeom>
        </xdr:spPr>
      </xdr:pic>
    </xdr:grpSp>
    <xdr:clientData/>
  </xdr:twoCellAnchor>
  <xdr:twoCellAnchor>
    <xdr:from>
      <xdr:col>0</xdr:col>
      <xdr:colOff>279400</xdr:colOff>
      <xdr:row>19</xdr:row>
      <xdr:rowOff>151555</xdr:rowOff>
    </xdr:from>
    <xdr:to>
      <xdr:col>3</xdr:col>
      <xdr:colOff>333500</xdr:colOff>
      <xdr:row>23</xdr:row>
      <xdr:rowOff>12069</xdr:rowOff>
    </xdr:to>
    <xdr:grpSp>
      <xdr:nvGrpSpPr>
        <xdr:cNvPr id="71" name="Group 70">
          <a:hlinkClick xmlns:r="http://schemas.openxmlformats.org/officeDocument/2006/relationships" r:id="rId8"/>
          <a:extLst>
            <a:ext uri="{FF2B5EF4-FFF2-40B4-BE49-F238E27FC236}">
              <a16:creationId xmlns:a16="http://schemas.microsoft.com/office/drawing/2014/main" id="{00000000-0008-0000-0000-000047000000}"/>
            </a:ext>
          </a:extLst>
        </xdr:cNvPr>
        <xdr:cNvGrpSpPr/>
      </xdr:nvGrpSpPr>
      <xdr:grpSpPr>
        <a:xfrm>
          <a:off x="279400" y="3650405"/>
          <a:ext cx="1882900" cy="597114"/>
          <a:chOff x="369957" y="2697738"/>
          <a:chExt cx="2044148" cy="648251"/>
        </a:xfrm>
      </xdr:grpSpPr>
      <xdr:sp macro="" textlink="">
        <xdr:nvSpPr>
          <xdr:cNvPr id="52" name="Rectangle: Rounded Corners 51">
            <a:extLst>
              <a:ext uri="{FF2B5EF4-FFF2-40B4-BE49-F238E27FC236}">
                <a16:creationId xmlns:a16="http://schemas.microsoft.com/office/drawing/2014/main" id="{00000000-0008-0000-0000-000034000000}"/>
              </a:ext>
            </a:extLst>
          </xdr:cNvPr>
          <xdr:cNvSpPr/>
        </xdr:nvSpPr>
        <xdr:spPr>
          <a:xfrm>
            <a:off x="369957" y="2697738"/>
            <a:ext cx="2044148" cy="648251"/>
          </a:xfrm>
          <a:prstGeom prst="roundRect">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4" name="TextBox 53">
            <a:extLst>
              <a:ext uri="{FF2B5EF4-FFF2-40B4-BE49-F238E27FC236}">
                <a16:creationId xmlns:a16="http://schemas.microsoft.com/office/drawing/2014/main" id="{00000000-0008-0000-0000-000036000000}"/>
              </a:ext>
            </a:extLst>
          </xdr:cNvPr>
          <xdr:cNvSpPr txBox="1"/>
        </xdr:nvSpPr>
        <xdr:spPr>
          <a:xfrm>
            <a:off x="856842" y="2832192"/>
            <a:ext cx="1443380" cy="37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OPERATIONAL</a:t>
            </a:r>
            <a:endParaRPr lang="en-ID" sz="1050" b="1">
              <a:solidFill>
                <a:schemeClr val="accent3">
                  <a:lumMod val="75000"/>
                </a:schemeClr>
              </a:solidFill>
              <a:latin typeface="Microsoft YaHei UI" panose="020B0503020204020204" pitchFamily="34" charset="-122"/>
              <a:ea typeface="Microsoft YaHei UI" panose="020B0503020204020204" pitchFamily="34" charset="-122"/>
            </a:endParaRPr>
          </a:p>
        </xdr:txBody>
      </xdr:sp>
      <xdr:pic>
        <xdr:nvPicPr>
          <xdr:cNvPr id="28" name="Graphic 27" descr="Gears with solid fill">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30751" y="2775752"/>
            <a:ext cx="494591" cy="492223"/>
          </a:xfrm>
          <a:prstGeom prst="rect">
            <a:avLst/>
          </a:prstGeom>
        </xdr:spPr>
      </xdr:pic>
    </xdr:grpSp>
    <xdr:clientData/>
  </xdr:twoCellAnchor>
  <xdr:twoCellAnchor>
    <xdr:from>
      <xdr:col>0</xdr:col>
      <xdr:colOff>279400</xdr:colOff>
      <xdr:row>23</xdr:row>
      <xdr:rowOff>108040</xdr:rowOff>
    </xdr:from>
    <xdr:to>
      <xdr:col>3</xdr:col>
      <xdr:colOff>333498</xdr:colOff>
      <xdr:row>26</xdr:row>
      <xdr:rowOff>150924</xdr:rowOff>
    </xdr:to>
    <xdr:grpSp>
      <xdr:nvGrpSpPr>
        <xdr:cNvPr id="72" name="Group 71">
          <a:hlinkClick xmlns:r="http://schemas.openxmlformats.org/officeDocument/2006/relationships" r:id="rId11"/>
          <a:extLst>
            <a:ext uri="{FF2B5EF4-FFF2-40B4-BE49-F238E27FC236}">
              <a16:creationId xmlns:a16="http://schemas.microsoft.com/office/drawing/2014/main" id="{00000000-0008-0000-0000-000048000000}"/>
            </a:ext>
          </a:extLst>
        </xdr:cNvPr>
        <xdr:cNvGrpSpPr/>
      </xdr:nvGrpSpPr>
      <xdr:grpSpPr>
        <a:xfrm>
          <a:off x="279400" y="4343490"/>
          <a:ext cx="1882898" cy="595334"/>
          <a:chOff x="369956" y="3498848"/>
          <a:chExt cx="2044148" cy="646318"/>
        </a:xfrm>
      </xdr:grpSpPr>
      <xdr:grpSp>
        <xdr:nvGrpSpPr>
          <xdr:cNvPr id="55" name="Group 54">
            <a:extLst>
              <a:ext uri="{FF2B5EF4-FFF2-40B4-BE49-F238E27FC236}">
                <a16:creationId xmlns:a16="http://schemas.microsoft.com/office/drawing/2014/main" id="{00000000-0008-0000-0000-000037000000}"/>
              </a:ext>
            </a:extLst>
          </xdr:cNvPr>
          <xdr:cNvGrpSpPr/>
        </xdr:nvGrpSpPr>
        <xdr:grpSpPr>
          <a:xfrm>
            <a:off x="369956" y="3498848"/>
            <a:ext cx="2044148" cy="646318"/>
            <a:chOff x="369955" y="1087781"/>
            <a:chExt cx="2390914" cy="640521"/>
          </a:xfrm>
        </xdr:grpSpPr>
        <xdr:sp macro="" textlink="">
          <xdr:nvSpPr>
            <xdr:cNvPr id="56" name="Rectangle: Rounded Corners 55">
              <a:extLst>
                <a:ext uri="{FF2B5EF4-FFF2-40B4-BE49-F238E27FC236}">
                  <a16:creationId xmlns:a16="http://schemas.microsoft.com/office/drawing/2014/main" id="{00000000-0008-0000-0000-000038000000}"/>
                </a:ext>
              </a:extLst>
            </xdr:cNvPr>
            <xdr:cNvSpPr/>
          </xdr:nvSpPr>
          <xdr:spPr>
            <a:xfrm>
              <a:off x="369955" y="1087781"/>
              <a:ext cx="2390914" cy="640521"/>
            </a:xfrm>
            <a:prstGeom prst="roundRect">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938695" y="1220304"/>
              <a:ext cx="1692584" cy="375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SERVICE LEVEL</a:t>
              </a:r>
              <a:endParaRPr lang="en-ID" sz="1050" b="1">
                <a:solidFill>
                  <a:schemeClr val="accent3">
                    <a:lumMod val="75000"/>
                  </a:schemeClr>
                </a:solidFill>
                <a:latin typeface="Microsoft YaHei UI" panose="020B0503020204020204" pitchFamily="34" charset="-122"/>
                <a:ea typeface="Microsoft YaHei UI" panose="020B0503020204020204" pitchFamily="34" charset="-122"/>
              </a:endParaRPr>
            </a:p>
          </xdr:txBody>
        </xdr:sp>
      </xdr:grpSp>
      <xdr:grpSp>
        <xdr:nvGrpSpPr>
          <xdr:cNvPr id="65" name="Group 64">
            <a:extLst>
              <a:ext uri="{FF2B5EF4-FFF2-40B4-BE49-F238E27FC236}">
                <a16:creationId xmlns:a16="http://schemas.microsoft.com/office/drawing/2014/main" id="{00000000-0008-0000-0000-000041000000}"/>
              </a:ext>
            </a:extLst>
          </xdr:cNvPr>
          <xdr:cNvGrpSpPr/>
        </xdr:nvGrpSpPr>
        <xdr:grpSpPr>
          <a:xfrm>
            <a:off x="483512" y="3636134"/>
            <a:ext cx="422722" cy="372669"/>
            <a:chOff x="457759" y="3590192"/>
            <a:chExt cx="524049" cy="464561"/>
          </a:xfrm>
        </xdr:grpSpPr>
        <xdr:pic>
          <xdr:nvPicPr>
            <xdr:cNvPr id="60" name="Graphic 59" descr="Call center with solid fill">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31700" y="3597871"/>
              <a:ext cx="450108" cy="456882"/>
            </a:xfrm>
            <a:prstGeom prst="rect">
              <a:avLst/>
            </a:prstGeom>
          </xdr:spPr>
        </xdr:pic>
        <xdr:pic>
          <xdr:nvPicPr>
            <xdr:cNvPr id="62" name="Graphic 61" descr="Clock with solid fill">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7759" y="3590192"/>
              <a:ext cx="308862" cy="313508"/>
            </a:xfrm>
            <a:prstGeom prst="rect">
              <a:avLst/>
            </a:prstGeom>
          </xdr:spPr>
        </xdr:pic>
      </xdr:grpSp>
    </xdr:grpSp>
    <xdr:clientData/>
  </xdr:twoCellAnchor>
  <xdr:twoCellAnchor>
    <xdr:from>
      <xdr:col>0</xdr:col>
      <xdr:colOff>279400</xdr:colOff>
      <xdr:row>9</xdr:row>
      <xdr:rowOff>31750</xdr:rowOff>
    </xdr:from>
    <xdr:to>
      <xdr:col>4</xdr:col>
      <xdr:colOff>590550</xdr:colOff>
      <xdr:row>15</xdr:row>
      <xdr:rowOff>69850</xdr:rowOff>
    </xdr:to>
    <xdr:sp macro="" textlink="">
      <xdr:nvSpPr>
        <xdr:cNvPr id="74" name="Rectangle: Rounded Corners 73">
          <a:extLst>
            <a:ext uri="{FF2B5EF4-FFF2-40B4-BE49-F238E27FC236}">
              <a16:creationId xmlns:a16="http://schemas.microsoft.com/office/drawing/2014/main" id="{00000000-0008-0000-0000-00004A000000}"/>
            </a:ext>
          </a:extLst>
        </xdr:cNvPr>
        <xdr:cNvSpPr/>
      </xdr:nvSpPr>
      <xdr:spPr>
        <a:xfrm>
          <a:off x="279400" y="1689100"/>
          <a:ext cx="2749550" cy="1143000"/>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304800</xdr:colOff>
      <xdr:row>8</xdr:row>
      <xdr:rowOff>69850</xdr:rowOff>
    </xdr:from>
    <xdr:to>
      <xdr:col>4</xdr:col>
      <xdr:colOff>566400</xdr:colOff>
      <xdr:row>14</xdr:row>
      <xdr:rowOff>171450</xdr:rowOff>
    </xdr:to>
    <mc:AlternateContent xmlns:mc="http://schemas.openxmlformats.org/markup-compatibility/2006" xmlns:tsle="http://schemas.microsoft.com/office/drawing/2012/timeslicer">
      <mc:Choice Requires="tsle">
        <xdr:graphicFrame macro="">
          <xdr:nvGraphicFramePr>
            <xdr:cNvPr id="68" name="DeliveryDate">
              <a:extLst>
                <a:ext uri="{FF2B5EF4-FFF2-40B4-BE49-F238E27FC236}">
                  <a16:creationId xmlns:a16="http://schemas.microsoft.com/office/drawing/2014/main" id="{00000000-0008-0000-0000-000044000000}"/>
                </a:ext>
              </a:extLst>
            </xdr:cNvPr>
            <xdr:cNvGraphicFramePr>
              <a:graphicFrameLocks/>
            </xdr:cNvGraphicFramePr>
          </xdr:nvGraphicFramePr>
          <xdr:xfrm>
            <a:off x="0" y="0"/>
            <a:ext cx="0" cy="0"/>
          </xdr:xfrm>
          <a:graphic>
            <a:graphicData uri="http://schemas.microsoft.com/office/drawing/2012/timeslicer">
              <tsle:timeslicer name="DeliveryDate"/>
            </a:graphicData>
          </a:graphic>
        </xdr:graphicFrame>
      </mc:Choice>
      <mc:Fallback xmlns="">
        <xdr:sp macro="" textlink="">
          <xdr:nvSpPr>
            <xdr:cNvPr id="0" name=""/>
            <xdr:cNvSpPr>
              <a:spLocks noTextEdit="1"/>
            </xdr:cNvSpPr>
          </xdr:nvSpPr>
          <xdr:spPr>
            <a:xfrm>
              <a:off x="304800" y="1543050"/>
              <a:ext cx="2700000" cy="12065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11</xdr:col>
      <xdr:colOff>27215</xdr:colOff>
      <xdr:row>1</xdr:row>
      <xdr:rowOff>31751</xdr:rowOff>
    </xdr:from>
    <xdr:to>
      <xdr:col>18</xdr:col>
      <xdr:colOff>262165</xdr:colOff>
      <xdr:row>16</xdr:row>
      <xdr:rowOff>33571</xdr:rowOff>
    </xdr:to>
    <xdr:grpSp>
      <xdr:nvGrpSpPr>
        <xdr:cNvPr id="84" name="Group 83">
          <a:extLst>
            <a:ext uri="{FF2B5EF4-FFF2-40B4-BE49-F238E27FC236}">
              <a16:creationId xmlns:a16="http://schemas.microsoft.com/office/drawing/2014/main" id="{00000000-0008-0000-0000-000054000000}"/>
            </a:ext>
          </a:extLst>
        </xdr:cNvPr>
        <xdr:cNvGrpSpPr/>
      </xdr:nvGrpSpPr>
      <xdr:grpSpPr>
        <a:xfrm>
          <a:off x="6732815" y="215901"/>
          <a:ext cx="4502150" cy="2764070"/>
          <a:chOff x="3352800" y="422517"/>
          <a:chExt cx="4502150" cy="2765183"/>
        </a:xfrm>
      </xdr:grpSpPr>
      <xdr:sp macro="" textlink="">
        <xdr:nvSpPr>
          <xdr:cNvPr id="78" name="Rectangle: Rounded Corners 77">
            <a:extLst>
              <a:ext uri="{FF2B5EF4-FFF2-40B4-BE49-F238E27FC236}">
                <a16:creationId xmlns:a16="http://schemas.microsoft.com/office/drawing/2014/main" id="{00000000-0008-0000-0000-00004E000000}"/>
              </a:ext>
            </a:extLst>
          </xdr:cNvPr>
          <xdr:cNvSpPr/>
        </xdr:nvSpPr>
        <xdr:spPr>
          <a:xfrm>
            <a:off x="3411436" y="422517"/>
            <a:ext cx="4443514" cy="2753356"/>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67" name="Chart 66">
            <a:extLst>
              <a:ext uri="{FF2B5EF4-FFF2-40B4-BE49-F238E27FC236}">
                <a16:creationId xmlns:a16="http://schemas.microsoft.com/office/drawing/2014/main" id="{00000000-0008-0000-0000-000043000000}"/>
              </a:ext>
            </a:extLst>
          </xdr:cNvPr>
          <xdr:cNvGraphicFramePr>
            <a:graphicFrameLocks/>
          </xdr:cNvGraphicFramePr>
        </xdr:nvGraphicFramePr>
        <xdr:xfrm>
          <a:off x="3352800" y="797317"/>
          <a:ext cx="4469577" cy="2390383"/>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3530599" y="465172"/>
            <a:ext cx="3450771" cy="334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50000"/>
                  </a:schemeClr>
                </a:solidFill>
                <a:latin typeface="Microsoft YaHei UI" panose="020B0503020204020204" pitchFamily="34" charset="-122"/>
                <a:ea typeface="Microsoft YaHei UI" panose="020B0503020204020204" pitchFamily="34" charset="-122"/>
              </a:rPr>
              <a:t>Revenue</a:t>
            </a:r>
            <a:r>
              <a:rPr lang="en-ID" sz="1200" b="1" baseline="0">
                <a:solidFill>
                  <a:schemeClr val="accent3">
                    <a:lumMod val="50000"/>
                  </a:schemeClr>
                </a:solidFill>
                <a:latin typeface="Microsoft YaHei UI" panose="020B0503020204020204" pitchFamily="34" charset="-122"/>
                <a:ea typeface="Microsoft YaHei UI" panose="020B0503020204020204" pitchFamily="34" charset="-122"/>
              </a:rPr>
              <a:t> by Truck Type</a:t>
            </a:r>
            <a:endParaRPr lang="en-ID" sz="1200" b="1">
              <a:solidFill>
                <a:schemeClr val="accent3">
                  <a:lumMod val="50000"/>
                </a:schemeClr>
              </a:solidFill>
              <a:latin typeface="Microsoft YaHei UI" panose="020B0503020204020204" pitchFamily="34" charset="-122"/>
              <a:ea typeface="Microsoft YaHei UI" panose="020B0503020204020204" pitchFamily="34" charset="-122"/>
            </a:endParaRPr>
          </a:p>
        </xdr:txBody>
      </xdr:sp>
    </xdr:grpSp>
    <xdr:clientData/>
  </xdr:twoCellAnchor>
  <xdr:twoCellAnchor>
    <xdr:from>
      <xdr:col>10</xdr:col>
      <xdr:colOff>130918</xdr:colOff>
      <xdr:row>16</xdr:row>
      <xdr:rowOff>109764</xdr:rowOff>
    </xdr:from>
    <xdr:to>
      <xdr:col>18</xdr:col>
      <xdr:colOff>294118</xdr:colOff>
      <xdr:row>26</xdr:row>
      <xdr:rowOff>177800</xdr:rowOff>
    </xdr:to>
    <xdr:grpSp>
      <xdr:nvGrpSpPr>
        <xdr:cNvPr id="11" name="Group 10">
          <a:extLst>
            <a:ext uri="{FF2B5EF4-FFF2-40B4-BE49-F238E27FC236}">
              <a16:creationId xmlns:a16="http://schemas.microsoft.com/office/drawing/2014/main" id="{00000000-0008-0000-0000-00000B000000}"/>
            </a:ext>
          </a:extLst>
        </xdr:cNvPr>
        <xdr:cNvGrpSpPr/>
      </xdr:nvGrpSpPr>
      <xdr:grpSpPr>
        <a:xfrm>
          <a:off x="6226918" y="3056164"/>
          <a:ext cx="5040000" cy="1909536"/>
          <a:chOff x="3286868" y="3005364"/>
          <a:chExt cx="5040000" cy="1909536"/>
        </a:xfrm>
      </xdr:grpSpPr>
      <xdr:sp macro="" textlink="">
        <xdr:nvSpPr>
          <xdr:cNvPr id="83" name="Rectangle: Rounded Corners 82">
            <a:extLst>
              <a:ext uri="{FF2B5EF4-FFF2-40B4-BE49-F238E27FC236}">
                <a16:creationId xmlns:a16="http://schemas.microsoft.com/office/drawing/2014/main" id="{00000000-0008-0000-0000-000053000000}"/>
              </a:ext>
            </a:extLst>
          </xdr:cNvPr>
          <xdr:cNvSpPr/>
        </xdr:nvSpPr>
        <xdr:spPr>
          <a:xfrm>
            <a:off x="3286868" y="3016250"/>
            <a:ext cx="5040000" cy="1800000"/>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81" name="chrTop5Cust">
            <a:extLst>
              <a:ext uri="{FF2B5EF4-FFF2-40B4-BE49-F238E27FC236}">
                <a16:creationId xmlns:a16="http://schemas.microsoft.com/office/drawing/2014/main" id="{00000000-0008-0000-0000-000051000000}"/>
              </a:ext>
            </a:extLst>
          </xdr:cNvPr>
          <xdr:cNvGraphicFramePr>
            <a:graphicFrameLocks/>
          </xdr:cNvGraphicFramePr>
        </xdr:nvGraphicFramePr>
        <xdr:xfrm>
          <a:off x="3378200" y="3238500"/>
          <a:ext cx="4749800" cy="1676400"/>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85" name="TextBox 84">
            <a:extLst>
              <a:ext uri="{FF2B5EF4-FFF2-40B4-BE49-F238E27FC236}">
                <a16:creationId xmlns:a16="http://schemas.microsoft.com/office/drawing/2014/main" id="{00000000-0008-0000-0000-000055000000}"/>
              </a:ext>
            </a:extLst>
          </xdr:cNvPr>
          <xdr:cNvSpPr txBox="1"/>
        </xdr:nvSpPr>
        <xdr:spPr>
          <a:xfrm>
            <a:off x="3441700" y="3005364"/>
            <a:ext cx="3450771" cy="334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50000"/>
                  </a:schemeClr>
                </a:solidFill>
                <a:latin typeface="Microsoft YaHei UI" panose="020B0503020204020204" pitchFamily="34" charset="-122"/>
                <a:ea typeface="Microsoft YaHei UI" panose="020B0503020204020204" pitchFamily="34" charset="-122"/>
              </a:rPr>
              <a:t>Top</a:t>
            </a:r>
            <a:r>
              <a:rPr lang="en-ID" sz="1200" b="1" baseline="0">
                <a:solidFill>
                  <a:schemeClr val="accent3">
                    <a:lumMod val="50000"/>
                  </a:schemeClr>
                </a:solidFill>
                <a:latin typeface="Microsoft YaHei UI" panose="020B0503020204020204" pitchFamily="34" charset="-122"/>
                <a:ea typeface="Microsoft YaHei UI" panose="020B0503020204020204" pitchFamily="34" charset="-122"/>
              </a:rPr>
              <a:t> 5 Customers Contribution</a:t>
            </a:r>
            <a:endParaRPr lang="en-ID" sz="1200" b="1">
              <a:solidFill>
                <a:schemeClr val="accent3">
                  <a:lumMod val="50000"/>
                </a:schemeClr>
              </a:solidFill>
              <a:latin typeface="Microsoft YaHei UI" panose="020B0503020204020204" pitchFamily="34" charset="-122"/>
              <a:ea typeface="Microsoft YaHei UI" panose="020B0503020204020204" pitchFamily="34" charset="-122"/>
            </a:endParaRPr>
          </a:p>
        </xdr:txBody>
      </xdr:sp>
    </xdr:grpSp>
    <xdr:clientData/>
  </xdr:twoCellAnchor>
  <xdr:twoCellAnchor>
    <xdr:from>
      <xdr:col>0</xdr:col>
      <xdr:colOff>293368</xdr:colOff>
      <xdr:row>5</xdr:row>
      <xdr:rowOff>152400</xdr:rowOff>
    </xdr:from>
    <xdr:to>
      <xdr:col>5</xdr:col>
      <xdr:colOff>128266</xdr:colOff>
      <xdr:row>8</xdr:row>
      <xdr:rowOff>91440</xdr:rowOff>
    </xdr:to>
    <xdr:sp macro="" textlink="">
      <xdr:nvSpPr>
        <xdr:cNvPr id="46" name="Rectangle: Rounded Corners 45">
          <a:extLst>
            <a:ext uri="{FF2B5EF4-FFF2-40B4-BE49-F238E27FC236}">
              <a16:creationId xmlns:a16="http://schemas.microsoft.com/office/drawing/2014/main" id="{00000000-0008-0000-0000-00002E000000}"/>
            </a:ext>
          </a:extLst>
        </xdr:cNvPr>
        <xdr:cNvSpPr/>
      </xdr:nvSpPr>
      <xdr:spPr>
        <a:xfrm>
          <a:off x="293368" y="1073150"/>
          <a:ext cx="2882898" cy="491490"/>
        </a:xfrm>
        <a:prstGeom prst="roundRect">
          <a:avLst>
            <a:gd name="adj" fmla="val 21607"/>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325117</xdr:colOff>
      <xdr:row>6</xdr:row>
      <xdr:rowOff>1016</xdr:rowOff>
    </xdr:from>
    <xdr:to>
      <xdr:col>5</xdr:col>
      <xdr:colOff>96518</xdr:colOff>
      <xdr:row>8</xdr:row>
      <xdr:rowOff>58674</xdr:rowOff>
    </xdr:to>
    <mc:AlternateContent xmlns:mc="http://schemas.openxmlformats.org/markup-compatibility/2006" xmlns:a14="http://schemas.microsoft.com/office/drawing/2010/main">
      <mc:Choice Requires="a14">
        <xdr:graphicFrame macro="">
          <xdr:nvGraphicFramePr>
            <xdr:cNvPr id="8" name="TruckType">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TruckType"/>
            </a:graphicData>
          </a:graphic>
        </xdr:graphicFrame>
      </mc:Choice>
      <mc:Fallback xmlns="">
        <xdr:sp macro="" textlink="">
          <xdr:nvSpPr>
            <xdr:cNvPr id="0" name=""/>
            <xdr:cNvSpPr>
              <a:spLocks noTextEdit="1"/>
            </xdr:cNvSpPr>
          </xdr:nvSpPr>
          <xdr:spPr>
            <a:xfrm>
              <a:off x="325117" y="1105916"/>
              <a:ext cx="2819401" cy="42595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160803</xdr:colOff>
      <xdr:row>1</xdr:row>
      <xdr:rowOff>22108</xdr:rowOff>
    </xdr:from>
    <xdr:to>
      <xdr:col>7</xdr:col>
      <xdr:colOff>591450</xdr:colOff>
      <xdr:row>6</xdr:row>
      <xdr:rowOff>149607</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3208803" y="206258"/>
          <a:ext cx="1649847" cy="1048249"/>
          <a:chOff x="3197760" y="204325"/>
          <a:chExt cx="1645429" cy="1038586"/>
        </a:xfrm>
      </xdr:grpSpPr>
      <xdr:sp macro="" textlink="">
        <xdr:nvSpPr>
          <xdr:cNvPr id="57" name="Rectangle: Rounded Corners 56">
            <a:extLst>
              <a:ext uri="{FF2B5EF4-FFF2-40B4-BE49-F238E27FC236}">
                <a16:creationId xmlns:a16="http://schemas.microsoft.com/office/drawing/2014/main" id="{00000000-0008-0000-0000-000039000000}"/>
              </a:ext>
            </a:extLst>
          </xdr:cNvPr>
          <xdr:cNvSpPr/>
        </xdr:nvSpPr>
        <xdr:spPr>
          <a:xfrm>
            <a:off x="3316550" y="204325"/>
            <a:ext cx="1419471" cy="1025696"/>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3197760" y="220544"/>
            <a:ext cx="1645429" cy="336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Total </a:t>
            </a:r>
            <a:r>
              <a:rPr lang="en-ID" sz="1000" b="1" u="none">
                <a:solidFill>
                  <a:schemeClr val="accent3">
                    <a:lumMod val="50000"/>
                  </a:schemeClr>
                </a:solidFill>
                <a:latin typeface="Microsoft YaHei UI" panose="020B0503020204020204" pitchFamily="34" charset="-122"/>
                <a:ea typeface="Microsoft YaHei UI" panose="020B0503020204020204" pitchFamily="34" charset="-122"/>
              </a:rPr>
              <a:t>Revenue</a:t>
            </a:r>
          </a:p>
        </xdr:txBody>
      </xdr:sp>
      <xdr:cxnSp macro="">
        <xdr:nvCxnSpPr>
          <xdr:cNvPr id="25" name="Straight Connector 24">
            <a:extLst>
              <a:ext uri="{FF2B5EF4-FFF2-40B4-BE49-F238E27FC236}">
                <a16:creationId xmlns:a16="http://schemas.microsoft.com/office/drawing/2014/main" id="{00000000-0008-0000-0000-000019000000}"/>
              </a:ext>
            </a:extLst>
          </xdr:cNvPr>
          <xdr:cNvCxnSpPr/>
        </xdr:nvCxnSpPr>
        <xdr:spPr>
          <a:xfrm>
            <a:off x="3476721" y="492624"/>
            <a:ext cx="1125269"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66" name="Chart 2">
            <a:extLst>
              <a:ext uri="{FF2B5EF4-FFF2-40B4-BE49-F238E27FC236}">
                <a16:creationId xmlns:a16="http://schemas.microsoft.com/office/drawing/2014/main" id="{00000000-0008-0000-0000-000042000000}"/>
              </a:ext>
            </a:extLst>
          </xdr:cNvPr>
          <xdr:cNvGraphicFramePr/>
        </xdr:nvGraphicFramePr>
        <xdr:xfrm>
          <a:off x="3425097" y="664607"/>
          <a:ext cx="1190756" cy="578304"/>
        </xdr:xfrm>
        <a:graphic>
          <a:graphicData uri="http://schemas.openxmlformats.org/drawingml/2006/chart">
            <c:chart xmlns:c="http://schemas.openxmlformats.org/drawingml/2006/chart" xmlns:r="http://schemas.openxmlformats.org/officeDocument/2006/relationships" r:id="rId18"/>
          </a:graphicData>
        </a:graphic>
      </xdr:graphicFrame>
      <xdr:sp macro="" textlink="Revenue!I13">
        <xdr:nvSpPr>
          <xdr:cNvPr id="22" name="TextBox 21">
            <a:extLst>
              <a:ext uri="{FF2B5EF4-FFF2-40B4-BE49-F238E27FC236}">
                <a16:creationId xmlns:a16="http://schemas.microsoft.com/office/drawing/2014/main" id="{00000000-0008-0000-0000-000016000000}"/>
              </a:ext>
            </a:extLst>
          </xdr:cNvPr>
          <xdr:cNvSpPr txBox="1"/>
        </xdr:nvSpPr>
        <xdr:spPr>
          <a:xfrm>
            <a:off x="3318989" y="473861"/>
            <a:ext cx="1402974" cy="36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EEAE8D-1A06-4092-8689-2A4236058C77}" type="TxLink">
              <a:rPr lang="en-US" sz="1100" b="1" i="0" u="none" strike="noStrike">
                <a:solidFill>
                  <a:schemeClr val="accent3">
                    <a:lumMod val="50000"/>
                  </a:schemeClr>
                </a:solidFill>
                <a:latin typeface="Microsoft YaHei" panose="020B0503020204020204" pitchFamily="34" charset="-122"/>
                <a:ea typeface="Microsoft YaHei" panose="020B0503020204020204" pitchFamily="34" charset="-122"/>
                <a:cs typeface="Calibri"/>
              </a:rPr>
              <a:pPr algn="ctr"/>
              <a:t> Rp99.616.650,00 </a:t>
            </a:fld>
            <a:endParaRPr lang="en-US" sz="1100" b="1">
              <a:solidFill>
                <a:schemeClr val="accent3">
                  <a:lumMod val="50000"/>
                </a:schemeClr>
              </a:solidFill>
              <a:latin typeface="Microsoft YaHei" panose="020B0503020204020204" pitchFamily="34" charset="-122"/>
              <a:ea typeface="Microsoft YaHei" panose="020B0503020204020204" pitchFamily="34" charset="-122"/>
            </a:endParaRPr>
          </a:p>
        </xdr:txBody>
      </xdr:sp>
    </xdr:grpSp>
    <xdr:clientData/>
  </xdr:twoCellAnchor>
  <xdr:twoCellAnchor>
    <xdr:from>
      <xdr:col>5</xdr:col>
      <xdr:colOff>249115</xdr:colOff>
      <xdr:row>13</xdr:row>
      <xdr:rowOff>19538</xdr:rowOff>
    </xdr:from>
    <xdr:to>
      <xdr:col>9</xdr:col>
      <xdr:colOff>605692</xdr:colOff>
      <xdr:row>26</xdr:row>
      <xdr:rowOff>85500</xdr:rowOff>
    </xdr:to>
    <xdr:sp macro="" textlink="">
      <xdr:nvSpPr>
        <xdr:cNvPr id="75" name="Rectangle: Rounded Corners 74">
          <a:extLst>
            <a:ext uri="{FF2B5EF4-FFF2-40B4-BE49-F238E27FC236}">
              <a16:creationId xmlns:a16="http://schemas.microsoft.com/office/drawing/2014/main" id="{00000000-0008-0000-0000-00004B000000}"/>
            </a:ext>
          </a:extLst>
        </xdr:cNvPr>
        <xdr:cNvSpPr/>
      </xdr:nvSpPr>
      <xdr:spPr>
        <a:xfrm>
          <a:off x="3292736" y="2410641"/>
          <a:ext cx="2791473" cy="2457066"/>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528151</xdr:colOff>
      <xdr:row>1</xdr:row>
      <xdr:rowOff>19050</xdr:rowOff>
    </xdr:from>
    <xdr:to>
      <xdr:col>11</xdr:col>
      <xdr:colOff>19758</xdr:colOff>
      <xdr:row>6</xdr:row>
      <xdr:rowOff>171450</xdr:rowOff>
    </xdr:to>
    <xdr:grpSp>
      <xdr:nvGrpSpPr>
        <xdr:cNvPr id="49" name="Group 48">
          <a:extLst>
            <a:ext uri="{FF2B5EF4-FFF2-40B4-BE49-F238E27FC236}">
              <a16:creationId xmlns:a16="http://schemas.microsoft.com/office/drawing/2014/main" id="{00000000-0008-0000-0000-000031000000}"/>
            </a:ext>
          </a:extLst>
        </xdr:cNvPr>
        <xdr:cNvGrpSpPr/>
      </xdr:nvGrpSpPr>
      <xdr:grpSpPr>
        <a:xfrm>
          <a:off x="4795351" y="203200"/>
          <a:ext cx="1930007" cy="1073150"/>
          <a:chOff x="4798526" y="202746"/>
          <a:chExt cx="1931821" cy="1070883"/>
        </a:xfrm>
      </xdr:grpSpPr>
      <xdr:sp macro="" textlink="">
        <xdr:nvSpPr>
          <xdr:cNvPr id="70" name="Rectangle: Rounded Corners 69">
            <a:extLst>
              <a:ext uri="{FF2B5EF4-FFF2-40B4-BE49-F238E27FC236}">
                <a16:creationId xmlns:a16="http://schemas.microsoft.com/office/drawing/2014/main" id="{00000000-0008-0000-0000-000046000000}"/>
              </a:ext>
            </a:extLst>
          </xdr:cNvPr>
          <xdr:cNvSpPr/>
        </xdr:nvSpPr>
        <xdr:spPr>
          <a:xfrm>
            <a:off x="4822825" y="202746"/>
            <a:ext cx="1843987" cy="1070883"/>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4914232" y="222754"/>
            <a:ext cx="1650754" cy="336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Avr.</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 Fuel</a:t>
            </a:r>
            <a:r>
              <a:rPr lang="en-ID" sz="1000" b="1">
                <a:solidFill>
                  <a:schemeClr val="accent3">
                    <a:lumMod val="50000"/>
                  </a:schemeClr>
                </a:solidFill>
                <a:latin typeface="Microsoft YaHei UI" panose="020B0503020204020204" pitchFamily="34" charset="-122"/>
                <a:ea typeface="Microsoft YaHei UI" panose="020B0503020204020204" pitchFamily="34" charset="-122"/>
              </a:rPr>
              <a:t> Cost</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/km</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xnSp macro="">
        <xdr:nvCxnSpPr>
          <xdr:cNvPr id="63" name="Straight Connector 62">
            <a:extLst>
              <a:ext uri="{FF2B5EF4-FFF2-40B4-BE49-F238E27FC236}">
                <a16:creationId xmlns:a16="http://schemas.microsoft.com/office/drawing/2014/main" id="{00000000-0008-0000-0000-00003F000000}"/>
              </a:ext>
            </a:extLst>
          </xdr:cNvPr>
          <xdr:cNvCxnSpPr/>
        </xdr:nvCxnSpPr>
        <xdr:spPr>
          <a:xfrm>
            <a:off x="5058595" y="497347"/>
            <a:ext cx="1362027"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sp macro="" textlink="Operational!B16">
        <xdr:nvSpPr>
          <xdr:cNvPr id="77" name="TextBox 76">
            <a:extLst>
              <a:ext uri="{FF2B5EF4-FFF2-40B4-BE49-F238E27FC236}">
                <a16:creationId xmlns:a16="http://schemas.microsoft.com/office/drawing/2014/main" id="{00000000-0008-0000-0000-00004D000000}"/>
              </a:ext>
            </a:extLst>
          </xdr:cNvPr>
          <xdr:cNvSpPr txBox="1"/>
        </xdr:nvSpPr>
        <xdr:spPr>
          <a:xfrm>
            <a:off x="5263638" y="476819"/>
            <a:ext cx="963899" cy="371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6F5E1B-35C7-42F6-87E6-7773742C7D06}"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Rp394,49 </a:t>
            </a:fld>
            <a:endPar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grpSp>
        <xdr:nvGrpSpPr>
          <xdr:cNvPr id="23" name="Group 22">
            <a:extLst>
              <a:ext uri="{FF2B5EF4-FFF2-40B4-BE49-F238E27FC236}">
                <a16:creationId xmlns:a16="http://schemas.microsoft.com/office/drawing/2014/main" id="{00000000-0008-0000-0000-000017000000}"/>
              </a:ext>
            </a:extLst>
          </xdr:cNvPr>
          <xdr:cNvGrpSpPr/>
        </xdr:nvGrpSpPr>
        <xdr:grpSpPr>
          <a:xfrm>
            <a:off x="6316724" y="831979"/>
            <a:ext cx="413623" cy="402857"/>
            <a:chOff x="4478130" y="10270865"/>
            <a:chExt cx="409407" cy="399351"/>
          </a:xfrm>
        </xdr:grpSpPr>
        <xdr:pic>
          <xdr:nvPicPr>
            <xdr:cNvPr id="17" name="Graphic 16" descr="Chevron arrows with solid fill">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rot="16200000">
              <a:off x="4579239" y="10270865"/>
              <a:ext cx="207188" cy="207188"/>
            </a:xfrm>
            <a:prstGeom prst="rect">
              <a:avLst/>
            </a:prstGeom>
          </xdr:spPr>
        </xdr:pic>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4478130" y="10408478"/>
              <a:ext cx="409407" cy="2617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800" b="1">
                  <a:solidFill>
                    <a:schemeClr val="accent3">
                      <a:lumMod val="50000"/>
                    </a:schemeClr>
                  </a:solidFill>
                  <a:latin typeface="Microsoft YaHei UI" panose="020B0503020204020204" pitchFamily="34" charset="-122"/>
                  <a:ea typeface="Microsoft YaHei UI" panose="020B0503020204020204" pitchFamily="34" charset="-122"/>
                </a:rPr>
                <a:t>Max</a:t>
              </a:r>
            </a:p>
          </xdr:txBody>
        </xdr:sp>
      </xdr:grpSp>
      <xdr:grpSp>
        <xdr:nvGrpSpPr>
          <xdr:cNvPr id="24" name="Group 23">
            <a:extLst>
              <a:ext uri="{FF2B5EF4-FFF2-40B4-BE49-F238E27FC236}">
                <a16:creationId xmlns:a16="http://schemas.microsoft.com/office/drawing/2014/main" id="{00000000-0008-0000-0000-000018000000}"/>
              </a:ext>
            </a:extLst>
          </xdr:cNvPr>
          <xdr:cNvGrpSpPr/>
        </xdr:nvGrpSpPr>
        <xdr:grpSpPr>
          <a:xfrm>
            <a:off x="4798526" y="821739"/>
            <a:ext cx="391640" cy="423338"/>
            <a:chOff x="4078356" y="10185466"/>
            <a:chExt cx="386965" cy="419462"/>
          </a:xfrm>
        </xdr:grpSpPr>
        <xdr:pic>
          <xdr:nvPicPr>
            <xdr:cNvPr id="79" name="Graphic 78" descr="Chevron arrows with solid fill">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rot="5400000">
              <a:off x="4168095" y="10185466"/>
              <a:ext cx="207489" cy="207489"/>
            </a:xfrm>
            <a:prstGeom prst="rect">
              <a:avLst/>
            </a:prstGeom>
          </xdr:spPr>
        </xdr:pic>
        <xdr:sp macro="" textlink="">
          <xdr:nvSpPr>
            <xdr:cNvPr id="80" name="TextBox 79">
              <a:extLst>
                <a:ext uri="{FF2B5EF4-FFF2-40B4-BE49-F238E27FC236}">
                  <a16:creationId xmlns:a16="http://schemas.microsoft.com/office/drawing/2014/main" id="{00000000-0008-0000-0000-000050000000}"/>
                </a:ext>
              </a:extLst>
            </xdr:cNvPr>
            <xdr:cNvSpPr txBox="1"/>
          </xdr:nvSpPr>
          <xdr:spPr>
            <a:xfrm>
              <a:off x="4078356" y="10343190"/>
              <a:ext cx="386965" cy="2617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800" b="1">
                  <a:solidFill>
                    <a:schemeClr val="accent3">
                      <a:lumMod val="50000"/>
                    </a:schemeClr>
                  </a:solidFill>
                  <a:latin typeface="Microsoft YaHei UI" panose="020B0503020204020204" pitchFamily="34" charset="-122"/>
                  <a:ea typeface="Microsoft YaHei UI" panose="020B0503020204020204" pitchFamily="34" charset="-122"/>
                </a:rPr>
                <a:t>Min</a:t>
              </a:r>
            </a:p>
          </xdr:txBody>
        </xdr:sp>
      </xdr:grpSp>
      <xdr:sp macro="" textlink="">
        <xdr:nvSpPr>
          <xdr:cNvPr id="30" name="Rectangle 29">
            <a:extLst>
              <a:ext uri="{FF2B5EF4-FFF2-40B4-BE49-F238E27FC236}">
                <a16:creationId xmlns:a16="http://schemas.microsoft.com/office/drawing/2014/main" id="{00000000-0008-0000-0000-00001E000000}"/>
              </a:ext>
            </a:extLst>
          </xdr:cNvPr>
          <xdr:cNvSpPr/>
        </xdr:nvSpPr>
        <xdr:spPr>
          <a:xfrm>
            <a:off x="5129237" y="862685"/>
            <a:ext cx="1241676" cy="246431"/>
          </a:xfrm>
          <a:prstGeom prst="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10" name="Chart 11">
            <a:extLst>
              <a:ext uri="{FF2B5EF4-FFF2-40B4-BE49-F238E27FC236}">
                <a16:creationId xmlns:a16="http://schemas.microsoft.com/office/drawing/2014/main" id="{00000000-0008-0000-0000-00000A000000}"/>
              </a:ext>
            </a:extLst>
          </xdr:cNvPr>
          <xdr:cNvGraphicFramePr/>
        </xdr:nvGraphicFramePr>
        <xdr:xfrm>
          <a:off x="4991358" y="753889"/>
          <a:ext cx="1516507" cy="515679"/>
        </xdr:xfrm>
        <a:graphic>
          <a:graphicData uri="http://schemas.openxmlformats.org/drawingml/2006/chart">
            <c:chart xmlns:c="http://schemas.openxmlformats.org/drawingml/2006/chart" xmlns:r="http://schemas.openxmlformats.org/officeDocument/2006/relationships" r:id="rId23"/>
          </a:graphicData>
        </a:graphic>
      </xdr:graphicFrame>
      <xdr:sp macro="" textlink="Operational!E16">
        <xdr:nvSpPr>
          <xdr:cNvPr id="86" name="TextBox 85">
            <a:extLst>
              <a:ext uri="{FF2B5EF4-FFF2-40B4-BE49-F238E27FC236}">
                <a16:creationId xmlns:a16="http://schemas.microsoft.com/office/drawing/2014/main" id="{00000000-0008-0000-0000-000056000000}"/>
              </a:ext>
            </a:extLst>
          </xdr:cNvPr>
          <xdr:cNvSpPr txBox="1"/>
        </xdr:nvSpPr>
        <xdr:spPr>
          <a:xfrm>
            <a:off x="5017530" y="812006"/>
            <a:ext cx="791737" cy="371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BCD312-9CF6-4FBE-ACA5-3BF6C370575B}" type="TxLink">
              <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Rp301,00 </a:t>
            </a:fld>
            <a:endPar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sp macro="" textlink="Operational!F16">
        <xdr:nvSpPr>
          <xdr:cNvPr id="87" name="TextBox 86">
            <a:extLst>
              <a:ext uri="{FF2B5EF4-FFF2-40B4-BE49-F238E27FC236}">
                <a16:creationId xmlns:a16="http://schemas.microsoft.com/office/drawing/2014/main" id="{00000000-0008-0000-0000-000057000000}"/>
              </a:ext>
            </a:extLst>
          </xdr:cNvPr>
          <xdr:cNvSpPr txBox="1"/>
        </xdr:nvSpPr>
        <xdr:spPr>
          <a:xfrm>
            <a:off x="5644858" y="816542"/>
            <a:ext cx="791737" cy="371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EF85875-E91A-4318-A431-816C9CD20116}" type="TxLink">
              <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Rp497,00 </a:t>
            </a:fld>
            <a:endPar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5744537" y="868521"/>
            <a:ext cx="0" cy="253578"/>
          </a:xfrm>
          <a:prstGeom prst="line">
            <a:avLst/>
          </a:prstGeom>
          <a:ln>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552450</xdr:colOff>
      <xdr:row>7</xdr:row>
      <xdr:rowOff>88900</xdr:rowOff>
    </xdr:from>
    <xdr:to>
      <xdr:col>10</xdr:col>
      <xdr:colOff>566276</xdr:colOff>
      <xdr:row>12</xdr:row>
      <xdr:rowOff>50150</xdr:rowOff>
    </xdr:to>
    <xdr:grpSp>
      <xdr:nvGrpSpPr>
        <xdr:cNvPr id="43" name="Group 42">
          <a:extLst>
            <a:ext uri="{FF2B5EF4-FFF2-40B4-BE49-F238E27FC236}">
              <a16:creationId xmlns:a16="http://schemas.microsoft.com/office/drawing/2014/main" id="{00000000-0008-0000-0000-00002B000000}"/>
            </a:ext>
          </a:extLst>
        </xdr:cNvPr>
        <xdr:cNvGrpSpPr/>
      </xdr:nvGrpSpPr>
      <xdr:grpSpPr>
        <a:xfrm>
          <a:off x="4819650" y="1377950"/>
          <a:ext cx="1842626" cy="882000"/>
          <a:chOff x="4840568" y="1412819"/>
          <a:chExt cx="1851590" cy="896059"/>
        </a:xfrm>
      </xdr:grpSpPr>
      <xdr:sp macro="" textlink="">
        <xdr:nvSpPr>
          <xdr:cNvPr id="76" name="Rectangle: Rounded Corners 75">
            <a:extLst>
              <a:ext uri="{FF2B5EF4-FFF2-40B4-BE49-F238E27FC236}">
                <a16:creationId xmlns:a16="http://schemas.microsoft.com/office/drawing/2014/main" id="{00000000-0008-0000-0000-00004C000000}"/>
              </a:ext>
            </a:extLst>
          </xdr:cNvPr>
          <xdr:cNvSpPr/>
        </xdr:nvSpPr>
        <xdr:spPr>
          <a:xfrm>
            <a:off x="4840568" y="1412819"/>
            <a:ext cx="1851590" cy="896059"/>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88" name="TextBox 87">
            <a:extLst>
              <a:ext uri="{FF2B5EF4-FFF2-40B4-BE49-F238E27FC236}">
                <a16:creationId xmlns:a16="http://schemas.microsoft.com/office/drawing/2014/main" id="{00000000-0008-0000-0000-000058000000}"/>
              </a:ext>
            </a:extLst>
          </xdr:cNvPr>
          <xdr:cNvSpPr txBox="1"/>
        </xdr:nvSpPr>
        <xdr:spPr>
          <a:xfrm>
            <a:off x="4948524" y="1467675"/>
            <a:ext cx="1652638" cy="34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Avr.</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 Distance (km)</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xnSp macro="">
        <xdr:nvCxnSpPr>
          <xdr:cNvPr id="107" name="Connector: Curved 106">
            <a:extLst>
              <a:ext uri="{FF2B5EF4-FFF2-40B4-BE49-F238E27FC236}">
                <a16:creationId xmlns:a16="http://schemas.microsoft.com/office/drawing/2014/main" id="{00000000-0008-0000-0000-00006B000000}"/>
              </a:ext>
            </a:extLst>
          </xdr:cNvPr>
          <xdr:cNvCxnSpPr/>
        </xdr:nvCxnSpPr>
        <xdr:spPr>
          <a:xfrm flipV="1">
            <a:off x="5047245" y="1921377"/>
            <a:ext cx="1444983" cy="176996"/>
          </a:xfrm>
          <a:prstGeom prst="curvedConnector3">
            <a:avLst>
              <a:gd name="adj1" fmla="val 50001"/>
            </a:avLst>
          </a:prstGeom>
          <a:ln w="38100">
            <a:solidFill>
              <a:schemeClr val="accent3">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Operational!J16">
        <xdr:nvSpPr>
          <xdr:cNvPr id="89" name="TextBox 88">
            <a:extLst>
              <a:ext uri="{FF2B5EF4-FFF2-40B4-BE49-F238E27FC236}">
                <a16:creationId xmlns:a16="http://schemas.microsoft.com/office/drawing/2014/main" id="{00000000-0008-0000-0000-000059000000}"/>
              </a:ext>
            </a:extLst>
          </xdr:cNvPr>
          <xdr:cNvSpPr txBox="1"/>
        </xdr:nvSpPr>
        <xdr:spPr>
          <a:xfrm>
            <a:off x="5284478" y="1898725"/>
            <a:ext cx="968968" cy="19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33F7AC-7E05-4477-8B55-1674DC849C3F}"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496,28 </a:t>
            </a:fld>
            <a:endPar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xnSp macro="">
        <xdr:nvCxnSpPr>
          <xdr:cNvPr id="92" name="Straight Connector 91">
            <a:extLst>
              <a:ext uri="{FF2B5EF4-FFF2-40B4-BE49-F238E27FC236}">
                <a16:creationId xmlns:a16="http://schemas.microsoft.com/office/drawing/2014/main" id="{00000000-0008-0000-0000-00005C000000}"/>
              </a:ext>
            </a:extLst>
          </xdr:cNvPr>
          <xdr:cNvCxnSpPr/>
        </xdr:nvCxnSpPr>
        <xdr:spPr>
          <a:xfrm>
            <a:off x="5078872" y="1783225"/>
            <a:ext cx="1367096"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279987</xdr:colOff>
      <xdr:row>7</xdr:row>
      <xdr:rowOff>88900</xdr:rowOff>
    </xdr:from>
    <xdr:to>
      <xdr:col>7</xdr:col>
      <xdr:colOff>483605</xdr:colOff>
      <xdr:row>12</xdr:row>
      <xdr:rowOff>48846</xdr:rowOff>
    </xdr:to>
    <xdr:grpSp>
      <xdr:nvGrpSpPr>
        <xdr:cNvPr id="44" name="Group 43">
          <a:extLst>
            <a:ext uri="{FF2B5EF4-FFF2-40B4-BE49-F238E27FC236}">
              <a16:creationId xmlns:a16="http://schemas.microsoft.com/office/drawing/2014/main" id="{00000000-0008-0000-0000-00002C000000}"/>
            </a:ext>
          </a:extLst>
        </xdr:cNvPr>
        <xdr:cNvGrpSpPr/>
      </xdr:nvGrpSpPr>
      <xdr:grpSpPr>
        <a:xfrm>
          <a:off x="3327987" y="1377950"/>
          <a:ext cx="1422818" cy="880696"/>
          <a:chOff x="3342928" y="1396253"/>
          <a:chExt cx="1428795" cy="893769"/>
        </a:xfrm>
      </xdr:grpSpPr>
      <xdr:sp macro="" textlink="">
        <xdr:nvSpPr>
          <xdr:cNvPr id="73" name="Rectangle: Rounded Corners 72">
            <a:extLst>
              <a:ext uri="{FF2B5EF4-FFF2-40B4-BE49-F238E27FC236}">
                <a16:creationId xmlns:a16="http://schemas.microsoft.com/office/drawing/2014/main" id="{00000000-0008-0000-0000-000049000000}"/>
              </a:ext>
            </a:extLst>
          </xdr:cNvPr>
          <xdr:cNvSpPr/>
        </xdr:nvSpPr>
        <xdr:spPr>
          <a:xfrm>
            <a:off x="3342928" y="1396253"/>
            <a:ext cx="1428795" cy="893769"/>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nvGrpSpPr>
          <xdr:cNvPr id="104" name="Group 103">
            <a:extLst>
              <a:ext uri="{FF2B5EF4-FFF2-40B4-BE49-F238E27FC236}">
                <a16:creationId xmlns:a16="http://schemas.microsoft.com/office/drawing/2014/main" id="{00000000-0008-0000-0000-000068000000}"/>
              </a:ext>
            </a:extLst>
          </xdr:cNvPr>
          <xdr:cNvGrpSpPr/>
        </xdr:nvGrpSpPr>
        <xdr:grpSpPr>
          <a:xfrm>
            <a:off x="3360462" y="1405045"/>
            <a:ext cx="1328196" cy="828628"/>
            <a:chOff x="5049555" y="2045398"/>
            <a:chExt cx="1364643" cy="846080"/>
          </a:xfrm>
        </xdr:grpSpPr>
        <xdr:sp macro="" textlink="">
          <xdr:nvSpPr>
            <xdr:cNvPr id="19" name="Rectangle 18">
              <a:extLst>
                <a:ext uri="{FF2B5EF4-FFF2-40B4-BE49-F238E27FC236}">
                  <a16:creationId xmlns:a16="http://schemas.microsoft.com/office/drawing/2014/main" id="{00000000-0008-0000-0000-000013000000}"/>
                </a:ext>
              </a:extLst>
            </xdr:cNvPr>
            <xdr:cNvSpPr/>
          </xdr:nvSpPr>
          <xdr:spPr>
            <a:xfrm>
              <a:off x="5182158" y="2263669"/>
              <a:ext cx="1130438" cy="585876"/>
            </a:xfrm>
            <a:prstGeom prst="rect">
              <a:avLst/>
            </a:prstGeom>
            <a:solidFill>
              <a:srgbClr val="8E987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6" name="Arrow: Up 15">
              <a:extLst>
                <a:ext uri="{FF2B5EF4-FFF2-40B4-BE49-F238E27FC236}">
                  <a16:creationId xmlns:a16="http://schemas.microsoft.com/office/drawing/2014/main" id="{00000000-0008-0000-0000-000010000000}"/>
                </a:ext>
              </a:extLst>
            </xdr:cNvPr>
            <xdr:cNvSpPr/>
          </xdr:nvSpPr>
          <xdr:spPr>
            <a:xfrm>
              <a:off x="6064878" y="2045398"/>
              <a:ext cx="349320" cy="414774"/>
            </a:xfrm>
            <a:prstGeom prst="upArrow">
              <a:avLst/>
            </a:prstGeom>
            <a:gradFill>
              <a:gsLst>
                <a:gs pos="100000">
                  <a:srgbClr val="ADBA94"/>
                </a:gs>
                <a:gs pos="0">
                  <a:srgbClr val="8E9879"/>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5139591" y="2235618"/>
              <a:ext cx="632545"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D" sz="1050" b="1">
                  <a:solidFill>
                    <a:schemeClr val="accent3">
                      <a:lumMod val="20000"/>
                      <a:lumOff val="80000"/>
                    </a:schemeClr>
                  </a:solidFill>
                  <a:latin typeface="Microsoft YaHei UI" panose="020B0503020204020204" pitchFamily="34" charset="-122"/>
                  <a:ea typeface="Microsoft YaHei UI" panose="020B0503020204020204" pitchFamily="34" charset="-122"/>
                  <a:cs typeface="+mn-cs"/>
                </a:rPr>
                <a:t>UP TO</a:t>
              </a:r>
            </a:p>
          </xdr:txBody>
        </xdr:sp>
        <xdr:cxnSp macro="">
          <xdr:nvCxnSpPr>
            <xdr:cNvPr id="29" name="Straight Connector 28">
              <a:extLst>
                <a:ext uri="{FF2B5EF4-FFF2-40B4-BE49-F238E27FC236}">
                  <a16:creationId xmlns:a16="http://schemas.microsoft.com/office/drawing/2014/main" id="{00000000-0008-0000-0000-00001D000000}"/>
                </a:ext>
              </a:extLst>
            </xdr:cNvPr>
            <xdr:cNvCxnSpPr>
              <a:cxnSpLocks/>
              <a:stCxn id="19" idx="1"/>
              <a:endCxn id="19" idx="3"/>
            </xdr:cNvCxnSpPr>
          </xdr:nvCxnSpPr>
          <xdr:spPr>
            <a:xfrm>
              <a:off x="5182158" y="2556328"/>
              <a:ext cx="1130438" cy="0"/>
            </a:xfrm>
            <a:prstGeom prst="line">
              <a:avLst/>
            </a:prstGeom>
            <a:ln w="57150">
              <a:solidFill>
                <a:schemeClr val="accent3">
                  <a:lumMod val="60000"/>
                  <a:lumOff val="40000"/>
                </a:schemeClr>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103" name="Group 102">
              <a:extLst>
                <a:ext uri="{FF2B5EF4-FFF2-40B4-BE49-F238E27FC236}">
                  <a16:creationId xmlns:a16="http://schemas.microsoft.com/office/drawing/2014/main" id="{00000000-0008-0000-0000-000067000000}"/>
                </a:ext>
              </a:extLst>
            </xdr:cNvPr>
            <xdr:cNvGrpSpPr/>
          </xdr:nvGrpSpPr>
          <xdr:grpSpPr>
            <a:xfrm>
              <a:off x="5049555" y="2628623"/>
              <a:ext cx="1164832" cy="262855"/>
              <a:chOff x="5025133" y="2613967"/>
              <a:chExt cx="1164832" cy="262855"/>
            </a:xfrm>
          </xdr:grpSpPr>
          <xdr:sp macro="" textlink="">
            <xdr:nvSpPr>
              <xdr:cNvPr id="100" name="TextBox 99">
                <a:extLst>
                  <a:ext uri="{FF2B5EF4-FFF2-40B4-BE49-F238E27FC236}">
                    <a16:creationId xmlns:a16="http://schemas.microsoft.com/office/drawing/2014/main" id="{00000000-0008-0000-0000-000064000000}"/>
                  </a:ext>
                </a:extLst>
              </xdr:cNvPr>
              <xdr:cNvSpPr txBox="1"/>
            </xdr:nvSpPr>
            <xdr:spPr>
              <a:xfrm>
                <a:off x="5842418" y="2613967"/>
                <a:ext cx="347547" cy="262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D" sz="800" b="1">
                    <a:solidFill>
                      <a:schemeClr val="accent3">
                        <a:lumMod val="20000"/>
                        <a:lumOff val="80000"/>
                      </a:schemeClr>
                    </a:solidFill>
                    <a:latin typeface="Microsoft YaHei UI" panose="020B0503020204020204" pitchFamily="34" charset="-122"/>
                    <a:ea typeface="Microsoft YaHei UI" panose="020B0503020204020204" pitchFamily="34" charset="-122"/>
                    <a:cs typeface="+mn-cs"/>
                  </a:rPr>
                  <a:t>km</a:t>
                </a:r>
              </a:p>
            </xdr:txBody>
          </xdr:sp>
          <xdr:sp macro="" textlink="Operational!I16">
            <xdr:nvSpPr>
              <xdr:cNvPr id="99" name="TextBox 98">
                <a:extLst>
                  <a:ext uri="{FF2B5EF4-FFF2-40B4-BE49-F238E27FC236}">
                    <a16:creationId xmlns:a16="http://schemas.microsoft.com/office/drawing/2014/main" id="{00000000-0008-0000-0000-000063000000}"/>
                  </a:ext>
                </a:extLst>
              </xdr:cNvPr>
              <xdr:cNvSpPr txBox="1"/>
            </xdr:nvSpPr>
            <xdr:spPr>
              <a:xfrm>
                <a:off x="5025133" y="2622437"/>
                <a:ext cx="963969" cy="192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FC74D3-15B9-4953-B399-F9B49025DE03}" type="TxLink">
                  <a:rPr lang="en-US" sz="1600" b="1" i="0" u="none" strike="noStrike">
                    <a:solidFill>
                      <a:schemeClr val="accent3">
                        <a:lumMod val="20000"/>
                        <a:lumOff val="80000"/>
                      </a:schemeClr>
                    </a:solidFill>
                    <a:latin typeface="Microsoft YaHei UI" panose="020B0503020204020204" pitchFamily="34" charset="-122"/>
                    <a:ea typeface="Microsoft YaHei UI" panose="020B0503020204020204" pitchFamily="34" charset="-122"/>
                    <a:cs typeface="Calibri"/>
                  </a:rPr>
                  <a:pPr marL="0" indent="0" algn="ctr"/>
                  <a:t> 49.628 </a:t>
                </a:fld>
                <a:endParaRPr lang="en-US" sz="1600" b="1" i="0" u="none" strike="noStrike">
                  <a:solidFill>
                    <a:schemeClr val="accent3">
                      <a:lumMod val="20000"/>
                      <a:lumOff val="80000"/>
                    </a:schemeClr>
                  </a:solidFill>
                  <a:latin typeface="Microsoft YaHei UI" panose="020B0503020204020204" pitchFamily="34" charset="-122"/>
                  <a:ea typeface="Microsoft YaHei UI" panose="020B0503020204020204" pitchFamily="34" charset="-122"/>
                  <a:cs typeface="Calibri"/>
                </a:endParaRPr>
              </a:p>
            </xdr:txBody>
          </xdr:sp>
        </xdr:grpSp>
      </xdr:grpSp>
    </xdr:grpSp>
    <xdr:clientData/>
  </xdr:twoCellAnchor>
  <xdr:oneCellAnchor>
    <xdr:from>
      <xdr:col>6</xdr:col>
      <xdr:colOff>63500</xdr:colOff>
      <xdr:row>13</xdr:row>
      <xdr:rowOff>87435</xdr:rowOff>
    </xdr:from>
    <xdr:ext cx="1946031" cy="388696"/>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3721100" y="2481385"/>
          <a:ext cx="1946031" cy="388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marL="0" indent="0" algn="ctr"/>
          <a:r>
            <a:rPr lang="en-ID" sz="1400" b="1">
              <a:solidFill>
                <a:schemeClr val="accent3">
                  <a:lumMod val="50000"/>
                </a:schemeClr>
              </a:solidFill>
              <a:latin typeface="Microsoft YaHei UI" panose="020B0503020204020204" pitchFamily="34" charset="-122"/>
              <a:ea typeface="Microsoft YaHei UI" panose="020B0503020204020204" pitchFamily="34" charset="-122"/>
              <a:cs typeface="+mn-cs"/>
            </a:rPr>
            <a:t>Income</a:t>
          </a:r>
          <a:r>
            <a:rPr lang="en-ID" sz="1400" b="1" baseline="0">
              <a:solidFill>
                <a:schemeClr val="accent3">
                  <a:lumMod val="50000"/>
                </a:schemeClr>
              </a:solidFill>
              <a:latin typeface="Microsoft YaHei UI" panose="020B0503020204020204" pitchFamily="34" charset="-122"/>
              <a:ea typeface="Microsoft YaHei UI" panose="020B0503020204020204" pitchFamily="34" charset="-122"/>
              <a:cs typeface="+mn-cs"/>
            </a:rPr>
            <a:t> </a:t>
          </a:r>
          <a:r>
            <a:rPr lang="en-ID" sz="1400" b="1">
              <a:solidFill>
                <a:schemeClr val="accent3">
                  <a:lumMod val="50000"/>
                </a:schemeClr>
              </a:solidFill>
              <a:latin typeface="Microsoft YaHei UI" panose="020B0503020204020204" pitchFamily="34" charset="-122"/>
              <a:ea typeface="Microsoft YaHei UI" panose="020B0503020204020204" pitchFamily="34" charset="-122"/>
              <a:cs typeface="+mn-cs"/>
            </a:rPr>
            <a:t>Target</a:t>
          </a:r>
        </a:p>
      </xdr:txBody>
    </xdr:sp>
    <xdr:clientData/>
  </xdr:oneCellAnchor>
  <xdr:twoCellAnchor>
    <xdr:from>
      <xdr:col>5</xdr:col>
      <xdr:colOff>251557</xdr:colOff>
      <xdr:row>15</xdr:row>
      <xdr:rowOff>14652</xdr:rowOff>
    </xdr:from>
    <xdr:to>
      <xdr:col>9</xdr:col>
      <xdr:colOff>603250</xdr:colOff>
      <xdr:row>27</xdr:row>
      <xdr:rowOff>72852</xdr:rowOff>
    </xdr:to>
    <xdr:graphicFrame macro="">
      <xdr:nvGraphicFramePr>
        <xdr:cNvPr id="31" name="Chart 7">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5</xdr:col>
      <xdr:colOff>263767</xdr:colOff>
      <xdr:row>22</xdr:row>
      <xdr:rowOff>30770</xdr:rowOff>
    </xdr:from>
    <xdr:to>
      <xdr:col>9</xdr:col>
      <xdr:colOff>586153</xdr:colOff>
      <xdr:row>25</xdr:row>
      <xdr:rowOff>49923</xdr:rowOff>
    </xdr:to>
    <mc:AlternateContent xmlns:mc="http://schemas.openxmlformats.org/markup-compatibility/2006" xmlns:sle15="http://schemas.microsoft.com/office/drawing/2012/slicer">
      <mc:Choice Requires="sle15">
        <xdr:graphicFrame macro="">
          <xdr:nvGraphicFramePr>
            <xdr:cNvPr id="91" name="Months 3">
              <a:extLst>
                <a:ext uri="{FF2B5EF4-FFF2-40B4-BE49-F238E27FC236}">
                  <a16:creationId xmlns:a16="http://schemas.microsoft.com/office/drawing/2014/main" id="{00000000-0008-0000-0000-00005B000000}"/>
                </a:ext>
              </a:extLst>
            </xdr:cNvPr>
            <xdr:cNvGraphicFramePr/>
          </xdr:nvGraphicFramePr>
          <xdr:xfrm>
            <a:off x="0" y="0"/>
            <a:ext cx="0" cy="0"/>
          </xdr:xfrm>
          <a:graphic>
            <a:graphicData uri="http://schemas.microsoft.com/office/drawing/2010/slicer">
              <sle:slicer xmlns:sle="http://schemas.microsoft.com/office/drawing/2010/slicer" name="Months 3"/>
            </a:graphicData>
          </a:graphic>
        </xdr:graphicFrame>
      </mc:Choice>
      <mc:Fallback xmlns="">
        <xdr:sp macro="" textlink="">
          <xdr:nvSpPr>
            <xdr:cNvPr id="0" name=""/>
            <xdr:cNvSpPr>
              <a:spLocks noTextEdit="1"/>
            </xdr:cNvSpPr>
          </xdr:nvSpPr>
          <xdr:spPr>
            <a:xfrm>
              <a:off x="3311767" y="4082070"/>
              <a:ext cx="2760786" cy="571603"/>
            </a:xfrm>
            <a:prstGeom prst="rect">
              <a:avLst/>
            </a:prstGeom>
            <a:solidFill>
              <a:prstClr val="white"/>
            </a:solidFill>
            <a:ln w="1">
              <a:solidFill>
                <a:prstClr val="green"/>
              </a:solidFill>
            </a:ln>
          </xdr:spPr>
          <xdr:txBody>
            <a:bodyPr vertOverflow="clip" horzOverflow="clip"/>
            <a:lstStyle/>
            <a:p>
              <a:r>
                <a:rPr lang="en-ID"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6</xdr:col>
      <xdr:colOff>113506</xdr:colOff>
      <xdr:row>15</xdr:row>
      <xdr:rowOff>95762</xdr:rowOff>
    </xdr:from>
    <xdr:to>
      <xdr:col>9</xdr:col>
      <xdr:colOff>140495</xdr:colOff>
      <xdr:row>15</xdr:row>
      <xdr:rowOff>95762</xdr:rowOff>
    </xdr:to>
    <xdr:cxnSp macro="">
      <xdr:nvCxnSpPr>
        <xdr:cNvPr id="95" name="Straight Connector 94">
          <a:extLst>
            <a:ext uri="{FF2B5EF4-FFF2-40B4-BE49-F238E27FC236}">
              <a16:creationId xmlns:a16="http://schemas.microsoft.com/office/drawing/2014/main" id="{00000000-0008-0000-0000-00005F000000}"/>
            </a:ext>
          </a:extLst>
        </xdr:cNvPr>
        <xdr:cNvCxnSpPr/>
      </xdr:nvCxnSpPr>
      <xdr:spPr>
        <a:xfrm>
          <a:off x="3776968" y="2879993"/>
          <a:ext cx="1858719"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320961</xdr:colOff>
      <xdr:row>18</xdr:row>
      <xdr:rowOff>175846</xdr:rowOff>
    </xdr:from>
    <xdr:to>
      <xdr:col>8</xdr:col>
      <xdr:colOff>587580</xdr:colOff>
      <xdr:row>21</xdr:row>
      <xdr:rowOff>39078</xdr:rowOff>
    </xdr:to>
    <xdr:sp macro="" textlink="Revenue!D87">
      <xdr:nvSpPr>
        <xdr:cNvPr id="38" name="TextBox 37">
          <a:extLst>
            <a:ext uri="{FF2B5EF4-FFF2-40B4-BE49-F238E27FC236}">
              <a16:creationId xmlns:a16="http://schemas.microsoft.com/office/drawing/2014/main" id="{00000000-0008-0000-0000-000026000000}"/>
            </a:ext>
          </a:extLst>
        </xdr:cNvPr>
        <xdr:cNvSpPr txBox="1"/>
      </xdr:nvSpPr>
      <xdr:spPr>
        <a:xfrm>
          <a:off x="3984423" y="3516923"/>
          <a:ext cx="1487772" cy="420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E17C4CC-F958-4A48-9336-B3F69235F97D}" type="TxLink">
            <a:rPr lang="en-US" sz="18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52,52%</a:t>
          </a:fld>
          <a:endParaRPr lang="en-ID" sz="18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5</xdr:col>
      <xdr:colOff>297962</xdr:colOff>
      <xdr:row>24</xdr:row>
      <xdr:rowOff>180730</xdr:rowOff>
    </xdr:from>
    <xdr:to>
      <xdr:col>9</xdr:col>
      <xdr:colOff>395654</xdr:colOff>
      <xdr:row>26</xdr:row>
      <xdr:rowOff>34191</xdr:rowOff>
    </xdr:to>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3350847" y="4635499"/>
          <a:ext cx="2539999" cy="224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700" b="1">
              <a:solidFill>
                <a:schemeClr val="accent3">
                  <a:lumMod val="50000"/>
                </a:schemeClr>
              </a:solidFill>
              <a:latin typeface="Microsoft YaHei UI" panose="020B0503020204020204" pitchFamily="34" charset="-122"/>
              <a:ea typeface="Microsoft YaHei UI" panose="020B0503020204020204" pitchFamily="34" charset="-122"/>
            </a:rPr>
            <a:t>*)</a:t>
          </a:r>
          <a:r>
            <a:rPr lang="en-ID" sz="700" b="1" baseline="0">
              <a:solidFill>
                <a:schemeClr val="accent3">
                  <a:lumMod val="50000"/>
                </a:schemeClr>
              </a:solidFill>
              <a:latin typeface="Microsoft YaHei UI" panose="020B0503020204020204" pitchFamily="34" charset="-122"/>
              <a:ea typeface="Microsoft YaHei UI" panose="020B0503020204020204" pitchFamily="34" charset="-122"/>
            </a:rPr>
            <a:t> Please, choose another month</a:t>
          </a:r>
          <a:endParaRPr lang="en-ID" sz="700" b="1">
            <a:solidFill>
              <a:schemeClr val="accent3">
                <a:lumMod val="50000"/>
              </a:schemeClr>
            </a:solidFill>
            <a:latin typeface="Microsoft YaHei UI" panose="020B0503020204020204" pitchFamily="34" charset="-122"/>
            <a:ea typeface="Microsoft YaHei UI" panose="020B0503020204020204" pitchFamily="34" charset="-122"/>
          </a:endParaRPr>
        </a:p>
      </xdr:txBody>
    </xdr:sp>
    <xdr:clientData/>
  </xdr:twoCellAnchor>
  <xdr:twoCellAnchor>
    <xdr:from>
      <xdr:col>14</xdr:col>
      <xdr:colOff>273208</xdr:colOff>
      <xdr:row>16</xdr:row>
      <xdr:rowOff>150524</xdr:rowOff>
    </xdr:from>
    <xdr:to>
      <xdr:col>14</xdr:col>
      <xdr:colOff>554408</xdr:colOff>
      <xdr:row>18</xdr:row>
      <xdr:rowOff>59247</xdr:rowOff>
    </xdr:to>
    <xdr:grpSp>
      <xdr:nvGrpSpPr>
        <xdr:cNvPr id="53" name="Group 52">
          <a:extLst>
            <a:ext uri="{FF2B5EF4-FFF2-40B4-BE49-F238E27FC236}">
              <a16:creationId xmlns:a16="http://schemas.microsoft.com/office/drawing/2014/main" id="{00000000-0008-0000-0000-000035000000}"/>
            </a:ext>
          </a:extLst>
        </xdr:cNvPr>
        <xdr:cNvGrpSpPr/>
      </xdr:nvGrpSpPr>
      <xdr:grpSpPr>
        <a:xfrm>
          <a:off x="8807608" y="3096924"/>
          <a:ext cx="281200" cy="277023"/>
          <a:chOff x="4568092" y="5605147"/>
          <a:chExt cx="461124" cy="459878"/>
        </a:xfrm>
      </xdr:grpSpPr>
      <xdr:pic>
        <xdr:nvPicPr>
          <xdr:cNvPr id="47" name="Graphic 46" descr="Ribbon with solid fill">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4568092" y="5605147"/>
            <a:ext cx="461124" cy="459878"/>
          </a:xfrm>
          <a:prstGeom prst="rect">
            <a:avLst/>
          </a:prstGeom>
          <a:effectLst>
            <a:glow rad="50800">
              <a:schemeClr val="accent3">
                <a:lumMod val="40000"/>
                <a:lumOff val="60000"/>
                <a:alpha val="70000"/>
              </a:schemeClr>
            </a:glow>
          </a:effectLst>
        </xdr:spPr>
      </xdr:pic>
      <xdr:pic>
        <xdr:nvPicPr>
          <xdr:cNvPr id="35" name="Graphic 34" descr="Heart with solid fill">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4741682" y="5719549"/>
            <a:ext cx="109416" cy="10849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196850</xdr:colOff>
      <xdr:row>25</xdr:row>
      <xdr:rowOff>88900</xdr:rowOff>
    </xdr:from>
    <xdr:to>
      <xdr:col>4</xdr:col>
      <xdr:colOff>177800</xdr:colOff>
      <xdr:row>34</xdr:row>
      <xdr:rowOff>12700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80645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Total</a:t>
          </a:r>
          <a:r>
            <a:rPr lang="en-ID" sz="1100" baseline="0"/>
            <a:t> Revenue</a:t>
          </a:r>
        </a:p>
        <a:p>
          <a:pPr algn="ctr"/>
          <a:endParaRPr lang="en-ID" sz="1100"/>
        </a:p>
      </xdr:txBody>
    </xdr:sp>
    <xdr:clientData/>
  </xdr:twoCellAnchor>
  <xdr:twoCellAnchor>
    <xdr:from>
      <xdr:col>4</xdr:col>
      <xdr:colOff>406400</xdr:colOff>
      <xdr:row>25</xdr:row>
      <xdr:rowOff>88900</xdr:rowOff>
    </xdr:from>
    <xdr:to>
      <xdr:col>7</xdr:col>
      <xdr:colOff>387350</xdr:colOff>
      <xdr:row>34</xdr:row>
      <xdr:rowOff>12700</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284480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On-time Delivery (%)</a:t>
          </a:r>
          <a:endParaRPr lang="en-ID" sz="1100" baseline="0"/>
        </a:p>
        <a:p>
          <a:pPr algn="ctr"/>
          <a:endParaRPr lang="en-ID" sz="1100"/>
        </a:p>
      </xdr:txBody>
    </xdr:sp>
    <xdr:clientData/>
  </xdr:twoCellAnchor>
  <xdr:twoCellAnchor>
    <xdr:from>
      <xdr:col>8</xdr:col>
      <xdr:colOff>12700</xdr:colOff>
      <xdr:row>25</xdr:row>
      <xdr:rowOff>88900</xdr:rowOff>
    </xdr:from>
    <xdr:to>
      <xdr:col>10</xdr:col>
      <xdr:colOff>603250</xdr:colOff>
      <xdr:row>34</xdr:row>
      <xdr:rowOff>12700</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488950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Average</a:t>
          </a:r>
          <a:r>
            <a:rPr lang="en-ID" sz="1100" baseline="0"/>
            <a:t> Distance</a:t>
          </a:r>
        </a:p>
        <a:p>
          <a:pPr algn="ctr"/>
          <a:endParaRPr lang="en-ID" sz="1100"/>
        </a:p>
      </xdr:txBody>
    </xdr:sp>
    <xdr:clientData/>
  </xdr:twoCellAnchor>
  <xdr:twoCellAnchor>
    <xdr:from>
      <xdr:col>1</xdr:col>
      <xdr:colOff>215900</xdr:colOff>
      <xdr:row>35</xdr:row>
      <xdr:rowOff>0</xdr:rowOff>
    </xdr:from>
    <xdr:to>
      <xdr:col>4</xdr:col>
      <xdr:colOff>196850</xdr:colOff>
      <xdr:row>43</xdr:row>
      <xdr:rowOff>107950</xdr:rowOff>
    </xdr:to>
    <xdr:sp macro="" textlink="">
      <xdr:nvSpPr>
        <xdr:cNvPr id="5" name="Rectangle 4">
          <a:extLst>
            <a:ext uri="{FF2B5EF4-FFF2-40B4-BE49-F238E27FC236}">
              <a16:creationId xmlns:a16="http://schemas.microsoft.com/office/drawing/2014/main" id="{00000000-0008-0000-0100-000005000000}"/>
            </a:ext>
          </a:extLst>
        </xdr:cNvPr>
        <xdr:cNvSpPr/>
      </xdr:nvSpPr>
      <xdr:spPr>
        <a:xfrm>
          <a:off x="82550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Top 3 Customers by Revenue</a:t>
          </a:r>
        </a:p>
        <a:p>
          <a:pPr algn="ctr"/>
          <a:endParaRPr lang="en-ID" sz="1100"/>
        </a:p>
      </xdr:txBody>
    </xdr:sp>
    <xdr:clientData/>
  </xdr:twoCellAnchor>
  <xdr:twoCellAnchor>
    <xdr:from>
      <xdr:col>4</xdr:col>
      <xdr:colOff>412750</xdr:colOff>
      <xdr:row>35</xdr:row>
      <xdr:rowOff>0</xdr:rowOff>
    </xdr:from>
    <xdr:to>
      <xdr:col>7</xdr:col>
      <xdr:colOff>393700</xdr:colOff>
      <xdr:row>43</xdr:row>
      <xdr:rowOff>107950</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285115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Chart Trend Revenue Monthly/ Quarter</a:t>
          </a:r>
        </a:p>
      </xdr:txBody>
    </xdr:sp>
    <xdr:clientData/>
  </xdr:twoCellAnchor>
  <xdr:twoCellAnchor>
    <xdr:from>
      <xdr:col>8</xdr:col>
      <xdr:colOff>0</xdr:colOff>
      <xdr:row>35</xdr:row>
      <xdr:rowOff>0</xdr:rowOff>
    </xdr:from>
    <xdr:to>
      <xdr:col>10</xdr:col>
      <xdr:colOff>590550</xdr:colOff>
      <xdr:row>43</xdr:row>
      <xdr:rowOff>107950</xdr:rowOff>
    </xdr:to>
    <xdr:sp macro="" textlink="">
      <xdr:nvSpPr>
        <xdr:cNvPr id="7" name="Rectangle 6">
          <a:extLst>
            <a:ext uri="{FF2B5EF4-FFF2-40B4-BE49-F238E27FC236}">
              <a16:creationId xmlns:a16="http://schemas.microsoft.com/office/drawing/2014/main" id="{00000000-0008-0000-0100-000007000000}"/>
            </a:ext>
          </a:extLst>
        </xdr:cNvPr>
        <xdr:cNvSpPr/>
      </xdr:nvSpPr>
      <xdr:spPr>
        <a:xfrm>
          <a:off x="487680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Pie</a:t>
          </a:r>
          <a:r>
            <a:rPr lang="en-ID" sz="1100" baseline="0"/>
            <a:t> Chart Truck Type Portion</a:t>
          </a:r>
          <a:endParaRPr lang="en-ID" sz="1100"/>
        </a:p>
      </xdr:txBody>
    </xdr:sp>
    <xdr:clientData/>
  </xdr:twoCellAnchor>
  <xdr:twoCellAnchor>
    <xdr:from>
      <xdr:col>0</xdr:col>
      <xdr:colOff>0</xdr:colOff>
      <xdr:row>0</xdr:row>
      <xdr:rowOff>0</xdr:rowOff>
    </xdr:from>
    <xdr:to>
      <xdr:col>30</xdr:col>
      <xdr:colOff>190500</xdr:colOff>
      <xdr:row>48</xdr:row>
      <xdr:rowOff>63500</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0" y="0"/>
          <a:ext cx="18478500" cy="8902700"/>
        </a:xfrm>
        <a:prstGeom prst="rect">
          <a:avLst/>
        </a:prstGeom>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195300</xdr:colOff>
      <xdr:row>0</xdr:row>
      <xdr:rowOff>127000</xdr:rowOff>
    </xdr:from>
    <xdr:to>
      <xdr:col>18</xdr:col>
      <xdr:colOff>527049</xdr:colOff>
      <xdr:row>27</xdr:row>
      <xdr:rowOff>76199</xdr:rowOff>
    </xdr:to>
    <xdr:sp macro="" textlink="">
      <xdr:nvSpPr>
        <xdr:cNvPr id="9" name="Rectangle: Rounded Corners 8">
          <a:extLst>
            <a:ext uri="{FF2B5EF4-FFF2-40B4-BE49-F238E27FC236}">
              <a16:creationId xmlns:a16="http://schemas.microsoft.com/office/drawing/2014/main" id="{00000000-0008-0000-0100-000009000000}"/>
            </a:ext>
          </a:extLst>
        </xdr:cNvPr>
        <xdr:cNvSpPr/>
      </xdr:nvSpPr>
      <xdr:spPr>
        <a:xfrm>
          <a:off x="195300" y="127000"/>
          <a:ext cx="11304549" cy="4921249"/>
        </a:xfrm>
        <a:prstGeom prst="roundRect">
          <a:avLst>
            <a:gd name="adj" fmla="val 5097"/>
          </a:avLst>
        </a:prstGeom>
        <a:solidFill>
          <a:schemeClr val="bg1">
            <a:lumMod val="95000"/>
          </a:schemeClr>
        </a:solidFill>
        <a:ln>
          <a:noFill/>
        </a:ln>
        <a:effectLst>
          <a:outerShdw blurRad="609600" dist="38100" dir="7500000" algn="tr" rotWithShape="0">
            <a:prstClr val="black">
              <a:alpha val="4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4</xdr:col>
      <xdr:colOff>480219</xdr:colOff>
      <xdr:row>0</xdr:row>
      <xdr:rowOff>107951</xdr:rowOff>
    </xdr:from>
    <xdr:to>
      <xdr:col>18</xdr:col>
      <xdr:colOff>539751</xdr:colOff>
      <xdr:row>27</xdr:row>
      <xdr:rowOff>82551</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alphaModFix amt="20000"/>
          <a:extLst>
            <a:ext uri="{BEBA8EAE-BF5A-486C-A8C5-ECC9F3942E4B}">
              <a14:imgProps xmlns:a14="http://schemas.microsoft.com/office/drawing/2010/main">
                <a14:imgLayer r:embed="rId2">
                  <a14:imgEffect>
                    <a14:artisticCement/>
                  </a14:imgEffect>
                </a14:imgLayer>
              </a14:imgProps>
            </a:ext>
            <a:ext uri="{28A0092B-C50C-407E-A947-70E740481C1C}">
              <a14:useLocalDpi xmlns:a14="http://schemas.microsoft.com/office/drawing/2010/main" val="0"/>
            </a:ext>
          </a:extLst>
        </a:blip>
        <a:stretch>
          <a:fillRect/>
        </a:stretch>
      </xdr:blipFill>
      <xdr:spPr>
        <a:xfrm>
          <a:off x="2918619" y="107951"/>
          <a:ext cx="8593932" cy="4946650"/>
        </a:xfrm>
        <a:prstGeom prst="roundRect">
          <a:avLst>
            <a:gd name="adj" fmla="val 4749"/>
          </a:avLst>
        </a:prstGeom>
      </xdr:spPr>
    </xdr:pic>
    <xdr:clientData/>
  </xdr:twoCellAnchor>
  <xdr:twoCellAnchor>
    <xdr:from>
      <xdr:col>0</xdr:col>
      <xdr:colOff>190500</xdr:colOff>
      <xdr:row>0</xdr:row>
      <xdr:rowOff>129379</xdr:rowOff>
    </xdr:from>
    <xdr:to>
      <xdr:col>5</xdr:col>
      <xdr:colOff>165100</xdr:colOff>
      <xdr:row>27</xdr:row>
      <xdr:rowOff>97629</xdr:rowOff>
    </xdr:to>
    <xdr:sp macro="" textlink="">
      <xdr:nvSpPr>
        <xdr:cNvPr id="11" name="Rectangle: Top Corners Rounded 10">
          <a:extLst>
            <a:ext uri="{FF2B5EF4-FFF2-40B4-BE49-F238E27FC236}">
              <a16:creationId xmlns:a16="http://schemas.microsoft.com/office/drawing/2014/main" id="{00000000-0008-0000-0100-00000B000000}"/>
            </a:ext>
          </a:extLst>
        </xdr:cNvPr>
        <xdr:cNvSpPr/>
      </xdr:nvSpPr>
      <xdr:spPr>
        <a:xfrm rot="5400000">
          <a:off x="-768350" y="1088229"/>
          <a:ext cx="4940300" cy="3022600"/>
        </a:xfrm>
        <a:prstGeom prst="round2SameRect">
          <a:avLst>
            <a:gd name="adj1" fmla="val 0"/>
            <a:gd name="adj2" fmla="val 6017"/>
          </a:avLst>
        </a:prstGeom>
        <a:gradFill flip="none" rotWithShape="1">
          <a:gsLst>
            <a:gs pos="0">
              <a:schemeClr val="accent3">
                <a:lumMod val="40000"/>
                <a:lumOff val="60000"/>
                <a:shade val="30000"/>
                <a:satMod val="115000"/>
              </a:schemeClr>
            </a:gs>
            <a:gs pos="50000">
              <a:schemeClr val="accent3">
                <a:lumMod val="40000"/>
                <a:lumOff val="60000"/>
                <a:shade val="67500"/>
                <a:satMod val="115000"/>
              </a:schemeClr>
            </a:gs>
            <a:gs pos="100000">
              <a:schemeClr val="accent3">
                <a:lumMod val="40000"/>
                <a:lumOff val="60000"/>
                <a:shade val="100000"/>
                <a:satMod val="115000"/>
              </a:schemeClr>
            </a:gs>
          </a:gsLst>
          <a:lin ang="10800000" scaled="1"/>
          <a:tileRect/>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282575</xdr:colOff>
      <xdr:row>0</xdr:row>
      <xdr:rowOff>0</xdr:rowOff>
    </xdr:from>
    <xdr:to>
      <xdr:col>4</xdr:col>
      <xdr:colOff>568213</xdr:colOff>
      <xdr:row>5</xdr:row>
      <xdr:rowOff>52500</xdr:rowOff>
    </xdr:to>
    <xdr:grpSp>
      <xdr:nvGrpSpPr>
        <xdr:cNvPr id="12" name="Group 11">
          <a:extLst>
            <a:ext uri="{FF2B5EF4-FFF2-40B4-BE49-F238E27FC236}">
              <a16:creationId xmlns:a16="http://schemas.microsoft.com/office/drawing/2014/main" id="{00000000-0008-0000-0100-00000C000000}"/>
            </a:ext>
          </a:extLst>
        </xdr:cNvPr>
        <xdr:cNvGrpSpPr/>
      </xdr:nvGrpSpPr>
      <xdr:grpSpPr>
        <a:xfrm>
          <a:off x="282575" y="0"/>
          <a:ext cx="2724038" cy="973250"/>
          <a:chOff x="520700" y="80850"/>
          <a:chExt cx="2730388" cy="965313"/>
        </a:xfrm>
      </xdr:grpSpPr>
      <xdr:cxnSp macro="">
        <xdr:nvCxnSpPr>
          <xdr:cNvPr id="13" name="Straight Connector 12">
            <a:extLst>
              <a:ext uri="{FF2B5EF4-FFF2-40B4-BE49-F238E27FC236}">
                <a16:creationId xmlns:a16="http://schemas.microsoft.com/office/drawing/2014/main" id="{00000000-0008-0000-0100-00000D000000}"/>
              </a:ext>
            </a:extLst>
          </xdr:cNvPr>
          <xdr:cNvCxnSpPr/>
        </xdr:nvCxnSpPr>
        <xdr:spPr>
          <a:xfrm>
            <a:off x="520700" y="742950"/>
            <a:ext cx="2025650"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596900" y="277813"/>
            <a:ext cx="1833563" cy="45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a:solidFill>
                  <a:schemeClr val="bg1"/>
                </a:solidFill>
                <a:latin typeface="Bahnschrift Light Condensed" panose="020B0502040204020203" pitchFamily="34" charset="0"/>
              </a:rPr>
              <a:t>LOGISTICTACTOE</a:t>
            </a:r>
          </a:p>
        </xdr:txBody>
      </xdr:sp>
      <xdr:pic>
        <xdr:nvPicPr>
          <xdr:cNvPr id="15" name="Graphic 14" descr="Truck with solid fill">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333513" y="80850"/>
            <a:ext cx="917575" cy="906463"/>
          </a:xfrm>
          <a:prstGeom prst="rect">
            <a:avLst/>
          </a:prstGeom>
        </xdr:spPr>
      </xdr:pic>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39750" y="749300"/>
            <a:ext cx="2542783" cy="29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b="1">
                <a:latin typeface="Courier New" panose="02070309020205020404" pitchFamily="49" charset="0"/>
                <a:cs typeface="Courier New" panose="02070309020205020404" pitchFamily="49" charset="0"/>
              </a:rPr>
              <a:t>a</a:t>
            </a:r>
            <a:r>
              <a:rPr lang="en-ID" sz="800" b="1" baseline="0">
                <a:latin typeface="Courier New" panose="02070309020205020404" pitchFamily="49" charset="0"/>
                <a:cs typeface="Courier New" panose="02070309020205020404" pitchFamily="49" charset="0"/>
              </a:rPr>
              <a:t> trucking &amp; logistic service company</a:t>
            </a:r>
            <a:endParaRPr lang="en-ID" sz="800" b="1">
              <a:latin typeface="Courier New" panose="02070309020205020404" pitchFamily="49" charset="0"/>
              <a:cs typeface="Courier New" panose="02070309020205020404" pitchFamily="49" charset="0"/>
            </a:endParaRPr>
          </a:p>
        </xdr:txBody>
      </xdr:sp>
    </xdr:grpSp>
    <xdr:clientData/>
  </xdr:twoCellAnchor>
  <xdr:twoCellAnchor>
    <xdr:from>
      <xdr:col>0</xdr:col>
      <xdr:colOff>279400</xdr:colOff>
      <xdr:row>16</xdr:row>
      <xdr:rowOff>12701</xdr:rowOff>
    </xdr:from>
    <xdr:to>
      <xdr:col>3</xdr:col>
      <xdr:colOff>333498</xdr:colOff>
      <xdr:row>19</xdr:row>
      <xdr:rowOff>55585</xdr:rowOff>
    </xdr:to>
    <xdr:grpSp>
      <xdr:nvGrpSpPr>
        <xdr:cNvPr id="17" name="Group 16">
          <a:hlinkClick xmlns:r="http://schemas.openxmlformats.org/officeDocument/2006/relationships" r:id="rId5"/>
          <a:extLst>
            <a:ext uri="{FF2B5EF4-FFF2-40B4-BE49-F238E27FC236}">
              <a16:creationId xmlns:a16="http://schemas.microsoft.com/office/drawing/2014/main" id="{00000000-0008-0000-0100-000011000000}"/>
            </a:ext>
          </a:extLst>
        </xdr:cNvPr>
        <xdr:cNvGrpSpPr/>
      </xdr:nvGrpSpPr>
      <xdr:grpSpPr>
        <a:xfrm>
          <a:off x="279400" y="2959101"/>
          <a:ext cx="1882898" cy="595334"/>
          <a:chOff x="369957" y="1898559"/>
          <a:chExt cx="2044148" cy="646319"/>
        </a:xfrm>
      </xdr:grpSpPr>
      <xdr:sp macro="" textlink="">
        <xdr:nvSpPr>
          <xdr:cNvPr id="18" name="Rectangle: Rounded Corners 17">
            <a:extLst>
              <a:ext uri="{FF2B5EF4-FFF2-40B4-BE49-F238E27FC236}">
                <a16:creationId xmlns:a16="http://schemas.microsoft.com/office/drawing/2014/main" id="{00000000-0008-0000-0100-000012000000}"/>
              </a:ext>
            </a:extLst>
          </xdr:cNvPr>
          <xdr:cNvSpPr/>
        </xdr:nvSpPr>
        <xdr:spPr>
          <a:xfrm>
            <a:off x="369957" y="1898559"/>
            <a:ext cx="2044148" cy="646319"/>
          </a:xfrm>
          <a:prstGeom prst="roundRect">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z</a:t>
            </a:r>
          </a:p>
        </xdr:txBody>
      </xdr:sp>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856842" y="2033012"/>
            <a:ext cx="1326689" cy="37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REVENUE</a:t>
            </a:r>
          </a:p>
        </xdr:txBody>
      </xdr:sp>
      <xdr:pic>
        <xdr:nvPicPr>
          <xdr:cNvPr id="20" name="Graphic 19" descr="Coins with solid fill">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56435" y="2007987"/>
            <a:ext cx="412687" cy="413906"/>
          </a:xfrm>
          <a:prstGeom prst="rect">
            <a:avLst/>
          </a:prstGeom>
        </xdr:spPr>
      </xdr:pic>
    </xdr:grpSp>
    <xdr:clientData/>
  </xdr:twoCellAnchor>
  <xdr:twoCellAnchor>
    <xdr:from>
      <xdr:col>0</xdr:col>
      <xdr:colOff>279400</xdr:colOff>
      <xdr:row>19</xdr:row>
      <xdr:rowOff>151555</xdr:rowOff>
    </xdr:from>
    <xdr:to>
      <xdr:col>3</xdr:col>
      <xdr:colOff>333500</xdr:colOff>
      <xdr:row>23</xdr:row>
      <xdr:rowOff>12069</xdr:rowOff>
    </xdr:to>
    <xdr:grpSp>
      <xdr:nvGrpSpPr>
        <xdr:cNvPr id="21" name="Group 20">
          <a:hlinkClick xmlns:r="http://schemas.openxmlformats.org/officeDocument/2006/relationships" r:id="rId8"/>
          <a:extLst>
            <a:ext uri="{FF2B5EF4-FFF2-40B4-BE49-F238E27FC236}">
              <a16:creationId xmlns:a16="http://schemas.microsoft.com/office/drawing/2014/main" id="{00000000-0008-0000-0100-000015000000}"/>
            </a:ext>
          </a:extLst>
        </xdr:cNvPr>
        <xdr:cNvGrpSpPr/>
      </xdr:nvGrpSpPr>
      <xdr:grpSpPr>
        <a:xfrm>
          <a:off x="279400" y="3650405"/>
          <a:ext cx="1882900" cy="597114"/>
          <a:chOff x="369957" y="2697738"/>
          <a:chExt cx="2044148" cy="648251"/>
        </a:xfrm>
      </xdr:grpSpPr>
      <xdr:sp macro="" textlink="">
        <xdr:nvSpPr>
          <xdr:cNvPr id="22" name="Rectangle: Rounded Corners 21">
            <a:extLst>
              <a:ext uri="{FF2B5EF4-FFF2-40B4-BE49-F238E27FC236}">
                <a16:creationId xmlns:a16="http://schemas.microsoft.com/office/drawing/2014/main" id="{00000000-0008-0000-0100-000016000000}"/>
              </a:ext>
            </a:extLst>
          </xdr:cNvPr>
          <xdr:cNvSpPr/>
        </xdr:nvSpPr>
        <xdr:spPr>
          <a:xfrm>
            <a:off x="369957" y="2697738"/>
            <a:ext cx="2044148" cy="648251"/>
          </a:xfrm>
          <a:prstGeom prst="roundRect">
            <a:avLst/>
          </a:prstGeom>
          <a:solidFill>
            <a:schemeClr val="accent3">
              <a:lumMod val="20000"/>
              <a:lumOff val="80000"/>
            </a:schemeClr>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856842" y="2832192"/>
            <a:ext cx="1443380" cy="37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OPERATIONAL</a:t>
            </a:r>
            <a:endParaRPr lang="en-ID" sz="1050" b="1">
              <a:solidFill>
                <a:schemeClr val="accent3">
                  <a:lumMod val="75000"/>
                </a:schemeClr>
              </a:solidFill>
              <a:latin typeface="Microsoft YaHei UI" panose="020B0503020204020204" pitchFamily="34" charset="-122"/>
              <a:ea typeface="Microsoft YaHei UI" panose="020B0503020204020204" pitchFamily="34" charset="-122"/>
            </a:endParaRPr>
          </a:p>
        </xdr:txBody>
      </xdr:sp>
      <xdr:pic>
        <xdr:nvPicPr>
          <xdr:cNvPr id="24" name="Graphic 23" descr="Gears with solid fill">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30751" y="2775752"/>
            <a:ext cx="494591" cy="492223"/>
          </a:xfrm>
          <a:prstGeom prst="rect">
            <a:avLst/>
          </a:prstGeom>
        </xdr:spPr>
      </xdr:pic>
    </xdr:grpSp>
    <xdr:clientData/>
  </xdr:twoCellAnchor>
  <xdr:twoCellAnchor>
    <xdr:from>
      <xdr:col>0</xdr:col>
      <xdr:colOff>279400</xdr:colOff>
      <xdr:row>23</xdr:row>
      <xdr:rowOff>108040</xdr:rowOff>
    </xdr:from>
    <xdr:to>
      <xdr:col>3</xdr:col>
      <xdr:colOff>333498</xdr:colOff>
      <xdr:row>26</xdr:row>
      <xdr:rowOff>150924</xdr:rowOff>
    </xdr:to>
    <xdr:grpSp>
      <xdr:nvGrpSpPr>
        <xdr:cNvPr id="25" name="Group 24">
          <a:hlinkClick xmlns:r="http://schemas.openxmlformats.org/officeDocument/2006/relationships" r:id="rId11"/>
          <a:extLst>
            <a:ext uri="{FF2B5EF4-FFF2-40B4-BE49-F238E27FC236}">
              <a16:creationId xmlns:a16="http://schemas.microsoft.com/office/drawing/2014/main" id="{00000000-0008-0000-0100-000019000000}"/>
            </a:ext>
          </a:extLst>
        </xdr:cNvPr>
        <xdr:cNvGrpSpPr/>
      </xdr:nvGrpSpPr>
      <xdr:grpSpPr>
        <a:xfrm>
          <a:off x="279400" y="4343490"/>
          <a:ext cx="1882898" cy="595334"/>
          <a:chOff x="369956" y="3498848"/>
          <a:chExt cx="2044148" cy="646318"/>
        </a:xfrm>
      </xdr:grpSpPr>
      <xdr:grpSp>
        <xdr:nvGrpSpPr>
          <xdr:cNvPr id="26" name="Group 25">
            <a:extLst>
              <a:ext uri="{FF2B5EF4-FFF2-40B4-BE49-F238E27FC236}">
                <a16:creationId xmlns:a16="http://schemas.microsoft.com/office/drawing/2014/main" id="{00000000-0008-0000-0100-00001A000000}"/>
              </a:ext>
            </a:extLst>
          </xdr:cNvPr>
          <xdr:cNvGrpSpPr/>
        </xdr:nvGrpSpPr>
        <xdr:grpSpPr>
          <a:xfrm>
            <a:off x="369956" y="3498848"/>
            <a:ext cx="2044148" cy="646318"/>
            <a:chOff x="369955" y="1087781"/>
            <a:chExt cx="2390914" cy="640521"/>
          </a:xfrm>
        </xdr:grpSpPr>
        <xdr:sp macro="" textlink="">
          <xdr:nvSpPr>
            <xdr:cNvPr id="30" name="Rectangle: Rounded Corners 29">
              <a:extLst>
                <a:ext uri="{FF2B5EF4-FFF2-40B4-BE49-F238E27FC236}">
                  <a16:creationId xmlns:a16="http://schemas.microsoft.com/office/drawing/2014/main" id="{00000000-0008-0000-0100-00001E000000}"/>
                </a:ext>
              </a:extLst>
            </xdr:cNvPr>
            <xdr:cNvSpPr/>
          </xdr:nvSpPr>
          <xdr:spPr>
            <a:xfrm>
              <a:off x="369955" y="1087781"/>
              <a:ext cx="2390914" cy="640521"/>
            </a:xfrm>
            <a:prstGeom prst="roundRect">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938695" y="1220304"/>
              <a:ext cx="1692584" cy="375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SERVICE LEVEL</a:t>
              </a:r>
              <a:endParaRPr lang="en-ID" sz="1050" b="1">
                <a:solidFill>
                  <a:schemeClr val="accent3">
                    <a:lumMod val="75000"/>
                  </a:schemeClr>
                </a:solidFill>
                <a:latin typeface="Microsoft YaHei UI" panose="020B0503020204020204" pitchFamily="34" charset="-122"/>
                <a:ea typeface="Microsoft YaHei UI" panose="020B0503020204020204" pitchFamily="34" charset="-122"/>
              </a:endParaRPr>
            </a:p>
          </xdr:txBody>
        </xdr:sp>
      </xdr:grpSp>
      <xdr:grpSp>
        <xdr:nvGrpSpPr>
          <xdr:cNvPr id="27" name="Group 26">
            <a:extLst>
              <a:ext uri="{FF2B5EF4-FFF2-40B4-BE49-F238E27FC236}">
                <a16:creationId xmlns:a16="http://schemas.microsoft.com/office/drawing/2014/main" id="{00000000-0008-0000-0100-00001B000000}"/>
              </a:ext>
            </a:extLst>
          </xdr:cNvPr>
          <xdr:cNvGrpSpPr/>
        </xdr:nvGrpSpPr>
        <xdr:grpSpPr>
          <a:xfrm>
            <a:off x="483512" y="3636134"/>
            <a:ext cx="422722" cy="372669"/>
            <a:chOff x="457759" y="3590192"/>
            <a:chExt cx="524049" cy="464561"/>
          </a:xfrm>
        </xdr:grpSpPr>
        <xdr:pic>
          <xdr:nvPicPr>
            <xdr:cNvPr id="28" name="Graphic 27" descr="Call center with solid fill">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31700" y="3597871"/>
              <a:ext cx="450108" cy="456882"/>
            </a:xfrm>
            <a:prstGeom prst="rect">
              <a:avLst/>
            </a:prstGeom>
          </xdr:spPr>
        </xdr:pic>
        <xdr:pic>
          <xdr:nvPicPr>
            <xdr:cNvPr id="29" name="Graphic 28" descr="Clock with solid fill">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7759" y="3590192"/>
              <a:ext cx="308862" cy="313508"/>
            </a:xfrm>
            <a:prstGeom prst="rect">
              <a:avLst/>
            </a:prstGeom>
          </xdr:spPr>
        </xdr:pic>
      </xdr:grpSp>
    </xdr:grpSp>
    <xdr:clientData/>
  </xdr:twoCellAnchor>
  <xdr:twoCellAnchor>
    <xdr:from>
      <xdr:col>0</xdr:col>
      <xdr:colOff>279400</xdr:colOff>
      <xdr:row>9</xdr:row>
      <xdr:rowOff>31750</xdr:rowOff>
    </xdr:from>
    <xdr:to>
      <xdr:col>4</xdr:col>
      <xdr:colOff>590550</xdr:colOff>
      <xdr:row>15</xdr:row>
      <xdr:rowOff>69850</xdr:rowOff>
    </xdr:to>
    <xdr:sp macro="" textlink="">
      <xdr:nvSpPr>
        <xdr:cNvPr id="33" name="Rectangle: Rounded Corners 32">
          <a:extLst>
            <a:ext uri="{FF2B5EF4-FFF2-40B4-BE49-F238E27FC236}">
              <a16:creationId xmlns:a16="http://schemas.microsoft.com/office/drawing/2014/main" id="{00000000-0008-0000-0100-000021000000}"/>
            </a:ext>
          </a:extLst>
        </xdr:cNvPr>
        <xdr:cNvSpPr/>
      </xdr:nvSpPr>
      <xdr:spPr>
        <a:xfrm>
          <a:off x="279400" y="1689100"/>
          <a:ext cx="2749550" cy="1143000"/>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304800</xdr:colOff>
      <xdr:row>8</xdr:row>
      <xdr:rowOff>69850</xdr:rowOff>
    </xdr:from>
    <xdr:to>
      <xdr:col>4</xdr:col>
      <xdr:colOff>566400</xdr:colOff>
      <xdr:row>14</xdr:row>
      <xdr:rowOff>171450</xdr:rowOff>
    </xdr:to>
    <mc:AlternateContent xmlns:mc="http://schemas.openxmlformats.org/markup-compatibility/2006" xmlns:tsle="http://schemas.microsoft.com/office/drawing/2012/timeslicer">
      <mc:Choice Requires="tsle">
        <xdr:graphicFrame macro="">
          <xdr:nvGraphicFramePr>
            <xdr:cNvPr id="34" name="DeliveryDate 1">
              <a:extLst>
                <a:ext uri="{FF2B5EF4-FFF2-40B4-BE49-F238E27FC236}">
                  <a16:creationId xmlns:a16="http://schemas.microsoft.com/office/drawing/2014/main" id="{00000000-0008-0000-0100-000022000000}"/>
                </a:ext>
              </a:extLst>
            </xdr:cNvPr>
            <xdr:cNvGraphicFramePr/>
          </xdr:nvGraphicFramePr>
          <xdr:xfrm>
            <a:off x="0" y="0"/>
            <a:ext cx="0" cy="0"/>
          </xdr:xfrm>
          <a:graphic>
            <a:graphicData uri="http://schemas.microsoft.com/office/drawing/2012/timeslicer">
              <tsle:timeslicer name="DeliveryDate 1"/>
            </a:graphicData>
          </a:graphic>
        </xdr:graphicFrame>
      </mc:Choice>
      <mc:Fallback xmlns="">
        <xdr:sp macro="" textlink="">
          <xdr:nvSpPr>
            <xdr:cNvPr id="0" name=""/>
            <xdr:cNvSpPr>
              <a:spLocks noTextEdit="1"/>
            </xdr:cNvSpPr>
          </xdr:nvSpPr>
          <xdr:spPr>
            <a:xfrm>
              <a:off x="304800" y="1543050"/>
              <a:ext cx="2700000" cy="12065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11</xdr:col>
      <xdr:colOff>85650</xdr:colOff>
      <xdr:row>1</xdr:row>
      <xdr:rowOff>31751</xdr:rowOff>
    </xdr:from>
    <xdr:to>
      <xdr:col>18</xdr:col>
      <xdr:colOff>262165</xdr:colOff>
      <xdr:row>16</xdr:row>
      <xdr:rowOff>21873</xdr:rowOff>
    </xdr:to>
    <xdr:sp macro="" textlink="">
      <xdr:nvSpPr>
        <xdr:cNvPr id="36" name="Rectangle: Rounded Corners 35">
          <a:extLst>
            <a:ext uri="{FF2B5EF4-FFF2-40B4-BE49-F238E27FC236}">
              <a16:creationId xmlns:a16="http://schemas.microsoft.com/office/drawing/2014/main" id="{00000000-0008-0000-0100-000024000000}"/>
            </a:ext>
          </a:extLst>
        </xdr:cNvPr>
        <xdr:cNvSpPr/>
      </xdr:nvSpPr>
      <xdr:spPr>
        <a:xfrm>
          <a:off x="6766954" y="213968"/>
          <a:ext cx="4428254" cy="2723383"/>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204403</xdr:colOff>
      <xdr:row>1</xdr:row>
      <xdr:rowOff>73942</xdr:rowOff>
    </xdr:from>
    <xdr:to>
      <xdr:col>18</xdr:col>
      <xdr:colOff>138044</xdr:colOff>
      <xdr:row>3</xdr:row>
      <xdr:rowOff>40599</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6885707" y="256159"/>
          <a:ext cx="4185380" cy="33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50000"/>
                </a:schemeClr>
              </a:solidFill>
              <a:latin typeface="Microsoft YaHei UI" panose="020B0503020204020204" pitchFamily="34" charset="-122"/>
              <a:ea typeface="Microsoft YaHei UI" panose="020B0503020204020204" pitchFamily="34" charset="-122"/>
            </a:rPr>
            <a:t>Operational Performance</a:t>
          </a:r>
        </a:p>
      </xdr:txBody>
    </xdr:sp>
    <xdr:clientData/>
  </xdr:twoCellAnchor>
  <xdr:twoCellAnchor>
    <xdr:from>
      <xdr:col>10</xdr:col>
      <xdr:colOff>130918</xdr:colOff>
      <xdr:row>16</xdr:row>
      <xdr:rowOff>120540</xdr:rowOff>
    </xdr:from>
    <xdr:to>
      <xdr:col>18</xdr:col>
      <xdr:colOff>294118</xdr:colOff>
      <xdr:row>26</xdr:row>
      <xdr:rowOff>80149</xdr:rowOff>
    </xdr:to>
    <xdr:sp macro="" textlink="">
      <xdr:nvSpPr>
        <xdr:cNvPr id="40" name="Rectangle: Rounded Corners 39">
          <a:extLst>
            <a:ext uri="{FF2B5EF4-FFF2-40B4-BE49-F238E27FC236}">
              <a16:creationId xmlns:a16="http://schemas.microsoft.com/office/drawing/2014/main" id="{00000000-0008-0000-0100-000028000000}"/>
            </a:ext>
          </a:extLst>
        </xdr:cNvPr>
        <xdr:cNvSpPr/>
      </xdr:nvSpPr>
      <xdr:spPr>
        <a:xfrm>
          <a:off x="6242793" y="3041540"/>
          <a:ext cx="5052700" cy="1785234"/>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10</xdr:col>
      <xdr:colOff>285207</xdr:colOff>
      <xdr:row>16</xdr:row>
      <xdr:rowOff>109764</xdr:rowOff>
    </xdr:from>
    <xdr:to>
      <xdr:col>18</xdr:col>
      <xdr:colOff>198783</xdr:colOff>
      <xdr:row>18</xdr:row>
      <xdr:rowOff>76677</xdr:rowOff>
    </xdr:to>
    <xdr:sp macro="" textlink="">
      <xdr:nvSpPr>
        <xdr:cNvPr id="42" name="TextBox 41">
          <a:extLst>
            <a:ext uri="{FF2B5EF4-FFF2-40B4-BE49-F238E27FC236}">
              <a16:creationId xmlns:a16="http://schemas.microsoft.com/office/drawing/2014/main" id="{00000000-0008-0000-0100-00002A000000}"/>
            </a:ext>
          </a:extLst>
        </xdr:cNvPr>
        <xdr:cNvSpPr txBox="1"/>
      </xdr:nvSpPr>
      <xdr:spPr>
        <a:xfrm>
          <a:off x="6359120" y="3025242"/>
          <a:ext cx="4772706" cy="331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50000"/>
                </a:schemeClr>
              </a:solidFill>
              <a:latin typeface="Microsoft YaHei UI" panose="020B0503020204020204" pitchFamily="34" charset="-122"/>
              <a:ea typeface="Microsoft YaHei UI" panose="020B0503020204020204" pitchFamily="34" charset="-122"/>
            </a:rPr>
            <a:t>Top 5 Driver by Total Order &amp; Performance Rate</a:t>
          </a:r>
        </a:p>
      </xdr:txBody>
    </xdr:sp>
    <xdr:clientData/>
  </xdr:twoCellAnchor>
  <xdr:twoCellAnchor>
    <xdr:from>
      <xdr:col>0</xdr:col>
      <xdr:colOff>293368</xdr:colOff>
      <xdr:row>5</xdr:row>
      <xdr:rowOff>152400</xdr:rowOff>
    </xdr:from>
    <xdr:to>
      <xdr:col>5</xdr:col>
      <xdr:colOff>128266</xdr:colOff>
      <xdr:row>8</xdr:row>
      <xdr:rowOff>91440</xdr:rowOff>
    </xdr:to>
    <xdr:sp macro="" textlink="">
      <xdr:nvSpPr>
        <xdr:cNvPr id="44" name="Rectangle: Rounded Corners 43">
          <a:extLst>
            <a:ext uri="{FF2B5EF4-FFF2-40B4-BE49-F238E27FC236}">
              <a16:creationId xmlns:a16="http://schemas.microsoft.com/office/drawing/2014/main" id="{00000000-0008-0000-0100-00002C000000}"/>
            </a:ext>
          </a:extLst>
        </xdr:cNvPr>
        <xdr:cNvSpPr/>
      </xdr:nvSpPr>
      <xdr:spPr>
        <a:xfrm>
          <a:off x="293368" y="1073150"/>
          <a:ext cx="2882898" cy="491490"/>
        </a:xfrm>
        <a:prstGeom prst="roundRect">
          <a:avLst>
            <a:gd name="adj" fmla="val 21607"/>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325117</xdr:colOff>
      <xdr:row>6</xdr:row>
      <xdr:rowOff>1016</xdr:rowOff>
    </xdr:from>
    <xdr:to>
      <xdr:col>5</xdr:col>
      <xdr:colOff>96517</xdr:colOff>
      <xdr:row>8</xdr:row>
      <xdr:rowOff>58674</xdr:rowOff>
    </xdr:to>
    <mc:AlternateContent xmlns:mc="http://schemas.openxmlformats.org/markup-compatibility/2006" xmlns:a14="http://schemas.microsoft.com/office/drawing/2010/main">
      <mc:Choice Requires="a14">
        <xdr:graphicFrame macro="">
          <xdr:nvGraphicFramePr>
            <xdr:cNvPr id="45" name="TruckType 1">
              <a:extLst>
                <a:ext uri="{FF2B5EF4-FFF2-40B4-BE49-F238E27FC236}">
                  <a16:creationId xmlns:a16="http://schemas.microsoft.com/office/drawing/2014/main" id="{00000000-0008-0000-0100-00002D000000}"/>
                </a:ext>
              </a:extLst>
            </xdr:cNvPr>
            <xdr:cNvGraphicFramePr/>
          </xdr:nvGraphicFramePr>
          <xdr:xfrm>
            <a:off x="0" y="0"/>
            <a:ext cx="0" cy="0"/>
          </xdr:xfrm>
          <a:graphic>
            <a:graphicData uri="http://schemas.microsoft.com/office/drawing/2010/slicer">
              <sle:slicer xmlns:sle="http://schemas.microsoft.com/office/drawing/2010/slicer" name="TruckType 1"/>
            </a:graphicData>
          </a:graphic>
        </xdr:graphicFrame>
      </mc:Choice>
      <mc:Fallback xmlns="">
        <xdr:sp macro="" textlink="">
          <xdr:nvSpPr>
            <xdr:cNvPr id="0" name=""/>
            <xdr:cNvSpPr>
              <a:spLocks noTextEdit="1"/>
            </xdr:cNvSpPr>
          </xdr:nvSpPr>
          <xdr:spPr>
            <a:xfrm>
              <a:off x="325117" y="1105916"/>
              <a:ext cx="2819400" cy="42595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160803</xdr:colOff>
      <xdr:row>1</xdr:row>
      <xdr:rowOff>22108</xdr:rowOff>
    </xdr:from>
    <xdr:to>
      <xdr:col>7</xdr:col>
      <xdr:colOff>591450</xdr:colOff>
      <xdr:row>6</xdr:row>
      <xdr:rowOff>149607</xdr:rowOff>
    </xdr:to>
    <xdr:grpSp>
      <xdr:nvGrpSpPr>
        <xdr:cNvPr id="46" name="Group 45">
          <a:extLst>
            <a:ext uri="{FF2B5EF4-FFF2-40B4-BE49-F238E27FC236}">
              <a16:creationId xmlns:a16="http://schemas.microsoft.com/office/drawing/2014/main" id="{00000000-0008-0000-0100-00002E000000}"/>
            </a:ext>
          </a:extLst>
        </xdr:cNvPr>
        <xdr:cNvGrpSpPr/>
      </xdr:nvGrpSpPr>
      <xdr:grpSpPr>
        <a:xfrm>
          <a:off x="3208803" y="206258"/>
          <a:ext cx="1649847" cy="1048249"/>
          <a:chOff x="3197760" y="204325"/>
          <a:chExt cx="1645429" cy="1038586"/>
        </a:xfrm>
      </xdr:grpSpPr>
      <xdr:sp macro="" textlink="">
        <xdr:nvSpPr>
          <xdr:cNvPr id="47" name="Rectangle: Rounded Corners 46">
            <a:extLst>
              <a:ext uri="{FF2B5EF4-FFF2-40B4-BE49-F238E27FC236}">
                <a16:creationId xmlns:a16="http://schemas.microsoft.com/office/drawing/2014/main" id="{00000000-0008-0000-0100-00002F000000}"/>
              </a:ext>
            </a:extLst>
          </xdr:cNvPr>
          <xdr:cNvSpPr/>
        </xdr:nvSpPr>
        <xdr:spPr>
          <a:xfrm>
            <a:off x="3316550" y="204325"/>
            <a:ext cx="1419471" cy="1025696"/>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3197760" y="220544"/>
            <a:ext cx="1645429" cy="336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Total </a:t>
            </a:r>
            <a:r>
              <a:rPr lang="en-ID" sz="1000" b="1" u="none">
                <a:solidFill>
                  <a:schemeClr val="accent3">
                    <a:lumMod val="50000"/>
                  </a:schemeClr>
                </a:solidFill>
                <a:latin typeface="Microsoft YaHei UI" panose="020B0503020204020204" pitchFamily="34" charset="-122"/>
                <a:ea typeface="Microsoft YaHei UI" panose="020B0503020204020204" pitchFamily="34" charset="-122"/>
              </a:rPr>
              <a:t>Revenue</a:t>
            </a:r>
          </a:p>
        </xdr:txBody>
      </xdr:sp>
      <xdr:cxnSp macro="">
        <xdr:nvCxnSpPr>
          <xdr:cNvPr id="49" name="Straight Connector 48">
            <a:extLst>
              <a:ext uri="{FF2B5EF4-FFF2-40B4-BE49-F238E27FC236}">
                <a16:creationId xmlns:a16="http://schemas.microsoft.com/office/drawing/2014/main" id="{00000000-0008-0000-0100-000031000000}"/>
              </a:ext>
            </a:extLst>
          </xdr:cNvPr>
          <xdr:cNvCxnSpPr/>
        </xdr:nvCxnSpPr>
        <xdr:spPr>
          <a:xfrm>
            <a:off x="3476721" y="492624"/>
            <a:ext cx="1125269"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50" name="Chart 2">
            <a:extLst>
              <a:ext uri="{FF2B5EF4-FFF2-40B4-BE49-F238E27FC236}">
                <a16:creationId xmlns:a16="http://schemas.microsoft.com/office/drawing/2014/main" id="{00000000-0008-0000-0100-000032000000}"/>
              </a:ext>
            </a:extLst>
          </xdr:cNvPr>
          <xdr:cNvGraphicFramePr/>
        </xdr:nvGraphicFramePr>
        <xdr:xfrm>
          <a:off x="3425097" y="664607"/>
          <a:ext cx="1190756" cy="578304"/>
        </xdr:xfrm>
        <a:graphic>
          <a:graphicData uri="http://schemas.openxmlformats.org/drawingml/2006/chart">
            <c:chart xmlns:c="http://schemas.openxmlformats.org/drawingml/2006/chart" xmlns:r="http://schemas.openxmlformats.org/officeDocument/2006/relationships" r:id="rId16"/>
          </a:graphicData>
        </a:graphic>
      </xdr:graphicFrame>
      <xdr:sp macro="" textlink="Revenue!I13">
        <xdr:nvSpPr>
          <xdr:cNvPr id="51" name="TextBox 50">
            <a:extLst>
              <a:ext uri="{FF2B5EF4-FFF2-40B4-BE49-F238E27FC236}">
                <a16:creationId xmlns:a16="http://schemas.microsoft.com/office/drawing/2014/main" id="{00000000-0008-0000-0100-000033000000}"/>
              </a:ext>
            </a:extLst>
          </xdr:cNvPr>
          <xdr:cNvSpPr txBox="1"/>
        </xdr:nvSpPr>
        <xdr:spPr>
          <a:xfrm>
            <a:off x="3318989" y="473861"/>
            <a:ext cx="1402974" cy="36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EEAE8D-1A06-4092-8689-2A4236058C77}" type="TxLink">
              <a:rPr lang="en-US" sz="1100" b="1" i="0" u="none" strike="noStrike">
                <a:solidFill>
                  <a:schemeClr val="accent3">
                    <a:lumMod val="50000"/>
                  </a:schemeClr>
                </a:solidFill>
                <a:latin typeface="Microsoft YaHei" panose="020B0503020204020204" pitchFamily="34" charset="-122"/>
                <a:ea typeface="Microsoft YaHei" panose="020B0503020204020204" pitchFamily="34" charset="-122"/>
                <a:cs typeface="Calibri"/>
              </a:rPr>
              <a:pPr algn="ctr"/>
              <a:t> Rp99.616.650,00 </a:t>
            </a:fld>
            <a:endParaRPr lang="en-US" sz="1100" b="1">
              <a:solidFill>
                <a:schemeClr val="accent3">
                  <a:lumMod val="50000"/>
                </a:schemeClr>
              </a:solidFill>
              <a:latin typeface="Microsoft YaHei" panose="020B0503020204020204" pitchFamily="34" charset="-122"/>
              <a:ea typeface="Microsoft YaHei" panose="020B0503020204020204" pitchFamily="34" charset="-122"/>
            </a:endParaRPr>
          </a:p>
        </xdr:txBody>
      </xdr:sp>
    </xdr:grpSp>
    <xdr:clientData/>
  </xdr:twoCellAnchor>
  <xdr:twoCellAnchor>
    <xdr:from>
      <xdr:col>5</xdr:col>
      <xdr:colOff>249115</xdr:colOff>
      <xdr:row>13</xdr:row>
      <xdr:rowOff>19538</xdr:rowOff>
    </xdr:from>
    <xdr:to>
      <xdr:col>9</xdr:col>
      <xdr:colOff>605692</xdr:colOff>
      <xdr:row>26</xdr:row>
      <xdr:rowOff>85500</xdr:rowOff>
    </xdr:to>
    <xdr:sp macro="" textlink="">
      <xdr:nvSpPr>
        <xdr:cNvPr id="52" name="Rectangle: Rounded Corners 51">
          <a:extLst>
            <a:ext uri="{FF2B5EF4-FFF2-40B4-BE49-F238E27FC236}">
              <a16:creationId xmlns:a16="http://schemas.microsoft.com/office/drawing/2014/main" id="{00000000-0008-0000-0100-000034000000}"/>
            </a:ext>
          </a:extLst>
        </xdr:cNvPr>
        <xdr:cNvSpPr/>
      </xdr:nvSpPr>
      <xdr:spPr>
        <a:xfrm>
          <a:off x="3312056" y="2447479"/>
          <a:ext cx="2806930" cy="2493903"/>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528151</xdr:colOff>
      <xdr:row>1</xdr:row>
      <xdr:rowOff>19050</xdr:rowOff>
    </xdr:from>
    <xdr:to>
      <xdr:col>11</xdr:col>
      <xdr:colOff>19758</xdr:colOff>
      <xdr:row>6</xdr:row>
      <xdr:rowOff>171450</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4795351" y="203200"/>
          <a:ext cx="1930007" cy="1073150"/>
          <a:chOff x="4798526" y="202746"/>
          <a:chExt cx="1931821" cy="1070883"/>
        </a:xfrm>
      </xdr:grpSpPr>
      <xdr:sp macro="" textlink="">
        <xdr:nvSpPr>
          <xdr:cNvPr id="55" name="Rectangle: Rounded Corners 54">
            <a:extLst>
              <a:ext uri="{FF2B5EF4-FFF2-40B4-BE49-F238E27FC236}">
                <a16:creationId xmlns:a16="http://schemas.microsoft.com/office/drawing/2014/main" id="{00000000-0008-0000-0100-000037000000}"/>
              </a:ext>
            </a:extLst>
          </xdr:cNvPr>
          <xdr:cNvSpPr/>
        </xdr:nvSpPr>
        <xdr:spPr>
          <a:xfrm>
            <a:off x="4822825" y="202746"/>
            <a:ext cx="1843987" cy="1070883"/>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6" name="TextBox 55">
            <a:extLst>
              <a:ext uri="{FF2B5EF4-FFF2-40B4-BE49-F238E27FC236}">
                <a16:creationId xmlns:a16="http://schemas.microsoft.com/office/drawing/2014/main" id="{00000000-0008-0000-0100-000038000000}"/>
              </a:ext>
            </a:extLst>
          </xdr:cNvPr>
          <xdr:cNvSpPr txBox="1"/>
        </xdr:nvSpPr>
        <xdr:spPr>
          <a:xfrm>
            <a:off x="4914232" y="222754"/>
            <a:ext cx="1650754" cy="336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Avr.</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 Fuel</a:t>
            </a:r>
            <a:r>
              <a:rPr lang="en-ID" sz="1000" b="1">
                <a:solidFill>
                  <a:schemeClr val="accent3">
                    <a:lumMod val="50000"/>
                  </a:schemeClr>
                </a:solidFill>
                <a:latin typeface="Microsoft YaHei UI" panose="020B0503020204020204" pitchFamily="34" charset="-122"/>
                <a:ea typeface="Microsoft YaHei UI" panose="020B0503020204020204" pitchFamily="34" charset="-122"/>
              </a:rPr>
              <a:t> Cost</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/km</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xnSp macro="">
        <xdr:nvCxnSpPr>
          <xdr:cNvPr id="57" name="Straight Connector 56">
            <a:extLst>
              <a:ext uri="{FF2B5EF4-FFF2-40B4-BE49-F238E27FC236}">
                <a16:creationId xmlns:a16="http://schemas.microsoft.com/office/drawing/2014/main" id="{00000000-0008-0000-0100-000039000000}"/>
              </a:ext>
            </a:extLst>
          </xdr:cNvPr>
          <xdr:cNvCxnSpPr/>
        </xdr:nvCxnSpPr>
        <xdr:spPr>
          <a:xfrm>
            <a:off x="5058595" y="497347"/>
            <a:ext cx="1362027"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sp macro="" textlink="Operational!B16">
        <xdr:nvSpPr>
          <xdr:cNvPr id="58" name="TextBox 57">
            <a:extLst>
              <a:ext uri="{FF2B5EF4-FFF2-40B4-BE49-F238E27FC236}">
                <a16:creationId xmlns:a16="http://schemas.microsoft.com/office/drawing/2014/main" id="{00000000-0008-0000-0100-00003A000000}"/>
              </a:ext>
            </a:extLst>
          </xdr:cNvPr>
          <xdr:cNvSpPr txBox="1"/>
        </xdr:nvSpPr>
        <xdr:spPr>
          <a:xfrm>
            <a:off x="5263638" y="476819"/>
            <a:ext cx="963899" cy="371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6F5E1B-35C7-42F6-87E6-7773742C7D06}"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Rp394,49 </a:t>
            </a:fld>
            <a:endPar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grpSp>
        <xdr:nvGrpSpPr>
          <xdr:cNvPr id="59" name="Group 58">
            <a:extLst>
              <a:ext uri="{FF2B5EF4-FFF2-40B4-BE49-F238E27FC236}">
                <a16:creationId xmlns:a16="http://schemas.microsoft.com/office/drawing/2014/main" id="{00000000-0008-0000-0100-00003B000000}"/>
              </a:ext>
            </a:extLst>
          </xdr:cNvPr>
          <xdr:cNvGrpSpPr/>
        </xdr:nvGrpSpPr>
        <xdr:grpSpPr>
          <a:xfrm>
            <a:off x="6316724" y="831979"/>
            <a:ext cx="413623" cy="402857"/>
            <a:chOff x="4478130" y="10270865"/>
            <a:chExt cx="409407" cy="399351"/>
          </a:xfrm>
        </xdr:grpSpPr>
        <xdr:pic>
          <xdr:nvPicPr>
            <xdr:cNvPr id="68" name="Graphic 67" descr="Chevron arrows with solid fill">
              <a:extLst>
                <a:ext uri="{FF2B5EF4-FFF2-40B4-BE49-F238E27FC236}">
                  <a16:creationId xmlns:a16="http://schemas.microsoft.com/office/drawing/2014/main" id="{00000000-0008-0000-0100-00004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16200000">
              <a:off x="4579239" y="10270865"/>
              <a:ext cx="207188" cy="207188"/>
            </a:xfrm>
            <a:prstGeom prst="rect">
              <a:avLst/>
            </a:prstGeom>
          </xdr:spPr>
        </xdr:pic>
        <xdr:sp macro="" textlink="">
          <xdr:nvSpPr>
            <xdr:cNvPr id="69" name="TextBox 68">
              <a:extLst>
                <a:ext uri="{FF2B5EF4-FFF2-40B4-BE49-F238E27FC236}">
                  <a16:creationId xmlns:a16="http://schemas.microsoft.com/office/drawing/2014/main" id="{00000000-0008-0000-0100-000045000000}"/>
                </a:ext>
              </a:extLst>
            </xdr:cNvPr>
            <xdr:cNvSpPr txBox="1"/>
          </xdr:nvSpPr>
          <xdr:spPr>
            <a:xfrm>
              <a:off x="4478130" y="10408478"/>
              <a:ext cx="409407" cy="2617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800" b="1">
                  <a:solidFill>
                    <a:schemeClr val="accent3">
                      <a:lumMod val="50000"/>
                    </a:schemeClr>
                  </a:solidFill>
                  <a:latin typeface="Microsoft YaHei UI" panose="020B0503020204020204" pitchFamily="34" charset="-122"/>
                  <a:ea typeface="Microsoft YaHei UI" panose="020B0503020204020204" pitchFamily="34" charset="-122"/>
                </a:rPr>
                <a:t>Max</a:t>
              </a:r>
            </a:p>
          </xdr:txBody>
        </xdr:sp>
      </xdr:grpSp>
      <xdr:grpSp>
        <xdr:nvGrpSpPr>
          <xdr:cNvPr id="60" name="Group 59">
            <a:extLst>
              <a:ext uri="{FF2B5EF4-FFF2-40B4-BE49-F238E27FC236}">
                <a16:creationId xmlns:a16="http://schemas.microsoft.com/office/drawing/2014/main" id="{00000000-0008-0000-0100-00003C000000}"/>
              </a:ext>
            </a:extLst>
          </xdr:cNvPr>
          <xdr:cNvGrpSpPr/>
        </xdr:nvGrpSpPr>
        <xdr:grpSpPr>
          <a:xfrm>
            <a:off x="4798526" y="821739"/>
            <a:ext cx="391640" cy="423338"/>
            <a:chOff x="4078356" y="10185466"/>
            <a:chExt cx="386965" cy="419462"/>
          </a:xfrm>
        </xdr:grpSpPr>
        <xdr:pic>
          <xdr:nvPicPr>
            <xdr:cNvPr id="66" name="Graphic 65" descr="Chevron arrows with solid fill">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rot="5400000">
              <a:off x="4168095" y="10185466"/>
              <a:ext cx="207489" cy="207489"/>
            </a:xfrm>
            <a:prstGeom prst="rect">
              <a:avLst/>
            </a:prstGeom>
          </xdr:spPr>
        </xdr:pic>
        <xdr:sp macro="" textlink="">
          <xdr:nvSpPr>
            <xdr:cNvPr id="67" name="TextBox 66">
              <a:extLst>
                <a:ext uri="{FF2B5EF4-FFF2-40B4-BE49-F238E27FC236}">
                  <a16:creationId xmlns:a16="http://schemas.microsoft.com/office/drawing/2014/main" id="{00000000-0008-0000-0100-000043000000}"/>
                </a:ext>
              </a:extLst>
            </xdr:cNvPr>
            <xdr:cNvSpPr txBox="1"/>
          </xdr:nvSpPr>
          <xdr:spPr>
            <a:xfrm>
              <a:off x="4078356" y="10343190"/>
              <a:ext cx="386965" cy="2617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800" b="1">
                  <a:solidFill>
                    <a:schemeClr val="accent3">
                      <a:lumMod val="50000"/>
                    </a:schemeClr>
                  </a:solidFill>
                  <a:latin typeface="Microsoft YaHei UI" panose="020B0503020204020204" pitchFamily="34" charset="-122"/>
                  <a:ea typeface="Microsoft YaHei UI" panose="020B0503020204020204" pitchFamily="34" charset="-122"/>
                </a:rPr>
                <a:t>Min</a:t>
              </a:r>
            </a:p>
          </xdr:txBody>
        </xdr:sp>
      </xdr:grpSp>
      <xdr:sp macro="" textlink="">
        <xdr:nvSpPr>
          <xdr:cNvPr id="61" name="Rectangle 60">
            <a:extLst>
              <a:ext uri="{FF2B5EF4-FFF2-40B4-BE49-F238E27FC236}">
                <a16:creationId xmlns:a16="http://schemas.microsoft.com/office/drawing/2014/main" id="{00000000-0008-0000-0100-00003D000000}"/>
              </a:ext>
            </a:extLst>
          </xdr:cNvPr>
          <xdr:cNvSpPr/>
        </xdr:nvSpPr>
        <xdr:spPr>
          <a:xfrm>
            <a:off x="5129237" y="862685"/>
            <a:ext cx="1241676" cy="246431"/>
          </a:xfrm>
          <a:prstGeom prst="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62" name="Chart 11">
            <a:extLst>
              <a:ext uri="{FF2B5EF4-FFF2-40B4-BE49-F238E27FC236}">
                <a16:creationId xmlns:a16="http://schemas.microsoft.com/office/drawing/2014/main" id="{00000000-0008-0000-0100-00003E000000}"/>
              </a:ext>
            </a:extLst>
          </xdr:cNvPr>
          <xdr:cNvGraphicFramePr/>
        </xdr:nvGraphicFramePr>
        <xdr:xfrm>
          <a:off x="4991358" y="753889"/>
          <a:ext cx="1516507" cy="515679"/>
        </xdr:xfrm>
        <a:graphic>
          <a:graphicData uri="http://schemas.openxmlformats.org/drawingml/2006/chart">
            <c:chart xmlns:c="http://schemas.openxmlformats.org/drawingml/2006/chart" xmlns:r="http://schemas.openxmlformats.org/officeDocument/2006/relationships" r:id="rId21"/>
          </a:graphicData>
        </a:graphic>
      </xdr:graphicFrame>
      <xdr:sp macro="" textlink="Operational!E16">
        <xdr:nvSpPr>
          <xdr:cNvPr id="63" name="TextBox 62">
            <a:extLst>
              <a:ext uri="{FF2B5EF4-FFF2-40B4-BE49-F238E27FC236}">
                <a16:creationId xmlns:a16="http://schemas.microsoft.com/office/drawing/2014/main" id="{00000000-0008-0000-0100-00003F000000}"/>
              </a:ext>
            </a:extLst>
          </xdr:cNvPr>
          <xdr:cNvSpPr txBox="1"/>
        </xdr:nvSpPr>
        <xdr:spPr>
          <a:xfrm>
            <a:off x="5017530" y="812006"/>
            <a:ext cx="791737" cy="371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BCD312-9CF6-4FBE-ACA5-3BF6C370575B}" type="TxLink">
              <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Rp301,00 </a:t>
            </a:fld>
            <a:endPar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sp macro="" textlink="Operational!F16">
        <xdr:nvSpPr>
          <xdr:cNvPr id="64" name="TextBox 63">
            <a:extLst>
              <a:ext uri="{FF2B5EF4-FFF2-40B4-BE49-F238E27FC236}">
                <a16:creationId xmlns:a16="http://schemas.microsoft.com/office/drawing/2014/main" id="{00000000-0008-0000-0100-000040000000}"/>
              </a:ext>
            </a:extLst>
          </xdr:cNvPr>
          <xdr:cNvSpPr txBox="1"/>
        </xdr:nvSpPr>
        <xdr:spPr>
          <a:xfrm>
            <a:off x="5644858" y="816542"/>
            <a:ext cx="791737" cy="371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EF85875-E91A-4318-A431-816C9CD20116}" type="TxLink">
              <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Rp497,00 </a:t>
            </a:fld>
            <a:endParaRPr lang="en-US" sz="9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xnSp macro="">
        <xdr:nvCxnSpPr>
          <xdr:cNvPr id="65" name="Straight Connector 64">
            <a:extLst>
              <a:ext uri="{FF2B5EF4-FFF2-40B4-BE49-F238E27FC236}">
                <a16:creationId xmlns:a16="http://schemas.microsoft.com/office/drawing/2014/main" id="{00000000-0008-0000-0100-000041000000}"/>
              </a:ext>
            </a:extLst>
          </xdr:cNvPr>
          <xdr:cNvCxnSpPr/>
        </xdr:nvCxnSpPr>
        <xdr:spPr>
          <a:xfrm>
            <a:off x="5744537" y="868521"/>
            <a:ext cx="0" cy="253578"/>
          </a:xfrm>
          <a:prstGeom prst="line">
            <a:avLst/>
          </a:prstGeom>
          <a:ln>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552450</xdr:colOff>
      <xdr:row>7</xdr:row>
      <xdr:rowOff>88900</xdr:rowOff>
    </xdr:from>
    <xdr:to>
      <xdr:col>10</xdr:col>
      <xdr:colOff>566276</xdr:colOff>
      <xdr:row>12</xdr:row>
      <xdr:rowOff>50150</xdr:rowOff>
    </xdr:to>
    <xdr:grpSp>
      <xdr:nvGrpSpPr>
        <xdr:cNvPr id="71" name="Group 70">
          <a:extLst>
            <a:ext uri="{FF2B5EF4-FFF2-40B4-BE49-F238E27FC236}">
              <a16:creationId xmlns:a16="http://schemas.microsoft.com/office/drawing/2014/main" id="{00000000-0008-0000-0100-000047000000}"/>
            </a:ext>
          </a:extLst>
        </xdr:cNvPr>
        <xdr:cNvGrpSpPr/>
      </xdr:nvGrpSpPr>
      <xdr:grpSpPr>
        <a:xfrm>
          <a:off x="4819650" y="1377950"/>
          <a:ext cx="1842626" cy="882000"/>
          <a:chOff x="4840568" y="1412819"/>
          <a:chExt cx="1851590" cy="896059"/>
        </a:xfrm>
      </xdr:grpSpPr>
      <xdr:sp macro="" textlink="">
        <xdr:nvSpPr>
          <xdr:cNvPr id="72" name="Rectangle: Rounded Corners 71">
            <a:extLst>
              <a:ext uri="{FF2B5EF4-FFF2-40B4-BE49-F238E27FC236}">
                <a16:creationId xmlns:a16="http://schemas.microsoft.com/office/drawing/2014/main" id="{00000000-0008-0000-0100-000048000000}"/>
              </a:ext>
            </a:extLst>
          </xdr:cNvPr>
          <xdr:cNvSpPr/>
        </xdr:nvSpPr>
        <xdr:spPr>
          <a:xfrm>
            <a:off x="4840568" y="1412819"/>
            <a:ext cx="1851590" cy="896059"/>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73" name="TextBox 72">
            <a:extLst>
              <a:ext uri="{FF2B5EF4-FFF2-40B4-BE49-F238E27FC236}">
                <a16:creationId xmlns:a16="http://schemas.microsoft.com/office/drawing/2014/main" id="{00000000-0008-0000-0100-000049000000}"/>
              </a:ext>
            </a:extLst>
          </xdr:cNvPr>
          <xdr:cNvSpPr txBox="1"/>
        </xdr:nvSpPr>
        <xdr:spPr>
          <a:xfrm>
            <a:off x="4948524" y="1467675"/>
            <a:ext cx="1652638" cy="34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Avr.</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 Distance (km)</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xnSp macro="">
        <xdr:nvCxnSpPr>
          <xdr:cNvPr id="74" name="Connector: Curved 73">
            <a:extLst>
              <a:ext uri="{FF2B5EF4-FFF2-40B4-BE49-F238E27FC236}">
                <a16:creationId xmlns:a16="http://schemas.microsoft.com/office/drawing/2014/main" id="{00000000-0008-0000-0100-00004A000000}"/>
              </a:ext>
            </a:extLst>
          </xdr:cNvPr>
          <xdr:cNvCxnSpPr/>
        </xdr:nvCxnSpPr>
        <xdr:spPr>
          <a:xfrm flipV="1">
            <a:off x="5047245" y="1921377"/>
            <a:ext cx="1444983" cy="176996"/>
          </a:xfrm>
          <a:prstGeom prst="curvedConnector3">
            <a:avLst>
              <a:gd name="adj1" fmla="val 50001"/>
            </a:avLst>
          </a:prstGeom>
          <a:ln w="38100">
            <a:solidFill>
              <a:schemeClr val="accent3">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Operational!J16">
        <xdr:nvSpPr>
          <xdr:cNvPr id="75" name="TextBox 74">
            <a:extLst>
              <a:ext uri="{FF2B5EF4-FFF2-40B4-BE49-F238E27FC236}">
                <a16:creationId xmlns:a16="http://schemas.microsoft.com/office/drawing/2014/main" id="{00000000-0008-0000-0100-00004B000000}"/>
              </a:ext>
            </a:extLst>
          </xdr:cNvPr>
          <xdr:cNvSpPr txBox="1"/>
        </xdr:nvSpPr>
        <xdr:spPr>
          <a:xfrm>
            <a:off x="5284478" y="1898725"/>
            <a:ext cx="968968" cy="193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33F7AC-7E05-4477-8B55-1674DC849C3F}"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 496,28 </a:t>
            </a:fld>
            <a:endPar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xnSp macro="">
        <xdr:nvCxnSpPr>
          <xdr:cNvPr id="76" name="Straight Connector 75">
            <a:extLst>
              <a:ext uri="{FF2B5EF4-FFF2-40B4-BE49-F238E27FC236}">
                <a16:creationId xmlns:a16="http://schemas.microsoft.com/office/drawing/2014/main" id="{00000000-0008-0000-0100-00004C000000}"/>
              </a:ext>
            </a:extLst>
          </xdr:cNvPr>
          <xdr:cNvCxnSpPr/>
        </xdr:nvCxnSpPr>
        <xdr:spPr>
          <a:xfrm>
            <a:off x="5078872" y="1783225"/>
            <a:ext cx="1367096"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279987</xdr:colOff>
      <xdr:row>7</xdr:row>
      <xdr:rowOff>88900</xdr:rowOff>
    </xdr:from>
    <xdr:to>
      <xdr:col>7</xdr:col>
      <xdr:colOff>483605</xdr:colOff>
      <xdr:row>12</xdr:row>
      <xdr:rowOff>48846</xdr:rowOff>
    </xdr:to>
    <xdr:grpSp>
      <xdr:nvGrpSpPr>
        <xdr:cNvPr id="77" name="Group 76">
          <a:extLst>
            <a:ext uri="{FF2B5EF4-FFF2-40B4-BE49-F238E27FC236}">
              <a16:creationId xmlns:a16="http://schemas.microsoft.com/office/drawing/2014/main" id="{00000000-0008-0000-0100-00004D000000}"/>
            </a:ext>
          </a:extLst>
        </xdr:cNvPr>
        <xdr:cNvGrpSpPr/>
      </xdr:nvGrpSpPr>
      <xdr:grpSpPr>
        <a:xfrm>
          <a:off x="3327987" y="1377950"/>
          <a:ext cx="1422818" cy="880696"/>
          <a:chOff x="3342928" y="1396253"/>
          <a:chExt cx="1428795" cy="893769"/>
        </a:xfrm>
      </xdr:grpSpPr>
      <xdr:sp macro="" textlink="">
        <xdr:nvSpPr>
          <xdr:cNvPr id="78" name="Rectangle: Rounded Corners 77">
            <a:extLst>
              <a:ext uri="{FF2B5EF4-FFF2-40B4-BE49-F238E27FC236}">
                <a16:creationId xmlns:a16="http://schemas.microsoft.com/office/drawing/2014/main" id="{00000000-0008-0000-0100-00004E000000}"/>
              </a:ext>
            </a:extLst>
          </xdr:cNvPr>
          <xdr:cNvSpPr/>
        </xdr:nvSpPr>
        <xdr:spPr>
          <a:xfrm>
            <a:off x="3342928" y="1396253"/>
            <a:ext cx="1428795" cy="893769"/>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nvGrpSpPr>
          <xdr:cNvPr id="79" name="Group 78">
            <a:extLst>
              <a:ext uri="{FF2B5EF4-FFF2-40B4-BE49-F238E27FC236}">
                <a16:creationId xmlns:a16="http://schemas.microsoft.com/office/drawing/2014/main" id="{00000000-0008-0000-0100-00004F000000}"/>
              </a:ext>
            </a:extLst>
          </xdr:cNvPr>
          <xdr:cNvGrpSpPr/>
        </xdr:nvGrpSpPr>
        <xdr:grpSpPr>
          <a:xfrm>
            <a:off x="3360462" y="1405045"/>
            <a:ext cx="1328196" cy="828628"/>
            <a:chOff x="5049555" y="2045398"/>
            <a:chExt cx="1364643" cy="846080"/>
          </a:xfrm>
        </xdr:grpSpPr>
        <xdr:sp macro="" textlink="">
          <xdr:nvSpPr>
            <xdr:cNvPr id="80" name="Rectangle 79">
              <a:extLst>
                <a:ext uri="{FF2B5EF4-FFF2-40B4-BE49-F238E27FC236}">
                  <a16:creationId xmlns:a16="http://schemas.microsoft.com/office/drawing/2014/main" id="{00000000-0008-0000-0100-000050000000}"/>
                </a:ext>
              </a:extLst>
            </xdr:cNvPr>
            <xdr:cNvSpPr/>
          </xdr:nvSpPr>
          <xdr:spPr>
            <a:xfrm>
              <a:off x="5182158" y="2263669"/>
              <a:ext cx="1130438" cy="585876"/>
            </a:xfrm>
            <a:prstGeom prst="rect">
              <a:avLst/>
            </a:prstGeom>
            <a:solidFill>
              <a:srgbClr val="8E987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81" name="Arrow: Up 80">
              <a:extLst>
                <a:ext uri="{FF2B5EF4-FFF2-40B4-BE49-F238E27FC236}">
                  <a16:creationId xmlns:a16="http://schemas.microsoft.com/office/drawing/2014/main" id="{00000000-0008-0000-0100-000051000000}"/>
                </a:ext>
              </a:extLst>
            </xdr:cNvPr>
            <xdr:cNvSpPr/>
          </xdr:nvSpPr>
          <xdr:spPr>
            <a:xfrm>
              <a:off x="6064878" y="2045398"/>
              <a:ext cx="349320" cy="414774"/>
            </a:xfrm>
            <a:prstGeom prst="upArrow">
              <a:avLst/>
            </a:prstGeom>
            <a:gradFill>
              <a:gsLst>
                <a:gs pos="100000">
                  <a:srgbClr val="ADBA94"/>
                </a:gs>
                <a:gs pos="0">
                  <a:srgbClr val="8E9879"/>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82" name="TextBox 81">
              <a:extLst>
                <a:ext uri="{FF2B5EF4-FFF2-40B4-BE49-F238E27FC236}">
                  <a16:creationId xmlns:a16="http://schemas.microsoft.com/office/drawing/2014/main" id="{00000000-0008-0000-0100-000052000000}"/>
                </a:ext>
              </a:extLst>
            </xdr:cNvPr>
            <xdr:cNvSpPr txBox="1"/>
          </xdr:nvSpPr>
          <xdr:spPr>
            <a:xfrm>
              <a:off x="5139591" y="2235618"/>
              <a:ext cx="632545"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D" sz="1050" b="1">
                  <a:solidFill>
                    <a:schemeClr val="accent3">
                      <a:lumMod val="20000"/>
                      <a:lumOff val="80000"/>
                    </a:schemeClr>
                  </a:solidFill>
                  <a:latin typeface="Microsoft YaHei UI" panose="020B0503020204020204" pitchFamily="34" charset="-122"/>
                  <a:ea typeface="Microsoft YaHei UI" panose="020B0503020204020204" pitchFamily="34" charset="-122"/>
                  <a:cs typeface="+mn-cs"/>
                </a:rPr>
                <a:t>UP TO</a:t>
              </a:r>
            </a:p>
          </xdr:txBody>
        </xdr:sp>
        <xdr:cxnSp macro="">
          <xdr:nvCxnSpPr>
            <xdr:cNvPr id="83" name="Straight Connector 82">
              <a:extLst>
                <a:ext uri="{FF2B5EF4-FFF2-40B4-BE49-F238E27FC236}">
                  <a16:creationId xmlns:a16="http://schemas.microsoft.com/office/drawing/2014/main" id="{00000000-0008-0000-0100-000053000000}"/>
                </a:ext>
              </a:extLst>
            </xdr:cNvPr>
            <xdr:cNvCxnSpPr>
              <a:cxnSpLocks/>
              <a:stCxn id="80" idx="1"/>
              <a:endCxn id="80" idx="3"/>
            </xdr:cNvCxnSpPr>
          </xdr:nvCxnSpPr>
          <xdr:spPr>
            <a:xfrm>
              <a:off x="5182158" y="2556328"/>
              <a:ext cx="1130438" cy="0"/>
            </a:xfrm>
            <a:prstGeom prst="line">
              <a:avLst/>
            </a:prstGeom>
            <a:ln w="57150">
              <a:solidFill>
                <a:schemeClr val="accent3">
                  <a:lumMod val="60000"/>
                  <a:lumOff val="40000"/>
                </a:schemeClr>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84" name="Group 83">
              <a:extLst>
                <a:ext uri="{FF2B5EF4-FFF2-40B4-BE49-F238E27FC236}">
                  <a16:creationId xmlns:a16="http://schemas.microsoft.com/office/drawing/2014/main" id="{00000000-0008-0000-0100-000054000000}"/>
                </a:ext>
              </a:extLst>
            </xdr:cNvPr>
            <xdr:cNvGrpSpPr/>
          </xdr:nvGrpSpPr>
          <xdr:grpSpPr>
            <a:xfrm>
              <a:off x="5049555" y="2628623"/>
              <a:ext cx="1164832" cy="262855"/>
              <a:chOff x="5025133" y="2613967"/>
              <a:chExt cx="1164832" cy="262855"/>
            </a:xfrm>
          </xdr:grpSpPr>
          <xdr:sp macro="" textlink="">
            <xdr:nvSpPr>
              <xdr:cNvPr id="85" name="TextBox 84">
                <a:extLst>
                  <a:ext uri="{FF2B5EF4-FFF2-40B4-BE49-F238E27FC236}">
                    <a16:creationId xmlns:a16="http://schemas.microsoft.com/office/drawing/2014/main" id="{00000000-0008-0000-0100-000055000000}"/>
                  </a:ext>
                </a:extLst>
              </xdr:cNvPr>
              <xdr:cNvSpPr txBox="1"/>
            </xdr:nvSpPr>
            <xdr:spPr>
              <a:xfrm>
                <a:off x="5842418" y="2613967"/>
                <a:ext cx="347547" cy="262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D" sz="800" b="1">
                    <a:solidFill>
                      <a:schemeClr val="accent3">
                        <a:lumMod val="20000"/>
                        <a:lumOff val="80000"/>
                      </a:schemeClr>
                    </a:solidFill>
                    <a:latin typeface="Microsoft YaHei UI" panose="020B0503020204020204" pitchFamily="34" charset="-122"/>
                    <a:ea typeface="Microsoft YaHei UI" panose="020B0503020204020204" pitchFamily="34" charset="-122"/>
                    <a:cs typeface="+mn-cs"/>
                  </a:rPr>
                  <a:t>km</a:t>
                </a:r>
              </a:p>
            </xdr:txBody>
          </xdr:sp>
          <xdr:sp macro="" textlink="Operational!I16">
            <xdr:nvSpPr>
              <xdr:cNvPr id="86" name="TextBox 85">
                <a:extLst>
                  <a:ext uri="{FF2B5EF4-FFF2-40B4-BE49-F238E27FC236}">
                    <a16:creationId xmlns:a16="http://schemas.microsoft.com/office/drawing/2014/main" id="{00000000-0008-0000-0100-000056000000}"/>
                  </a:ext>
                </a:extLst>
              </xdr:cNvPr>
              <xdr:cNvSpPr txBox="1"/>
            </xdr:nvSpPr>
            <xdr:spPr>
              <a:xfrm>
                <a:off x="5025133" y="2622437"/>
                <a:ext cx="963969" cy="192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FC74D3-15B9-4953-B399-F9B49025DE03}" type="TxLink">
                  <a:rPr lang="en-US" sz="1600" b="1" i="0" u="none" strike="noStrike">
                    <a:solidFill>
                      <a:schemeClr val="accent3">
                        <a:lumMod val="20000"/>
                        <a:lumOff val="80000"/>
                      </a:schemeClr>
                    </a:solidFill>
                    <a:latin typeface="Microsoft YaHei UI" panose="020B0503020204020204" pitchFamily="34" charset="-122"/>
                    <a:ea typeface="Microsoft YaHei UI" panose="020B0503020204020204" pitchFamily="34" charset="-122"/>
                    <a:cs typeface="Calibri"/>
                  </a:rPr>
                  <a:pPr marL="0" indent="0" algn="ctr"/>
                  <a:t> 49.628 </a:t>
                </a:fld>
                <a:endParaRPr lang="en-US" sz="1600" b="1" i="0" u="none" strike="noStrike">
                  <a:solidFill>
                    <a:schemeClr val="accent3">
                      <a:lumMod val="20000"/>
                      <a:lumOff val="80000"/>
                    </a:schemeClr>
                  </a:solidFill>
                  <a:latin typeface="Microsoft YaHei UI" panose="020B0503020204020204" pitchFamily="34" charset="-122"/>
                  <a:ea typeface="Microsoft YaHei UI" panose="020B0503020204020204" pitchFamily="34" charset="-122"/>
                  <a:cs typeface="Calibri"/>
                </a:endParaRPr>
              </a:p>
            </xdr:txBody>
          </xdr:sp>
        </xdr:grpSp>
      </xdr:grpSp>
    </xdr:grpSp>
    <xdr:clientData/>
  </xdr:twoCellAnchor>
  <xdr:twoCellAnchor>
    <xdr:from>
      <xdr:col>6</xdr:col>
      <xdr:colOff>63500</xdr:colOff>
      <xdr:row>13</xdr:row>
      <xdr:rowOff>72117</xdr:rowOff>
    </xdr:from>
    <xdr:to>
      <xdr:col>9</xdr:col>
      <xdr:colOff>180731</xdr:colOff>
      <xdr:row>14</xdr:row>
      <xdr:rowOff>175843</xdr:rowOff>
    </xdr:to>
    <xdr:sp macro="" textlink="">
      <xdr:nvSpPr>
        <xdr:cNvPr id="87" name="TextBox 86">
          <a:extLst>
            <a:ext uri="{FF2B5EF4-FFF2-40B4-BE49-F238E27FC236}">
              <a16:creationId xmlns:a16="http://schemas.microsoft.com/office/drawing/2014/main" id="{00000000-0008-0000-0100-000057000000}"/>
            </a:ext>
          </a:extLst>
        </xdr:cNvPr>
        <xdr:cNvSpPr txBox="1"/>
      </xdr:nvSpPr>
      <xdr:spPr>
        <a:xfrm>
          <a:off x="3721100" y="2466067"/>
          <a:ext cx="1946031" cy="287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D" sz="1400" b="1">
              <a:solidFill>
                <a:schemeClr val="accent3">
                  <a:lumMod val="50000"/>
                </a:schemeClr>
              </a:solidFill>
              <a:latin typeface="Microsoft YaHei UI" panose="020B0503020204020204" pitchFamily="34" charset="-122"/>
              <a:ea typeface="Microsoft YaHei UI" panose="020B0503020204020204" pitchFamily="34" charset="-122"/>
              <a:cs typeface="+mn-cs"/>
            </a:rPr>
            <a:t>Driver</a:t>
          </a:r>
          <a:r>
            <a:rPr lang="en-ID" sz="1400" b="1" baseline="0">
              <a:solidFill>
                <a:schemeClr val="accent3">
                  <a:lumMod val="50000"/>
                </a:schemeClr>
              </a:solidFill>
              <a:latin typeface="Microsoft YaHei UI" panose="020B0503020204020204" pitchFamily="34" charset="-122"/>
              <a:ea typeface="Microsoft YaHei UI" panose="020B0503020204020204" pitchFamily="34" charset="-122"/>
              <a:cs typeface="+mn-cs"/>
            </a:rPr>
            <a:t> Rank</a:t>
          </a:r>
          <a:endParaRPr lang="en-ID" sz="1400" b="1">
            <a:solidFill>
              <a:schemeClr val="accent3">
                <a:lumMod val="50000"/>
              </a:schemeClr>
            </a:solidFill>
            <a:latin typeface="Microsoft YaHei UI" panose="020B0503020204020204" pitchFamily="34" charset="-122"/>
            <a:ea typeface="Microsoft YaHei UI" panose="020B0503020204020204" pitchFamily="34" charset="-122"/>
            <a:cs typeface="+mn-cs"/>
          </a:endParaRPr>
        </a:p>
      </xdr:txBody>
    </xdr:sp>
    <xdr:clientData/>
  </xdr:twoCellAnchor>
  <xdr:twoCellAnchor>
    <xdr:from>
      <xdr:col>6</xdr:col>
      <xdr:colOff>113506</xdr:colOff>
      <xdr:row>15</xdr:row>
      <xdr:rowOff>95762</xdr:rowOff>
    </xdr:from>
    <xdr:to>
      <xdr:col>9</xdr:col>
      <xdr:colOff>140495</xdr:colOff>
      <xdr:row>15</xdr:row>
      <xdr:rowOff>95762</xdr:rowOff>
    </xdr:to>
    <xdr:cxnSp macro="">
      <xdr:nvCxnSpPr>
        <xdr:cNvPr id="90" name="Straight Connector 89">
          <a:extLst>
            <a:ext uri="{FF2B5EF4-FFF2-40B4-BE49-F238E27FC236}">
              <a16:creationId xmlns:a16="http://schemas.microsoft.com/office/drawing/2014/main" id="{00000000-0008-0000-0100-00005A000000}"/>
            </a:ext>
          </a:extLst>
        </xdr:cNvPr>
        <xdr:cNvCxnSpPr/>
      </xdr:nvCxnSpPr>
      <xdr:spPr>
        <a:xfrm>
          <a:off x="3771106" y="2858012"/>
          <a:ext cx="1855789"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171450</xdr:colOff>
      <xdr:row>2</xdr:row>
      <xdr:rowOff>139700</xdr:rowOff>
    </xdr:from>
    <xdr:to>
      <xdr:col>18</xdr:col>
      <xdr:colOff>208642</xdr:colOff>
      <xdr:row>15</xdr:row>
      <xdr:rowOff>107949</xdr:rowOff>
    </xdr:to>
    <xdr:graphicFrame macro="">
      <xdr:nvGraphicFramePr>
        <xdr:cNvPr id="93" name="Chart 92">
          <a:extLst>
            <a:ext uri="{FF2B5EF4-FFF2-40B4-BE49-F238E27FC236}">
              <a16:creationId xmlns:a16="http://schemas.microsoft.com/office/drawing/2014/main" id="{00000000-0008-0000-0100-00005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247650</xdr:colOff>
      <xdr:row>18</xdr:row>
      <xdr:rowOff>6350</xdr:rowOff>
    </xdr:from>
    <xdr:to>
      <xdr:col>18</xdr:col>
      <xdr:colOff>114300</xdr:colOff>
      <xdr:row>26</xdr:row>
      <xdr:rowOff>120650</xdr:rowOff>
    </xdr:to>
    <xdr:graphicFrame macro="">
      <xdr:nvGraphicFramePr>
        <xdr:cNvPr id="94" name="Chart 93">
          <a:extLst>
            <a:ext uri="{FF2B5EF4-FFF2-40B4-BE49-F238E27FC236}">
              <a16:creationId xmlns:a16="http://schemas.microsoft.com/office/drawing/2014/main" id="{00000000-0008-0000-01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6</xdr:col>
      <xdr:colOff>160960</xdr:colOff>
      <xdr:row>13</xdr:row>
      <xdr:rowOff>150535</xdr:rowOff>
    </xdr:from>
    <xdr:to>
      <xdr:col>6</xdr:col>
      <xdr:colOff>415398</xdr:colOff>
      <xdr:row>15</xdr:row>
      <xdr:rowOff>5884</xdr:rowOff>
    </xdr:to>
    <xdr:grpSp>
      <xdr:nvGrpSpPr>
        <xdr:cNvPr id="98" name="Group 97">
          <a:extLst>
            <a:ext uri="{FF2B5EF4-FFF2-40B4-BE49-F238E27FC236}">
              <a16:creationId xmlns:a16="http://schemas.microsoft.com/office/drawing/2014/main" id="{00000000-0008-0000-0100-000062000000}"/>
            </a:ext>
          </a:extLst>
        </xdr:cNvPr>
        <xdr:cNvGrpSpPr/>
      </xdr:nvGrpSpPr>
      <xdr:grpSpPr>
        <a:xfrm flipH="1">
          <a:off x="3818560" y="2544485"/>
          <a:ext cx="254438" cy="223649"/>
          <a:chOff x="5226977" y="3940968"/>
          <a:chExt cx="1026848" cy="1014412"/>
        </a:xfrm>
        <a:effectLst/>
      </xdr:grpSpPr>
      <xdr:pic>
        <xdr:nvPicPr>
          <xdr:cNvPr id="41" name="Graphic 40" descr="Trophy with solid fill">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5226977" y="3940968"/>
            <a:ext cx="1026848" cy="1014412"/>
          </a:xfrm>
          <a:prstGeom prst="rect">
            <a:avLst/>
          </a:prstGeom>
          <a:effectLst>
            <a:glow rad="139700">
              <a:schemeClr val="accent3">
                <a:lumMod val="60000"/>
                <a:lumOff val="40000"/>
                <a:alpha val="40000"/>
              </a:schemeClr>
            </a:glow>
          </a:effectLst>
        </xdr:spPr>
      </xdr:pic>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26"/>
          <a:stretch>
            <a:fillRect/>
          </a:stretch>
        </xdr:blipFill>
        <xdr:spPr>
          <a:xfrm>
            <a:off x="5615915" y="4127499"/>
            <a:ext cx="262151" cy="262151"/>
          </a:xfrm>
          <a:prstGeom prst="rect">
            <a:avLst/>
          </a:prstGeom>
        </xdr:spPr>
      </xdr:pic>
    </xdr:grpSp>
    <xdr:clientData/>
  </xdr:twoCellAnchor>
  <xdr:twoCellAnchor>
    <xdr:from>
      <xdr:col>5</xdr:col>
      <xdr:colOff>336176</xdr:colOff>
      <xdr:row>16</xdr:row>
      <xdr:rowOff>141941</xdr:rowOff>
    </xdr:from>
    <xdr:to>
      <xdr:col>8</xdr:col>
      <xdr:colOff>328705</xdr:colOff>
      <xdr:row>18</xdr:row>
      <xdr:rowOff>59764</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3399117" y="3130176"/>
          <a:ext cx="1830294"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b="1">
              <a:solidFill>
                <a:schemeClr val="accent3">
                  <a:lumMod val="50000"/>
                </a:schemeClr>
              </a:solidFill>
              <a:latin typeface="Microsoft YaHei UI" panose="020B0503020204020204" pitchFamily="34" charset="-122"/>
              <a:ea typeface="Microsoft YaHei UI" panose="020B0503020204020204" pitchFamily="34" charset="-122"/>
            </a:rPr>
            <a:t>🚩 Top Distance Champion</a:t>
          </a:r>
        </a:p>
      </xdr:txBody>
    </xdr:sp>
    <xdr:clientData/>
  </xdr:twoCellAnchor>
  <xdr:twoCellAnchor>
    <xdr:from>
      <xdr:col>5</xdr:col>
      <xdr:colOff>336176</xdr:colOff>
      <xdr:row>19</xdr:row>
      <xdr:rowOff>100853</xdr:rowOff>
    </xdr:from>
    <xdr:to>
      <xdr:col>8</xdr:col>
      <xdr:colOff>328705</xdr:colOff>
      <xdr:row>21</xdr:row>
      <xdr:rowOff>18676</xdr:rowOff>
    </xdr:to>
    <xdr:sp macro="" textlink="">
      <xdr:nvSpPr>
        <xdr:cNvPr id="95" name="TextBox 94">
          <a:extLst>
            <a:ext uri="{FF2B5EF4-FFF2-40B4-BE49-F238E27FC236}">
              <a16:creationId xmlns:a16="http://schemas.microsoft.com/office/drawing/2014/main" id="{00000000-0008-0000-0100-00005F000000}"/>
            </a:ext>
          </a:extLst>
        </xdr:cNvPr>
        <xdr:cNvSpPr txBox="1"/>
      </xdr:nvSpPr>
      <xdr:spPr>
        <a:xfrm>
          <a:off x="3399117" y="3649382"/>
          <a:ext cx="1830294"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b="1">
              <a:solidFill>
                <a:schemeClr val="accent3">
                  <a:lumMod val="50000"/>
                </a:schemeClr>
              </a:solidFill>
              <a:latin typeface="Microsoft YaHei UI" panose="020B0503020204020204" pitchFamily="34" charset="-122"/>
              <a:ea typeface="Microsoft YaHei UI" panose="020B0503020204020204" pitchFamily="34" charset="-122"/>
            </a:rPr>
            <a:t>🥇 Best Performing Driver</a:t>
          </a:r>
        </a:p>
      </xdr:txBody>
    </xdr:sp>
    <xdr:clientData/>
  </xdr:twoCellAnchor>
  <xdr:twoCellAnchor>
    <xdr:from>
      <xdr:col>5</xdr:col>
      <xdr:colOff>336176</xdr:colOff>
      <xdr:row>22</xdr:row>
      <xdr:rowOff>59764</xdr:rowOff>
    </xdr:from>
    <xdr:to>
      <xdr:col>8</xdr:col>
      <xdr:colOff>328705</xdr:colOff>
      <xdr:row>23</xdr:row>
      <xdr:rowOff>164353</xdr:rowOff>
    </xdr:to>
    <xdr:sp macro="" textlink="">
      <xdr:nvSpPr>
        <xdr:cNvPr id="96" name="TextBox 95">
          <a:extLst>
            <a:ext uri="{FF2B5EF4-FFF2-40B4-BE49-F238E27FC236}">
              <a16:creationId xmlns:a16="http://schemas.microsoft.com/office/drawing/2014/main" id="{00000000-0008-0000-0100-000060000000}"/>
            </a:ext>
          </a:extLst>
        </xdr:cNvPr>
        <xdr:cNvSpPr txBox="1"/>
      </xdr:nvSpPr>
      <xdr:spPr>
        <a:xfrm>
          <a:off x="3399117" y="4168588"/>
          <a:ext cx="1830294"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b="1">
              <a:solidFill>
                <a:schemeClr val="accent3">
                  <a:lumMod val="50000"/>
                </a:schemeClr>
              </a:solidFill>
              <a:latin typeface="Microsoft YaHei UI" panose="020B0503020204020204" pitchFamily="34" charset="-122"/>
              <a:ea typeface="Microsoft YaHei UI" panose="020B0503020204020204" pitchFamily="34" charset="-122"/>
            </a:rPr>
            <a:t>⏲️ Most Active Driver</a:t>
          </a:r>
        </a:p>
      </xdr:txBody>
    </xdr:sp>
    <xdr:clientData/>
  </xdr:twoCellAnchor>
  <xdr:twoCellAnchor>
    <xdr:from>
      <xdr:col>6</xdr:col>
      <xdr:colOff>199091</xdr:colOff>
      <xdr:row>17</xdr:row>
      <xdr:rowOff>177800</xdr:rowOff>
    </xdr:from>
    <xdr:to>
      <xdr:col>9</xdr:col>
      <xdr:colOff>191620</xdr:colOff>
      <xdr:row>19</xdr:row>
      <xdr:rowOff>98239</xdr:rowOff>
    </xdr:to>
    <xdr:sp macro="" textlink="Operational!I105">
      <xdr:nvSpPr>
        <xdr:cNvPr id="99" name="TextBox 98">
          <a:extLst>
            <a:ext uri="{FF2B5EF4-FFF2-40B4-BE49-F238E27FC236}">
              <a16:creationId xmlns:a16="http://schemas.microsoft.com/office/drawing/2014/main" id="{00000000-0008-0000-0100-000063000000}"/>
            </a:ext>
          </a:extLst>
        </xdr:cNvPr>
        <xdr:cNvSpPr txBox="1"/>
      </xdr:nvSpPr>
      <xdr:spPr>
        <a:xfrm>
          <a:off x="3856691" y="3308350"/>
          <a:ext cx="1821329" cy="288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CAA569-0D27-428B-9CB7-8C7EE76CDEC8}"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Rizal (624 km)</a:t>
          </a:fld>
          <a:endParaRPr lang="en-ID"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6</xdr:col>
      <xdr:colOff>199091</xdr:colOff>
      <xdr:row>20</xdr:row>
      <xdr:rowOff>157443</xdr:rowOff>
    </xdr:from>
    <xdr:to>
      <xdr:col>9</xdr:col>
      <xdr:colOff>191620</xdr:colOff>
      <xdr:row>22</xdr:row>
      <xdr:rowOff>75266</xdr:rowOff>
    </xdr:to>
    <xdr:sp macro="" textlink="Operational!I106">
      <xdr:nvSpPr>
        <xdr:cNvPr id="101" name="TextBox 100">
          <a:extLst>
            <a:ext uri="{FF2B5EF4-FFF2-40B4-BE49-F238E27FC236}">
              <a16:creationId xmlns:a16="http://schemas.microsoft.com/office/drawing/2014/main" id="{00000000-0008-0000-0100-000065000000}"/>
            </a:ext>
          </a:extLst>
        </xdr:cNvPr>
        <xdr:cNvSpPr txBox="1"/>
      </xdr:nvSpPr>
      <xdr:spPr>
        <a:xfrm>
          <a:off x="3856691" y="3840443"/>
          <a:ext cx="1821329" cy="286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F56DDA-E1CE-49F6-A19E-FA024B0296A8}"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Slamet (81%)</a:t>
          </a:fld>
          <a:endParaRPr lang="en-ID"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6</xdr:col>
      <xdr:colOff>199091</xdr:colOff>
      <xdr:row>23</xdr:row>
      <xdr:rowOff>134470</xdr:rowOff>
    </xdr:from>
    <xdr:to>
      <xdr:col>9</xdr:col>
      <xdr:colOff>191620</xdr:colOff>
      <xdr:row>25</xdr:row>
      <xdr:rowOff>52293</xdr:rowOff>
    </xdr:to>
    <xdr:sp macro="" textlink="Operational!I107">
      <xdr:nvSpPr>
        <xdr:cNvPr id="102" name="TextBox 101">
          <a:extLst>
            <a:ext uri="{FF2B5EF4-FFF2-40B4-BE49-F238E27FC236}">
              <a16:creationId xmlns:a16="http://schemas.microsoft.com/office/drawing/2014/main" id="{00000000-0008-0000-0100-000066000000}"/>
            </a:ext>
          </a:extLst>
        </xdr:cNvPr>
        <xdr:cNvSpPr txBox="1"/>
      </xdr:nvSpPr>
      <xdr:spPr>
        <a:xfrm>
          <a:off x="3856691" y="4369920"/>
          <a:ext cx="1821329" cy="286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AA642F8-EB9F-4AA9-B6AA-7BFA05D9224E}"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Andi (18 orders)</a:t>
          </a:fld>
          <a:endParaRPr lang="en-ID"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5</xdr:col>
      <xdr:colOff>457200</xdr:colOff>
      <xdr:row>17</xdr:row>
      <xdr:rowOff>171450</xdr:rowOff>
    </xdr:from>
    <xdr:to>
      <xdr:col>9</xdr:col>
      <xdr:colOff>196850</xdr:colOff>
      <xdr:row>17</xdr:row>
      <xdr:rowOff>171450</xdr:rowOff>
    </xdr:to>
    <xdr:cxnSp macro="">
      <xdr:nvCxnSpPr>
        <xdr:cNvPr id="39" name="Straight Connector 38">
          <a:extLst>
            <a:ext uri="{FF2B5EF4-FFF2-40B4-BE49-F238E27FC236}">
              <a16:creationId xmlns:a16="http://schemas.microsoft.com/office/drawing/2014/main" id="{00000000-0008-0000-0100-000027000000}"/>
            </a:ext>
          </a:extLst>
        </xdr:cNvPr>
        <xdr:cNvCxnSpPr/>
      </xdr:nvCxnSpPr>
      <xdr:spPr>
        <a:xfrm>
          <a:off x="3505200" y="3302000"/>
          <a:ext cx="2178050" cy="0"/>
        </a:xfrm>
        <a:prstGeom prst="line">
          <a:avLst/>
        </a:prstGeom>
        <a:ln w="1905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20</xdr:row>
      <xdr:rowOff>136525</xdr:rowOff>
    </xdr:from>
    <xdr:to>
      <xdr:col>9</xdr:col>
      <xdr:colOff>196850</xdr:colOff>
      <xdr:row>20</xdr:row>
      <xdr:rowOff>136525</xdr:rowOff>
    </xdr:to>
    <xdr:cxnSp macro="">
      <xdr:nvCxnSpPr>
        <xdr:cNvPr id="105" name="Straight Connector 104">
          <a:extLst>
            <a:ext uri="{FF2B5EF4-FFF2-40B4-BE49-F238E27FC236}">
              <a16:creationId xmlns:a16="http://schemas.microsoft.com/office/drawing/2014/main" id="{00000000-0008-0000-0100-000069000000}"/>
            </a:ext>
          </a:extLst>
        </xdr:cNvPr>
        <xdr:cNvCxnSpPr/>
      </xdr:nvCxnSpPr>
      <xdr:spPr>
        <a:xfrm>
          <a:off x="3505200" y="3819525"/>
          <a:ext cx="2178050" cy="0"/>
        </a:xfrm>
        <a:prstGeom prst="line">
          <a:avLst/>
        </a:prstGeom>
        <a:ln w="1905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23</xdr:row>
      <xdr:rowOff>101600</xdr:rowOff>
    </xdr:from>
    <xdr:to>
      <xdr:col>9</xdr:col>
      <xdr:colOff>196850</xdr:colOff>
      <xdr:row>23</xdr:row>
      <xdr:rowOff>101600</xdr:rowOff>
    </xdr:to>
    <xdr:cxnSp macro="">
      <xdr:nvCxnSpPr>
        <xdr:cNvPr id="107" name="Straight Connector 106">
          <a:extLst>
            <a:ext uri="{FF2B5EF4-FFF2-40B4-BE49-F238E27FC236}">
              <a16:creationId xmlns:a16="http://schemas.microsoft.com/office/drawing/2014/main" id="{00000000-0008-0000-0100-00006B000000}"/>
            </a:ext>
          </a:extLst>
        </xdr:cNvPr>
        <xdr:cNvCxnSpPr/>
      </xdr:nvCxnSpPr>
      <xdr:spPr>
        <a:xfrm>
          <a:off x="3505200" y="4337050"/>
          <a:ext cx="2178050" cy="0"/>
        </a:xfrm>
        <a:prstGeom prst="line">
          <a:avLst/>
        </a:prstGeom>
        <a:ln w="1905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196850</xdr:colOff>
      <xdr:row>25</xdr:row>
      <xdr:rowOff>88900</xdr:rowOff>
    </xdr:from>
    <xdr:to>
      <xdr:col>4</xdr:col>
      <xdr:colOff>177800</xdr:colOff>
      <xdr:row>34</xdr:row>
      <xdr:rowOff>12700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80645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Total</a:t>
          </a:r>
          <a:r>
            <a:rPr lang="en-ID" sz="1100" baseline="0"/>
            <a:t> Revenue</a:t>
          </a:r>
        </a:p>
        <a:p>
          <a:pPr algn="ctr"/>
          <a:endParaRPr lang="en-ID" sz="1100"/>
        </a:p>
      </xdr:txBody>
    </xdr:sp>
    <xdr:clientData/>
  </xdr:twoCellAnchor>
  <xdr:twoCellAnchor>
    <xdr:from>
      <xdr:col>4</xdr:col>
      <xdr:colOff>406400</xdr:colOff>
      <xdr:row>25</xdr:row>
      <xdr:rowOff>88900</xdr:rowOff>
    </xdr:from>
    <xdr:to>
      <xdr:col>7</xdr:col>
      <xdr:colOff>387350</xdr:colOff>
      <xdr:row>34</xdr:row>
      <xdr:rowOff>12700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284480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On-time Delivery (%)</a:t>
          </a:r>
          <a:endParaRPr lang="en-ID" sz="1100" baseline="0"/>
        </a:p>
        <a:p>
          <a:pPr algn="ctr"/>
          <a:endParaRPr lang="en-ID" sz="1100"/>
        </a:p>
      </xdr:txBody>
    </xdr:sp>
    <xdr:clientData/>
  </xdr:twoCellAnchor>
  <xdr:twoCellAnchor>
    <xdr:from>
      <xdr:col>8</xdr:col>
      <xdr:colOff>12700</xdr:colOff>
      <xdr:row>25</xdr:row>
      <xdr:rowOff>88900</xdr:rowOff>
    </xdr:from>
    <xdr:to>
      <xdr:col>10</xdr:col>
      <xdr:colOff>603250</xdr:colOff>
      <xdr:row>34</xdr:row>
      <xdr:rowOff>12700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4889500" y="46926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Average</a:t>
          </a:r>
          <a:r>
            <a:rPr lang="en-ID" sz="1100" baseline="0"/>
            <a:t> Distance</a:t>
          </a:r>
        </a:p>
        <a:p>
          <a:pPr algn="ctr"/>
          <a:endParaRPr lang="en-ID" sz="1100"/>
        </a:p>
      </xdr:txBody>
    </xdr:sp>
    <xdr:clientData/>
  </xdr:twoCellAnchor>
  <xdr:twoCellAnchor>
    <xdr:from>
      <xdr:col>1</xdr:col>
      <xdr:colOff>215900</xdr:colOff>
      <xdr:row>35</xdr:row>
      <xdr:rowOff>0</xdr:rowOff>
    </xdr:from>
    <xdr:to>
      <xdr:col>4</xdr:col>
      <xdr:colOff>196850</xdr:colOff>
      <xdr:row>43</xdr:row>
      <xdr:rowOff>107950</xdr:rowOff>
    </xdr:to>
    <xdr:sp macro="" textlink="">
      <xdr:nvSpPr>
        <xdr:cNvPr id="5" name="Rectangle 4">
          <a:extLst>
            <a:ext uri="{FF2B5EF4-FFF2-40B4-BE49-F238E27FC236}">
              <a16:creationId xmlns:a16="http://schemas.microsoft.com/office/drawing/2014/main" id="{00000000-0008-0000-0200-000005000000}"/>
            </a:ext>
          </a:extLst>
        </xdr:cNvPr>
        <xdr:cNvSpPr/>
      </xdr:nvSpPr>
      <xdr:spPr>
        <a:xfrm>
          <a:off x="82550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Top 3 Customers by Revenue</a:t>
          </a:r>
        </a:p>
        <a:p>
          <a:pPr algn="ctr"/>
          <a:endParaRPr lang="en-ID" sz="1100"/>
        </a:p>
      </xdr:txBody>
    </xdr:sp>
    <xdr:clientData/>
  </xdr:twoCellAnchor>
  <xdr:twoCellAnchor>
    <xdr:from>
      <xdr:col>4</xdr:col>
      <xdr:colOff>412750</xdr:colOff>
      <xdr:row>35</xdr:row>
      <xdr:rowOff>0</xdr:rowOff>
    </xdr:from>
    <xdr:to>
      <xdr:col>7</xdr:col>
      <xdr:colOff>393700</xdr:colOff>
      <xdr:row>43</xdr:row>
      <xdr:rowOff>107950</xdr:rowOff>
    </xdr:to>
    <xdr:sp macro="" textlink="">
      <xdr:nvSpPr>
        <xdr:cNvPr id="6" name="Rectangle 5">
          <a:extLst>
            <a:ext uri="{FF2B5EF4-FFF2-40B4-BE49-F238E27FC236}">
              <a16:creationId xmlns:a16="http://schemas.microsoft.com/office/drawing/2014/main" id="{00000000-0008-0000-0200-000006000000}"/>
            </a:ext>
          </a:extLst>
        </xdr:cNvPr>
        <xdr:cNvSpPr/>
      </xdr:nvSpPr>
      <xdr:spPr>
        <a:xfrm>
          <a:off x="285115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Chart Trend Revenue Monthly/ Quarter</a:t>
          </a:r>
        </a:p>
      </xdr:txBody>
    </xdr:sp>
    <xdr:clientData/>
  </xdr:twoCellAnchor>
  <xdr:twoCellAnchor>
    <xdr:from>
      <xdr:col>8</xdr:col>
      <xdr:colOff>0</xdr:colOff>
      <xdr:row>35</xdr:row>
      <xdr:rowOff>0</xdr:rowOff>
    </xdr:from>
    <xdr:to>
      <xdr:col>10</xdr:col>
      <xdr:colOff>590550</xdr:colOff>
      <xdr:row>43</xdr:row>
      <xdr:rowOff>107950</xdr:rowOff>
    </xdr:to>
    <xdr:sp macro="" textlink="">
      <xdr:nvSpPr>
        <xdr:cNvPr id="7" name="Rectangle 6">
          <a:extLst>
            <a:ext uri="{FF2B5EF4-FFF2-40B4-BE49-F238E27FC236}">
              <a16:creationId xmlns:a16="http://schemas.microsoft.com/office/drawing/2014/main" id="{00000000-0008-0000-0200-000007000000}"/>
            </a:ext>
          </a:extLst>
        </xdr:cNvPr>
        <xdr:cNvSpPr/>
      </xdr:nvSpPr>
      <xdr:spPr>
        <a:xfrm>
          <a:off x="4876800" y="6445250"/>
          <a:ext cx="1809750" cy="1581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Pie</a:t>
          </a:r>
          <a:r>
            <a:rPr lang="en-ID" sz="1100" baseline="0"/>
            <a:t> Chart Truck Type Portion</a:t>
          </a:r>
          <a:endParaRPr lang="en-ID" sz="1100"/>
        </a:p>
      </xdr:txBody>
    </xdr:sp>
    <xdr:clientData/>
  </xdr:twoCellAnchor>
  <xdr:twoCellAnchor>
    <xdr:from>
      <xdr:col>0</xdr:col>
      <xdr:colOff>0</xdr:colOff>
      <xdr:row>0</xdr:row>
      <xdr:rowOff>0</xdr:rowOff>
    </xdr:from>
    <xdr:to>
      <xdr:col>30</xdr:col>
      <xdr:colOff>190500</xdr:colOff>
      <xdr:row>48</xdr:row>
      <xdr:rowOff>63500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0" y="0"/>
          <a:ext cx="18478500" cy="8902700"/>
        </a:xfrm>
        <a:prstGeom prst="rect">
          <a:avLst/>
        </a:prstGeom>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195300</xdr:colOff>
      <xdr:row>0</xdr:row>
      <xdr:rowOff>127000</xdr:rowOff>
    </xdr:from>
    <xdr:to>
      <xdr:col>18</xdr:col>
      <xdr:colOff>527049</xdr:colOff>
      <xdr:row>27</xdr:row>
      <xdr:rowOff>76199</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195300" y="127000"/>
          <a:ext cx="11304549" cy="4921249"/>
        </a:xfrm>
        <a:prstGeom prst="roundRect">
          <a:avLst>
            <a:gd name="adj" fmla="val 5097"/>
          </a:avLst>
        </a:prstGeom>
        <a:solidFill>
          <a:schemeClr val="bg1">
            <a:lumMod val="95000"/>
          </a:schemeClr>
        </a:solidFill>
        <a:ln>
          <a:noFill/>
        </a:ln>
        <a:effectLst>
          <a:outerShdw blurRad="609600" dist="38100" dir="7500000" algn="tr" rotWithShape="0">
            <a:prstClr val="black">
              <a:alpha val="4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4</xdr:col>
      <xdr:colOff>480219</xdr:colOff>
      <xdr:row>0</xdr:row>
      <xdr:rowOff>107951</xdr:rowOff>
    </xdr:from>
    <xdr:to>
      <xdr:col>18</xdr:col>
      <xdr:colOff>539751</xdr:colOff>
      <xdr:row>27</xdr:row>
      <xdr:rowOff>82551</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alphaModFix amt="20000"/>
          <a:extLst>
            <a:ext uri="{BEBA8EAE-BF5A-486C-A8C5-ECC9F3942E4B}">
              <a14:imgProps xmlns:a14="http://schemas.microsoft.com/office/drawing/2010/main">
                <a14:imgLayer r:embed="rId2">
                  <a14:imgEffect>
                    <a14:artisticCement/>
                  </a14:imgEffect>
                </a14:imgLayer>
              </a14:imgProps>
            </a:ext>
            <a:ext uri="{28A0092B-C50C-407E-A947-70E740481C1C}">
              <a14:useLocalDpi xmlns:a14="http://schemas.microsoft.com/office/drawing/2010/main" val="0"/>
            </a:ext>
          </a:extLst>
        </a:blip>
        <a:stretch>
          <a:fillRect/>
        </a:stretch>
      </xdr:blipFill>
      <xdr:spPr>
        <a:xfrm>
          <a:off x="2918619" y="107951"/>
          <a:ext cx="8593932" cy="4946650"/>
        </a:xfrm>
        <a:prstGeom prst="roundRect">
          <a:avLst>
            <a:gd name="adj" fmla="val 4749"/>
          </a:avLst>
        </a:prstGeom>
      </xdr:spPr>
    </xdr:pic>
    <xdr:clientData/>
  </xdr:twoCellAnchor>
  <xdr:twoCellAnchor>
    <xdr:from>
      <xdr:col>0</xdr:col>
      <xdr:colOff>190500</xdr:colOff>
      <xdr:row>0</xdr:row>
      <xdr:rowOff>129379</xdr:rowOff>
    </xdr:from>
    <xdr:to>
      <xdr:col>5</xdr:col>
      <xdr:colOff>165100</xdr:colOff>
      <xdr:row>27</xdr:row>
      <xdr:rowOff>97629</xdr:rowOff>
    </xdr:to>
    <xdr:sp macro="" textlink="">
      <xdr:nvSpPr>
        <xdr:cNvPr id="11" name="Rectangle: Top Corners Rounded 10">
          <a:extLst>
            <a:ext uri="{FF2B5EF4-FFF2-40B4-BE49-F238E27FC236}">
              <a16:creationId xmlns:a16="http://schemas.microsoft.com/office/drawing/2014/main" id="{00000000-0008-0000-0200-00000B000000}"/>
            </a:ext>
          </a:extLst>
        </xdr:cNvPr>
        <xdr:cNvSpPr/>
      </xdr:nvSpPr>
      <xdr:spPr>
        <a:xfrm rot="5400000">
          <a:off x="-768350" y="1088229"/>
          <a:ext cx="4940300" cy="3022600"/>
        </a:xfrm>
        <a:prstGeom prst="round2SameRect">
          <a:avLst>
            <a:gd name="adj1" fmla="val 0"/>
            <a:gd name="adj2" fmla="val 6017"/>
          </a:avLst>
        </a:prstGeom>
        <a:gradFill flip="none" rotWithShape="1">
          <a:gsLst>
            <a:gs pos="0">
              <a:schemeClr val="accent3">
                <a:lumMod val="40000"/>
                <a:lumOff val="60000"/>
                <a:shade val="30000"/>
                <a:satMod val="115000"/>
              </a:schemeClr>
            </a:gs>
            <a:gs pos="50000">
              <a:schemeClr val="accent3">
                <a:lumMod val="40000"/>
                <a:lumOff val="60000"/>
                <a:shade val="67500"/>
                <a:satMod val="115000"/>
              </a:schemeClr>
            </a:gs>
            <a:gs pos="100000">
              <a:schemeClr val="accent3">
                <a:lumMod val="40000"/>
                <a:lumOff val="60000"/>
                <a:shade val="100000"/>
                <a:satMod val="115000"/>
              </a:schemeClr>
            </a:gs>
          </a:gsLst>
          <a:lin ang="10800000" scaled="1"/>
          <a:tileRect/>
        </a:gra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282575</xdr:colOff>
      <xdr:row>3</xdr:row>
      <xdr:rowOff>115095</xdr:rowOff>
    </xdr:from>
    <xdr:to>
      <xdr:col>3</xdr:col>
      <xdr:colOff>474714</xdr:colOff>
      <xdr:row>3</xdr:row>
      <xdr:rowOff>115095</xdr:rowOff>
    </xdr:to>
    <xdr:cxnSp macro="">
      <xdr:nvCxnSpPr>
        <xdr:cNvPr id="13" name="Straight Connector 12">
          <a:extLst>
            <a:ext uri="{FF2B5EF4-FFF2-40B4-BE49-F238E27FC236}">
              <a16:creationId xmlns:a16="http://schemas.microsoft.com/office/drawing/2014/main" id="{00000000-0008-0000-0200-00000D000000}"/>
            </a:ext>
          </a:extLst>
        </xdr:cNvPr>
        <xdr:cNvCxnSpPr/>
      </xdr:nvCxnSpPr>
      <xdr:spPr>
        <a:xfrm>
          <a:off x="282575" y="667545"/>
          <a:ext cx="2020939"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358598</xdr:colOff>
      <xdr:row>1</xdr:row>
      <xdr:rowOff>14433</xdr:rowOff>
    </xdr:from>
    <xdr:to>
      <xdr:col>3</xdr:col>
      <xdr:colOff>359096</xdr:colOff>
      <xdr:row>3</xdr:row>
      <xdr:rowOff>102290</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358598" y="198583"/>
          <a:ext cx="1829298" cy="456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400">
              <a:solidFill>
                <a:schemeClr val="bg1"/>
              </a:solidFill>
              <a:latin typeface="Bahnschrift Light Condensed" panose="020B0502040204020203" pitchFamily="34" charset="0"/>
            </a:rPr>
            <a:t>LOGISTICTACTOE</a:t>
          </a:r>
        </a:p>
      </xdr:txBody>
    </xdr:sp>
    <xdr:clientData/>
  </xdr:twoCellAnchor>
  <xdr:twoCellAnchor>
    <xdr:from>
      <xdr:col>3</xdr:col>
      <xdr:colOff>306822</xdr:colOff>
      <xdr:row>0</xdr:row>
      <xdr:rowOff>0</xdr:rowOff>
    </xdr:from>
    <xdr:to>
      <xdr:col>5</xdr:col>
      <xdr:colOff>3063</xdr:colOff>
      <xdr:row>4</xdr:row>
      <xdr:rowOff>177317</xdr:rowOff>
    </xdr:to>
    <xdr:pic>
      <xdr:nvPicPr>
        <xdr:cNvPr id="15" name="Graphic 14" descr="Truck with solid fill">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135622" y="0"/>
          <a:ext cx="915441" cy="913917"/>
        </a:xfrm>
        <a:prstGeom prst="rect">
          <a:avLst/>
        </a:prstGeom>
      </xdr:spPr>
    </xdr:pic>
    <xdr:clientData/>
  </xdr:twoCellAnchor>
  <xdr:twoCellAnchor>
    <xdr:from>
      <xdr:col>0</xdr:col>
      <xdr:colOff>301581</xdr:colOff>
      <xdr:row>3</xdr:row>
      <xdr:rowOff>121497</xdr:rowOff>
    </xdr:from>
    <xdr:to>
      <xdr:col>4</xdr:col>
      <xdr:colOff>400050</xdr:colOff>
      <xdr:row>5</xdr:row>
      <xdr:rowOff>52501</xdr:rowOff>
    </xdr:to>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301581" y="673947"/>
          <a:ext cx="2536869" cy="299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800" b="1">
              <a:latin typeface="Courier New" panose="02070309020205020404" pitchFamily="49" charset="0"/>
              <a:cs typeface="Courier New" panose="02070309020205020404" pitchFamily="49" charset="0"/>
            </a:rPr>
            <a:t>a</a:t>
          </a:r>
          <a:r>
            <a:rPr lang="en-ID" sz="800" b="1" baseline="0">
              <a:latin typeface="Courier New" panose="02070309020205020404" pitchFamily="49" charset="0"/>
              <a:cs typeface="Courier New" panose="02070309020205020404" pitchFamily="49" charset="0"/>
            </a:rPr>
            <a:t> trucking &amp; logistic service company</a:t>
          </a:r>
          <a:endParaRPr lang="en-ID" sz="800" b="1">
            <a:latin typeface="Courier New" panose="02070309020205020404" pitchFamily="49" charset="0"/>
            <a:cs typeface="Courier New" panose="02070309020205020404" pitchFamily="49" charset="0"/>
          </a:endParaRPr>
        </a:p>
      </xdr:txBody>
    </xdr:sp>
    <xdr:clientData/>
  </xdr:twoCellAnchor>
  <xdr:twoCellAnchor>
    <xdr:from>
      <xdr:col>0</xdr:col>
      <xdr:colOff>279400</xdr:colOff>
      <xdr:row>16</xdr:row>
      <xdr:rowOff>12701</xdr:rowOff>
    </xdr:from>
    <xdr:to>
      <xdr:col>3</xdr:col>
      <xdr:colOff>333498</xdr:colOff>
      <xdr:row>19</xdr:row>
      <xdr:rowOff>55585</xdr:rowOff>
    </xdr:to>
    <xdr:grpSp>
      <xdr:nvGrpSpPr>
        <xdr:cNvPr id="17" name="Group 16">
          <a:hlinkClick xmlns:r="http://schemas.openxmlformats.org/officeDocument/2006/relationships" r:id="rId5"/>
          <a:extLst>
            <a:ext uri="{FF2B5EF4-FFF2-40B4-BE49-F238E27FC236}">
              <a16:creationId xmlns:a16="http://schemas.microsoft.com/office/drawing/2014/main" id="{00000000-0008-0000-0200-000011000000}"/>
            </a:ext>
          </a:extLst>
        </xdr:cNvPr>
        <xdr:cNvGrpSpPr/>
      </xdr:nvGrpSpPr>
      <xdr:grpSpPr>
        <a:xfrm>
          <a:off x="279400" y="2959101"/>
          <a:ext cx="1882898" cy="595334"/>
          <a:chOff x="369957" y="1898558"/>
          <a:chExt cx="2044148" cy="646319"/>
        </a:xfrm>
      </xdr:grpSpPr>
      <xdr:sp macro="" textlink="">
        <xdr:nvSpPr>
          <xdr:cNvPr id="18" name="Rectangle: Rounded Corners 17">
            <a:extLst>
              <a:ext uri="{FF2B5EF4-FFF2-40B4-BE49-F238E27FC236}">
                <a16:creationId xmlns:a16="http://schemas.microsoft.com/office/drawing/2014/main" id="{00000000-0008-0000-0200-000012000000}"/>
              </a:ext>
            </a:extLst>
          </xdr:cNvPr>
          <xdr:cNvSpPr/>
        </xdr:nvSpPr>
        <xdr:spPr>
          <a:xfrm>
            <a:off x="369957" y="1898558"/>
            <a:ext cx="2044148" cy="646319"/>
          </a:xfrm>
          <a:prstGeom prst="roundRect">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856842" y="2033012"/>
            <a:ext cx="1326689" cy="37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REVENUE</a:t>
            </a:r>
          </a:p>
        </xdr:txBody>
      </xdr:sp>
      <xdr:pic>
        <xdr:nvPicPr>
          <xdr:cNvPr id="20" name="Graphic 19" descr="Coins with solid fill">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56435" y="2007987"/>
            <a:ext cx="412687" cy="413906"/>
          </a:xfrm>
          <a:prstGeom prst="rect">
            <a:avLst/>
          </a:prstGeom>
        </xdr:spPr>
      </xdr:pic>
    </xdr:grpSp>
    <xdr:clientData/>
  </xdr:twoCellAnchor>
  <xdr:twoCellAnchor>
    <xdr:from>
      <xdr:col>0</xdr:col>
      <xdr:colOff>279400</xdr:colOff>
      <xdr:row>19</xdr:row>
      <xdr:rowOff>151555</xdr:rowOff>
    </xdr:from>
    <xdr:to>
      <xdr:col>3</xdr:col>
      <xdr:colOff>333500</xdr:colOff>
      <xdr:row>23</xdr:row>
      <xdr:rowOff>12069</xdr:rowOff>
    </xdr:to>
    <xdr:grpSp>
      <xdr:nvGrpSpPr>
        <xdr:cNvPr id="21" name="Group 20">
          <a:hlinkClick xmlns:r="http://schemas.openxmlformats.org/officeDocument/2006/relationships" r:id="rId8"/>
          <a:extLst>
            <a:ext uri="{FF2B5EF4-FFF2-40B4-BE49-F238E27FC236}">
              <a16:creationId xmlns:a16="http://schemas.microsoft.com/office/drawing/2014/main" id="{00000000-0008-0000-0200-000015000000}"/>
            </a:ext>
          </a:extLst>
        </xdr:cNvPr>
        <xdr:cNvGrpSpPr/>
      </xdr:nvGrpSpPr>
      <xdr:grpSpPr>
        <a:xfrm>
          <a:off x="279400" y="3650405"/>
          <a:ext cx="1882900" cy="597114"/>
          <a:chOff x="369957" y="2697738"/>
          <a:chExt cx="2044148" cy="648251"/>
        </a:xfrm>
      </xdr:grpSpPr>
      <xdr:sp macro="" textlink="">
        <xdr:nvSpPr>
          <xdr:cNvPr id="22" name="Rectangle: Rounded Corners 21">
            <a:extLst>
              <a:ext uri="{FF2B5EF4-FFF2-40B4-BE49-F238E27FC236}">
                <a16:creationId xmlns:a16="http://schemas.microsoft.com/office/drawing/2014/main" id="{00000000-0008-0000-0200-000016000000}"/>
              </a:ext>
            </a:extLst>
          </xdr:cNvPr>
          <xdr:cNvSpPr/>
        </xdr:nvSpPr>
        <xdr:spPr>
          <a:xfrm>
            <a:off x="369957" y="2697738"/>
            <a:ext cx="2044148" cy="648251"/>
          </a:xfrm>
          <a:prstGeom prst="roundRect">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856842" y="2832192"/>
            <a:ext cx="1443380" cy="37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OPERATIONAL</a:t>
            </a:r>
            <a:endParaRPr lang="en-ID" sz="1050" b="1">
              <a:solidFill>
                <a:schemeClr val="accent3">
                  <a:lumMod val="75000"/>
                </a:schemeClr>
              </a:solidFill>
              <a:latin typeface="Microsoft YaHei UI" panose="020B0503020204020204" pitchFamily="34" charset="-122"/>
              <a:ea typeface="Microsoft YaHei UI" panose="020B0503020204020204" pitchFamily="34" charset="-122"/>
            </a:endParaRPr>
          </a:p>
        </xdr:txBody>
      </xdr:sp>
      <xdr:pic>
        <xdr:nvPicPr>
          <xdr:cNvPr id="24" name="Graphic 23" descr="Gears with solid fill">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30751" y="2775752"/>
            <a:ext cx="494591" cy="492223"/>
          </a:xfrm>
          <a:prstGeom prst="rect">
            <a:avLst/>
          </a:prstGeom>
        </xdr:spPr>
      </xdr:pic>
    </xdr:grpSp>
    <xdr:clientData/>
  </xdr:twoCellAnchor>
  <xdr:twoCellAnchor>
    <xdr:from>
      <xdr:col>0</xdr:col>
      <xdr:colOff>279400</xdr:colOff>
      <xdr:row>23</xdr:row>
      <xdr:rowOff>108040</xdr:rowOff>
    </xdr:from>
    <xdr:to>
      <xdr:col>3</xdr:col>
      <xdr:colOff>333498</xdr:colOff>
      <xdr:row>26</xdr:row>
      <xdr:rowOff>150924</xdr:rowOff>
    </xdr:to>
    <xdr:grpSp>
      <xdr:nvGrpSpPr>
        <xdr:cNvPr id="25" name="Group 24">
          <a:hlinkClick xmlns:r="http://schemas.openxmlformats.org/officeDocument/2006/relationships" r:id="rId11"/>
          <a:extLst>
            <a:ext uri="{FF2B5EF4-FFF2-40B4-BE49-F238E27FC236}">
              <a16:creationId xmlns:a16="http://schemas.microsoft.com/office/drawing/2014/main" id="{00000000-0008-0000-0200-000019000000}"/>
            </a:ext>
          </a:extLst>
        </xdr:cNvPr>
        <xdr:cNvGrpSpPr/>
      </xdr:nvGrpSpPr>
      <xdr:grpSpPr>
        <a:xfrm>
          <a:off x="279400" y="4343490"/>
          <a:ext cx="1882898" cy="595334"/>
          <a:chOff x="369956" y="3498848"/>
          <a:chExt cx="2044148" cy="646318"/>
        </a:xfrm>
      </xdr:grpSpPr>
      <xdr:grpSp>
        <xdr:nvGrpSpPr>
          <xdr:cNvPr id="26" name="Group 25">
            <a:extLst>
              <a:ext uri="{FF2B5EF4-FFF2-40B4-BE49-F238E27FC236}">
                <a16:creationId xmlns:a16="http://schemas.microsoft.com/office/drawing/2014/main" id="{00000000-0008-0000-0200-00001A000000}"/>
              </a:ext>
            </a:extLst>
          </xdr:cNvPr>
          <xdr:cNvGrpSpPr/>
        </xdr:nvGrpSpPr>
        <xdr:grpSpPr>
          <a:xfrm>
            <a:off x="369956" y="3498848"/>
            <a:ext cx="2044148" cy="646318"/>
            <a:chOff x="369955" y="1087781"/>
            <a:chExt cx="2390914" cy="640521"/>
          </a:xfrm>
        </xdr:grpSpPr>
        <xdr:sp macro="" textlink="">
          <xdr:nvSpPr>
            <xdr:cNvPr id="30" name="Rectangle: Rounded Corners 29">
              <a:extLst>
                <a:ext uri="{FF2B5EF4-FFF2-40B4-BE49-F238E27FC236}">
                  <a16:creationId xmlns:a16="http://schemas.microsoft.com/office/drawing/2014/main" id="{00000000-0008-0000-0200-00001E000000}"/>
                </a:ext>
              </a:extLst>
            </xdr:cNvPr>
            <xdr:cNvSpPr/>
          </xdr:nvSpPr>
          <xdr:spPr>
            <a:xfrm>
              <a:off x="369955" y="1087781"/>
              <a:ext cx="2390914" cy="640521"/>
            </a:xfrm>
            <a:prstGeom prst="roundRect">
              <a:avLst/>
            </a:prstGeom>
            <a:solidFill>
              <a:schemeClr val="accent3">
                <a:lumMod val="20000"/>
                <a:lumOff val="80000"/>
              </a:schemeClr>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31" name="TextBox 30">
              <a:extLst>
                <a:ext uri="{FF2B5EF4-FFF2-40B4-BE49-F238E27FC236}">
                  <a16:creationId xmlns:a16="http://schemas.microsoft.com/office/drawing/2014/main" id="{00000000-0008-0000-0200-00001F000000}"/>
                </a:ext>
              </a:extLst>
            </xdr:cNvPr>
            <xdr:cNvSpPr txBox="1"/>
          </xdr:nvSpPr>
          <xdr:spPr>
            <a:xfrm>
              <a:off x="938695" y="1220304"/>
              <a:ext cx="1692584" cy="375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75000"/>
                    </a:schemeClr>
                  </a:solidFill>
                  <a:latin typeface="Microsoft YaHei UI" panose="020B0503020204020204" pitchFamily="34" charset="-122"/>
                  <a:ea typeface="Microsoft YaHei UI" panose="020B0503020204020204" pitchFamily="34" charset="-122"/>
                </a:rPr>
                <a:t>SERVICE LEVEL</a:t>
              </a:r>
              <a:endParaRPr lang="en-ID" sz="1050" b="1">
                <a:solidFill>
                  <a:schemeClr val="accent3">
                    <a:lumMod val="75000"/>
                  </a:schemeClr>
                </a:solidFill>
                <a:latin typeface="Microsoft YaHei UI" panose="020B0503020204020204" pitchFamily="34" charset="-122"/>
                <a:ea typeface="Microsoft YaHei UI" panose="020B0503020204020204" pitchFamily="34" charset="-122"/>
              </a:endParaRPr>
            </a:p>
          </xdr:txBody>
        </xdr:sp>
      </xdr:grpSp>
      <xdr:grpSp>
        <xdr:nvGrpSpPr>
          <xdr:cNvPr id="27" name="Group 26">
            <a:extLst>
              <a:ext uri="{FF2B5EF4-FFF2-40B4-BE49-F238E27FC236}">
                <a16:creationId xmlns:a16="http://schemas.microsoft.com/office/drawing/2014/main" id="{00000000-0008-0000-0200-00001B000000}"/>
              </a:ext>
            </a:extLst>
          </xdr:cNvPr>
          <xdr:cNvGrpSpPr/>
        </xdr:nvGrpSpPr>
        <xdr:grpSpPr>
          <a:xfrm>
            <a:off x="483512" y="3636134"/>
            <a:ext cx="422722" cy="372669"/>
            <a:chOff x="457759" y="3590192"/>
            <a:chExt cx="524049" cy="464561"/>
          </a:xfrm>
        </xdr:grpSpPr>
        <xdr:pic>
          <xdr:nvPicPr>
            <xdr:cNvPr id="28" name="Graphic 27" descr="Call center with solid fill">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31700" y="3597871"/>
              <a:ext cx="450108" cy="456882"/>
            </a:xfrm>
            <a:prstGeom prst="rect">
              <a:avLst/>
            </a:prstGeom>
          </xdr:spPr>
        </xdr:pic>
        <xdr:pic>
          <xdr:nvPicPr>
            <xdr:cNvPr id="29" name="Graphic 28" descr="Clock with solid fill">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7759" y="3590192"/>
              <a:ext cx="308862" cy="313508"/>
            </a:xfrm>
            <a:prstGeom prst="rect">
              <a:avLst/>
            </a:prstGeom>
          </xdr:spPr>
        </xdr:pic>
      </xdr:grpSp>
    </xdr:grpSp>
    <xdr:clientData/>
  </xdr:twoCellAnchor>
  <xdr:twoCellAnchor>
    <xdr:from>
      <xdr:col>0</xdr:col>
      <xdr:colOff>279400</xdr:colOff>
      <xdr:row>9</xdr:row>
      <xdr:rowOff>31750</xdr:rowOff>
    </xdr:from>
    <xdr:to>
      <xdr:col>4</xdr:col>
      <xdr:colOff>590550</xdr:colOff>
      <xdr:row>15</xdr:row>
      <xdr:rowOff>69850</xdr:rowOff>
    </xdr:to>
    <xdr:sp macro="" textlink="">
      <xdr:nvSpPr>
        <xdr:cNvPr id="33" name="Rectangle: Rounded Corners 32">
          <a:extLst>
            <a:ext uri="{FF2B5EF4-FFF2-40B4-BE49-F238E27FC236}">
              <a16:creationId xmlns:a16="http://schemas.microsoft.com/office/drawing/2014/main" id="{00000000-0008-0000-0200-000021000000}"/>
            </a:ext>
          </a:extLst>
        </xdr:cNvPr>
        <xdr:cNvSpPr/>
      </xdr:nvSpPr>
      <xdr:spPr>
        <a:xfrm>
          <a:off x="279400" y="1689100"/>
          <a:ext cx="2749550" cy="1143000"/>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304800</xdr:colOff>
      <xdr:row>8</xdr:row>
      <xdr:rowOff>69850</xdr:rowOff>
    </xdr:from>
    <xdr:to>
      <xdr:col>4</xdr:col>
      <xdr:colOff>566400</xdr:colOff>
      <xdr:row>14</xdr:row>
      <xdr:rowOff>171450</xdr:rowOff>
    </xdr:to>
    <mc:AlternateContent xmlns:mc="http://schemas.openxmlformats.org/markup-compatibility/2006" xmlns:tsle="http://schemas.microsoft.com/office/drawing/2012/timeslicer">
      <mc:Choice Requires="tsle">
        <xdr:graphicFrame macro="">
          <xdr:nvGraphicFramePr>
            <xdr:cNvPr id="34" name="DeliveryDate 2">
              <a:extLst>
                <a:ext uri="{FF2B5EF4-FFF2-40B4-BE49-F238E27FC236}">
                  <a16:creationId xmlns:a16="http://schemas.microsoft.com/office/drawing/2014/main" id="{00000000-0008-0000-0200-000022000000}"/>
                </a:ext>
              </a:extLst>
            </xdr:cNvPr>
            <xdr:cNvGraphicFramePr/>
          </xdr:nvGraphicFramePr>
          <xdr:xfrm>
            <a:off x="0" y="0"/>
            <a:ext cx="0" cy="0"/>
          </xdr:xfrm>
          <a:graphic>
            <a:graphicData uri="http://schemas.microsoft.com/office/drawing/2012/timeslicer">
              <tsle:timeslicer name="DeliveryDate 2"/>
            </a:graphicData>
          </a:graphic>
        </xdr:graphicFrame>
      </mc:Choice>
      <mc:Fallback xmlns="">
        <xdr:sp macro="" textlink="">
          <xdr:nvSpPr>
            <xdr:cNvPr id="0" name=""/>
            <xdr:cNvSpPr>
              <a:spLocks noTextEdit="1"/>
            </xdr:cNvSpPr>
          </xdr:nvSpPr>
          <xdr:spPr>
            <a:xfrm>
              <a:off x="304800" y="1543050"/>
              <a:ext cx="2700000" cy="12065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11</xdr:col>
      <xdr:colOff>85650</xdr:colOff>
      <xdr:row>1</xdr:row>
      <xdr:rowOff>31751</xdr:rowOff>
    </xdr:from>
    <xdr:to>
      <xdr:col>18</xdr:col>
      <xdr:colOff>262165</xdr:colOff>
      <xdr:row>16</xdr:row>
      <xdr:rowOff>21873</xdr:rowOff>
    </xdr:to>
    <xdr:sp macro="" textlink="">
      <xdr:nvSpPr>
        <xdr:cNvPr id="35" name="Rectangle: Rounded Corners 34">
          <a:extLst>
            <a:ext uri="{FF2B5EF4-FFF2-40B4-BE49-F238E27FC236}">
              <a16:creationId xmlns:a16="http://schemas.microsoft.com/office/drawing/2014/main" id="{00000000-0008-0000-0200-000023000000}"/>
            </a:ext>
          </a:extLst>
        </xdr:cNvPr>
        <xdr:cNvSpPr/>
      </xdr:nvSpPr>
      <xdr:spPr>
        <a:xfrm>
          <a:off x="6791250" y="215901"/>
          <a:ext cx="4443715" cy="2752372"/>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204403</xdr:colOff>
      <xdr:row>1</xdr:row>
      <xdr:rowOff>73942</xdr:rowOff>
    </xdr:from>
    <xdr:to>
      <xdr:col>18</xdr:col>
      <xdr:colOff>138044</xdr:colOff>
      <xdr:row>3</xdr:row>
      <xdr:rowOff>40599</xdr:rowOff>
    </xdr:to>
    <xdr:sp macro="" textlink="">
      <xdr:nvSpPr>
        <xdr:cNvPr id="36" name="TextBox 35">
          <a:extLst>
            <a:ext uri="{FF2B5EF4-FFF2-40B4-BE49-F238E27FC236}">
              <a16:creationId xmlns:a16="http://schemas.microsoft.com/office/drawing/2014/main" id="{00000000-0008-0000-0200-000024000000}"/>
            </a:ext>
          </a:extLst>
        </xdr:cNvPr>
        <xdr:cNvSpPr txBox="1"/>
      </xdr:nvSpPr>
      <xdr:spPr>
        <a:xfrm>
          <a:off x="6910003" y="258092"/>
          <a:ext cx="4200841" cy="334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50000"/>
                </a:schemeClr>
              </a:solidFill>
              <a:latin typeface="Microsoft YaHei UI" panose="020B0503020204020204" pitchFamily="34" charset="-122"/>
              <a:ea typeface="Microsoft YaHei UI" panose="020B0503020204020204" pitchFamily="34" charset="-122"/>
            </a:rPr>
            <a:t>Shipment Status Rate</a:t>
          </a:r>
        </a:p>
      </xdr:txBody>
    </xdr:sp>
    <xdr:clientData/>
  </xdr:twoCellAnchor>
  <xdr:twoCellAnchor>
    <xdr:from>
      <xdr:col>10</xdr:col>
      <xdr:colOff>147483</xdr:colOff>
      <xdr:row>16</xdr:row>
      <xdr:rowOff>120540</xdr:rowOff>
    </xdr:from>
    <xdr:to>
      <xdr:col>18</xdr:col>
      <xdr:colOff>310683</xdr:colOff>
      <xdr:row>26</xdr:row>
      <xdr:rowOff>80149</xdr:rowOff>
    </xdr:to>
    <xdr:sp macro="" textlink="">
      <xdr:nvSpPr>
        <xdr:cNvPr id="37" name="Rectangle: Rounded Corners 36">
          <a:extLst>
            <a:ext uri="{FF2B5EF4-FFF2-40B4-BE49-F238E27FC236}">
              <a16:creationId xmlns:a16="http://schemas.microsoft.com/office/drawing/2014/main" id="{00000000-0008-0000-0200-000025000000}"/>
            </a:ext>
          </a:extLst>
        </xdr:cNvPr>
        <xdr:cNvSpPr/>
      </xdr:nvSpPr>
      <xdr:spPr>
        <a:xfrm>
          <a:off x="6234724" y="3063437"/>
          <a:ext cx="5032993" cy="1798919"/>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10</xdr:col>
      <xdr:colOff>209007</xdr:colOff>
      <xdr:row>16</xdr:row>
      <xdr:rowOff>160564</xdr:rowOff>
    </xdr:from>
    <xdr:to>
      <xdr:col>18</xdr:col>
      <xdr:colOff>122583</xdr:colOff>
      <xdr:row>18</xdr:row>
      <xdr:rowOff>127477</xdr:rowOff>
    </xdr:to>
    <xdr:sp macro="" textlink="">
      <xdr:nvSpPr>
        <xdr:cNvPr id="38" name="TextBox 37">
          <a:extLst>
            <a:ext uri="{FF2B5EF4-FFF2-40B4-BE49-F238E27FC236}">
              <a16:creationId xmlns:a16="http://schemas.microsoft.com/office/drawing/2014/main" id="{00000000-0008-0000-0200-000026000000}"/>
            </a:ext>
          </a:extLst>
        </xdr:cNvPr>
        <xdr:cNvSpPr txBox="1"/>
      </xdr:nvSpPr>
      <xdr:spPr>
        <a:xfrm>
          <a:off x="6305007" y="3106964"/>
          <a:ext cx="4790376" cy="335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chemeClr val="accent3">
                  <a:lumMod val="50000"/>
                </a:schemeClr>
              </a:solidFill>
              <a:latin typeface="Microsoft YaHei UI" panose="020B0503020204020204" pitchFamily="34" charset="-122"/>
              <a:ea typeface="Microsoft YaHei UI" panose="020B0503020204020204" pitchFamily="34" charset="-122"/>
            </a:rPr>
            <a:t>Revenue Loss Analysis by Cancellation Causes</a:t>
          </a:r>
          <a:endParaRPr lang="en-ID" sz="1200" b="1" baseline="0">
            <a:solidFill>
              <a:schemeClr val="accent3">
                <a:lumMod val="50000"/>
              </a:schemeClr>
            </a:solidFill>
            <a:latin typeface="Microsoft YaHei UI" panose="020B0503020204020204" pitchFamily="34" charset="-122"/>
            <a:ea typeface="Microsoft YaHei UI" panose="020B0503020204020204" pitchFamily="34" charset="-122"/>
          </a:endParaRPr>
        </a:p>
      </xdr:txBody>
    </xdr:sp>
    <xdr:clientData/>
  </xdr:twoCellAnchor>
  <xdr:twoCellAnchor>
    <xdr:from>
      <xdr:col>0</xdr:col>
      <xdr:colOff>293368</xdr:colOff>
      <xdr:row>5</xdr:row>
      <xdr:rowOff>152400</xdr:rowOff>
    </xdr:from>
    <xdr:to>
      <xdr:col>5</xdr:col>
      <xdr:colOff>128266</xdr:colOff>
      <xdr:row>8</xdr:row>
      <xdr:rowOff>91440</xdr:rowOff>
    </xdr:to>
    <xdr:sp macro="" textlink="">
      <xdr:nvSpPr>
        <xdr:cNvPr id="40" name="Rectangle: Rounded Corners 39">
          <a:extLst>
            <a:ext uri="{FF2B5EF4-FFF2-40B4-BE49-F238E27FC236}">
              <a16:creationId xmlns:a16="http://schemas.microsoft.com/office/drawing/2014/main" id="{00000000-0008-0000-0200-000028000000}"/>
            </a:ext>
          </a:extLst>
        </xdr:cNvPr>
        <xdr:cNvSpPr/>
      </xdr:nvSpPr>
      <xdr:spPr>
        <a:xfrm>
          <a:off x="293368" y="1073150"/>
          <a:ext cx="2882898" cy="491490"/>
        </a:xfrm>
        <a:prstGeom prst="roundRect">
          <a:avLst>
            <a:gd name="adj" fmla="val 21607"/>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fLocksWithSheet="0"/>
  </xdr:twoCellAnchor>
  <xdr:twoCellAnchor>
    <xdr:from>
      <xdr:col>0</xdr:col>
      <xdr:colOff>325117</xdr:colOff>
      <xdr:row>6</xdr:row>
      <xdr:rowOff>1016</xdr:rowOff>
    </xdr:from>
    <xdr:to>
      <xdr:col>5</xdr:col>
      <xdr:colOff>96517</xdr:colOff>
      <xdr:row>8</xdr:row>
      <xdr:rowOff>58674</xdr:rowOff>
    </xdr:to>
    <mc:AlternateContent xmlns:mc="http://schemas.openxmlformats.org/markup-compatibility/2006" xmlns:a14="http://schemas.microsoft.com/office/drawing/2010/main">
      <mc:Choice Requires="a14">
        <xdr:graphicFrame macro="">
          <xdr:nvGraphicFramePr>
            <xdr:cNvPr id="41" name="TruckType 2">
              <a:extLst>
                <a:ext uri="{FF2B5EF4-FFF2-40B4-BE49-F238E27FC236}">
                  <a16:creationId xmlns:a16="http://schemas.microsoft.com/office/drawing/2014/main" id="{00000000-0008-0000-0200-000029000000}"/>
                </a:ext>
              </a:extLst>
            </xdr:cNvPr>
            <xdr:cNvGraphicFramePr/>
          </xdr:nvGraphicFramePr>
          <xdr:xfrm>
            <a:off x="0" y="0"/>
            <a:ext cx="0" cy="0"/>
          </xdr:xfrm>
          <a:graphic>
            <a:graphicData uri="http://schemas.microsoft.com/office/drawing/2010/slicer">
              <sle:slicer xmlns:sle="http://schemas.microsoft.com/office/drawing/2010/slicer" name="TruckType 2"/>
            </a:graphicData>
          </a:graphic>
        </xdr:graphicFrame>
      </mc:Choice>
      <mc:Fallback xmlns="">
        <xdr:sp macro="" textlink="">
          <xdr:nvSpPr>
            <xdr:cNvPr id="0" name=""/>
            <xdr:cNvSpPr>
              <a:spLocks noTextEdit="1"/>
            </xdr:cNvSpPr>
          </xdr:nvSpPr>
          <xdr:spPr>
            <a:xfrm>
              <a:off x="325117" y="1105916"/>
              <a:ext cx="2819400" cy="42595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279912</xdr:colOff>
      <xdr:row>1</xdr:row>
      <xdr:rowOff>22108</xdr:rowOff>
    </xdr:from>
    <xdr:to>
      <xdr:col>7</xdr:col>
      <xdr:colOff>483994</xdr:colOff>
      <xdr:row>6</xdr:row>
      <xdr:rowOff>136597</xdr:rowOff>
    </xdr:to>
    <xdr:sp macro="" textlink="">
      <xdr:nvSpPr>
        <xdr:cNvPr id="43" name="Rectangle: Rounded Corners 42">
          <a:extLst>
            <a:ext uri="{FF2B5EF4-FFF2-40B4-BE49-F238E27FC236}">
              <a16:creationId xmlns:a16="http://schemas.microsoft.com/office/drawing/2014/main" id="{00000000-0008-0000-0200-00002B000000}"/>
            </a:ext>
          </a:extLst>
        </xdr:cNvPr>
        <xdr:cNvSpPr/>
      </xdr:nvSpPr>
      <xdr:spPr>
        <a:xfrm>
          <a:off x="3327912" y="206258"/>
          <a:ext cx="1423282" cy="1035239"/>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5</xdr:col>
      <xdr:colOff>160803</xdr:colOff>
      <xdr:row>1</xdr:row>
      <xdr:rowOff>38478</xdr:rowOff>
    </xdr:from>
    <xdr:to>
      <xdr:col>7</xdr:col>
      <xdr:colOff>591450</xdr:colOff>
      <xdr:row>3</xdr:row>
      <xdr:rowOff>9665</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3208803" y="222628"/>
          <a:ext cx="1649847" cy="33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Total</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 Order</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lientData/>
  </xdr:twoCellAnchor>
  <xdr:twoCellAnchor>
    <xdr:from>
      <xdr:col>5</xdr:col>
      <xdr:colOff>440513</xdr:colOff>
      <xdr:row>2</xdr:row>
      <xdr:rowOff>128939</xdr:rowOff>
    </xdr:from>
    <xdr:to>
      <xdr:col>7</xdr:col>
      <xdr:colOff>349603</xdr:colOff>
      <xdr:row>2</xdr:row>
      <xdr:rowOff>128939</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a:xfrm>
          <a:off x="3488513" y="497239"/>
          <a:ext cx="1128290"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388750</xdr:colOff>
      <xdr:row>3</xdr:row>
      <xdr:rowOff>118372</xdr:rowOff>
    </xdr:from>
    <xdr:to>
      <xdr:col>7</xdr:col>
      <xdr:colOff>363503</xdr:colOff>
      <xdr:row>6</xdr:row>
      <xdr:rowOff>149607</xdr:rowOff>
    </xdr:to>
    <xdr:graphicFrame macro="">
      <xdr:nvGraphicFramePr>
        <xdr:cNvPr id="46" name="Chart 2">
          <a:extLst>
            <a:ext uri="{FF2B5EF4-FFF2-40B4-BE49-F238E27FC236}">
              <a16:creationId xmlns:a16="http://schemas.microsoft.com/office/drawing/2014/main" id="{00000000-0008-0000-02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282358</xdr:colOff>
      <xdr:row>2</xdr:row>
      <xdr:rowOff>141752</xdr:rowOff>
    </xdr:from>
    <xdr:to>
      <xdr:col>7</xdr:col>
      <xdr:colOff>469899</xdr:colOff>
      <xdr:row>4</xdr:row>
      <xdr:rowOff>145350</xdr:rowOff>
    </xdr:to>
    <xdr:sp macro="" textlink="'Service Level'!E49">
      <xdr:nvSpPr>
        <xdr:cNvPr id="47" name="TextBox 46">
          <a:extLst>
            <a:ext uri="{FF2B5EF4-FFF2-40B4-BE49-F238E27FC236}">
              <a16:creationId xmlns:a16="http://schemas.microsoft.com/office/drawing/2014/main" id="{00000000-0008-0000-0200-00002F000000}"/>
            </a:ext>
          </a:extLst>
        </xdr:cNvPr>
        <xdr:cNvSpPr txBox="1"/>
      </xdr:nvSpPr>
      <xdr:spPr>
        <a:xfrm>
          <a:off x="3330358" y="510052"/>
          <a:ext cx="1406741" cy="371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E8522B-930E-4D11-B788-9A69E88DEDB5}" type="TxLink">
            <a:rPr lang="en-US" sz="14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100</a:t>
          </a:fld>
          <a:endParaRPr lang="en-US" sz="14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5</xdr:col>
      <xdr:colOff>249115</xdr:colOff>
      <xdr:row>13</xdr:row>
      <xdr:rowOff>19538</xdr:rowOff>
    </xdr:from>
    <xdr:to>
      <xdr:col>9</xdr:col>
      <xdr:colOff>605692</xdr:colOff>
      <xdr:row>26</xdr:row>
      <xdr:rowOff>85500</xdr:rowOff>
    </xdr:to>
    <xdr:sp macro="" textlink="">
      <xdr:nvSpPr>
        <xdr:cNvPr id="48" name="Rectangle: Rounded Corners 47">
          <a:extLst>
            <a:ext uri="{FF2B5EF4-FFF2-40B4-BE49-F238E27FC236}">
              <a16:creationId xmlns:a16="http://schemas.microsoft.com/office/drawing/2014/main" id="{00000000-0008-0000-0200-000030000000}"/>
            </a:ext>
          </a:extLst>
        </xdr:cNvPr>
        <xdr:cNvSpPr/>
      </xdr:nvSpPr>
      <xdr:spPr>
        <a:xfrm>
          <a:off x="3297115" y="2413488"/>
          <a:ext cx="2794977" cy="2459912"/>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552427</xdr:colOff>
      <xdr:row>1</xdr:row>
      <xdr:rowOff>19050</xdr:rowOff>
    </xdr:from>
    <xdr:to>
      <xdr:col>10</xdr:col>
      <xdr:colOff>565882</xdr:colOff>
      <xdr:row>6</xdr:row>
      <xdr:rowOff>171450</xdr:rowOff>
    </xdr:to>
    <xdr:sp macro="" textlink="">
      <xdr:nvSpPr>
        <xdr:cNvPr id="51" name="Rectangle: Rounded Corners 50">
          <a:extLst>
            <a:ext uri="{FF2B5EF4-FFF2-40B4-BE49-F238E27FC236}">
              <a16:creationId xmlns:a16="http://schemas.microsoft.com/office/drawing/2014/main" id="{00000000-0008-0000-0200-000033000000}"/>
            </a:ext>
          </a:extLst>
        </xdr:cNvPr>
        <xdr:cNvSpPr/>
      </xdr:nvSpPr>
      <xdr:spPr>
        <a:xfrm>
          <a:off x="4819627" y="203200"/>
          <a:ext cx="1842255" cy="1073150"/>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514350</xdr:colOff>
      <xdr:row>2</xdr:row>
      <xdr:rowOff>69850</xdr:rowOff>
    </xdr:from>
    <xdr:to>
      <xdr:col>11</xdr:col>
      <xdr:colOff>0</xdr:colOff>
      <xdr:row>10</xdr:row>
      <xdr:rowOff>6350</xdr:rowOff>
    </xdr:to>
    <xdr:graphicFrame macro="">
      <xdr:nvGraphicFramePr>
        <xdr:cNvPr id="101" name="Chart 100">
          <a:extLst>
            <a:ext uri="{FF2B5EF4-FFF2-40B4-BE49-F238E27FC236}">
              <a16:creationId xmlns:a16="http://schemas.microsoft.com/office/drawing/2014/main" id="{00000000-0008-0000-0200-00006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34148</xdr:colOff>
      <xdr:row>1</xdr:row>
      <xdr:rowOff>39100</xdr:rowOff>
    </xdr:from>
    <xdr:to>
      <xdr:col>10</xdr:col>
      <xdr:colOff>464152</xdr:colOff>
      <xdr:row>3</xdr:row>
      <xdr:rowOff>8346</xdr:rowOff>
    </xdr:to>
    <xdr:sp macro="" textlink="">
      <xdr:nvSpPr>
        <xdr:cNvPr id="52" name="TextBox 51">
          <a:extLst>
            <a:ext uri="{FF2B5EF4-FFF2-40B4-BE49-F238E27FC236}">
              <a16:creationId xmlns:a16="http://schemas.microsoft.com/office/drawing/2014/main" id="{00000000-0008-0000-0200-000034000000}"/>
            </a:ext>
          </a:extLst>
        </xdr:cNvPr>
        <xdr:cNvSpPr txBox="1"/>
      </xdr:nvSpPr>
      <xdr:spPr>
        <a:xfrm>
          <a:off x="4910948" y="223250"/>
          <a:ext cx="1649204" cy="337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a:solidFill>
                <a:schemeClr val="accent3">
                  <a:lumMod val="50000"/>
                </a:schemeClr>
              </a:solidFill>
              <a:latin typeface="Microsoft YaHei UI" panose="020B0503020204020204" pitchFamily="34" charset="-122"/>
              <a:ea typeface="Microsoft YaHei UI" panose="020B0503020204020204" pitchFamily="34" charset="-122"/>
            </a:rPr>
            <a:t>On-time</a:t>
          </a:r>
          <a:r>
            <a:rPr lang="en-ID" sz="1000" b="1" baseline="0">
              <a:solidFill>
                <a:schemeClr val="accent3">
                  <a:lumMod val="50000"/>
                </a:schemeClr>
              </a:solidFill>
              <a:latin typeface="Microsoft YaHei UI" panose="020B0503020204020204" pitchFamily="34" charset="-122"/>
              <a:ea typeface="Microsoft YaHei UI" panose="020B0503020204020204" pitchFamily="34" charset="-122"/>
            </a:rPr>
            <a:t> Rate (%)</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178376</xdr:colOff>
      <xdr:row>2</xdr:row>
      <xdr:rowOff>130125</xdr:rowOff>
    </xdr:from>
    <xdr:to>
      <xdr:col>10</xdr:col>
      <xdr:colOff>319924</xdr:colOff>
      <xdr:row>2</xdr:row>
      <xdr:rowOff>130125</xdr:rowOff>
    </xdr:to>
    <xdr:cxnSp macro="">
      <xdr:nvCxnSpPr>
        <xdr:cNvPr id="53" name="Straight Connector 52">
          <a:extLst>
            <a:ext uri="{FF2B5EF4-FFF2-40B4-BE49-F238E27FC236}">
              <a16:creationId xmlns:a16="http://schemas.microsoft.com/office/drawing/2014/main" id="{00000000-0008-0000-0200-000035000000}"/>
            </a:ext>
          </a:extLst>
        </xdr:cNvPr>
        <xdr:cNvCxnSpPr/>
      </xdr:nvCxnSpPr>
      <xdr:spPr>
        <a:xfrm>
          <a:off x="5055176" y="498425"/>
          <a:ext cx="1360748"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544740</xdr:colOff>
      <xdr:row>7</xdr:row>
      <xdr:rowOff>88900</xdr:rowOff>
    </xdr:from>
    <xdr:to>
      <xdr:col>10</xdr:col>
      <xdr:colOff>558566</xdr:colOff>
      <xdr:row>12</xdr:row>
      <xdr:rowOff>42823</xdr:rowOff>
    </xdr:to>
    <xdr:sp macro="" textlink="">
      <xdr:nvSpPr>
        <xdr:cNvPr id="68" name="Rectangle: Rounded Corners 67">
          <a:extLst>
            <a:ext uri="{FF2B5EF4-FFF2-40B4-BE49-F238E27FC236}">
              <a16:creationId xmlns:a16="http://schemas.microsoft.com/office/drawing/2014/main" id="{00000000-0008-0000-0200-000044000000}"/>
            </a:ext>
          </a:extLst>
        </xdr:cNvPr>
        <xdr:cNvSpPr/>
      </xdr:nvSpPr>
      <xdr:spPr>
        <a:xfrm>
          <a:off x="4811940" y="1377950"/>
          <a:ext cx="1842626" cy="874673"/>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50283</xdr:colOff>
      <xdr:row>7</xdr:row>
      <xdr:rowOff>159461</xdr:rowOff>
    </xdr:from>
    <xdr:to>
      <xdr:col>10</xdr:col>
      <xdr:colOff>475720</xdr:colOff>
      <xdr:row>9</xdr:row>
      <xdr:rowOff>128749</xdr:rowOff>
    </xdr:to>
    <xdr:sp macro="" textlink="">
      <xdr:nvSpPr>
        <xdr:cNvPr id="69" name="TextBox 68">
          <a:extLst>
            <a:ext uri="{FF2B5EF4-FFF2-40B4-BE49-F238E27FC236}">
              <a16:creationId xmlns:a16="http://schemas.microsoft.com/office/drawing/2014/main" id="{00000000-0008-0000-0200-000045000000}"/>
            </a:ext>
          </a:extLst>
        </xdr:cNvPr>
        <xdr:cNvSpPr txBox="1"/>
      </xdr:nvSpPr>
      <xdr:spPr>
        <a:xfrm>
          <a:off x="4927083" y="1448511"/>
          <a:ext cx="1644637" cy="337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u="none">
              <a:solidFill>
                <a:schemeClr val="accent3">
                  <a:lumMod val="50000"/>
                </a:schemeClr>
              </a:solidFill>
              <a:latin typeface="Microsoft YaHei UI" panose="020B0503020204020204" pitchFamily="34" charset="-122"/>
              <a:ea typeface="Microsoft YaHei UI" panose="020B0503020204020204" pitchFamily="34" charset="-122"/>
            </a:rPr>
            <a:t>Late</a:t>
          </a:r>
          <a:r>
            <a:rPr lang="en-ID" sz="1000" b="1" u="none" baseline="0">
              <a:solidFill>
                <a:schemeClr val="accent3">
                  <a:lumMod val="50000"/>
                </a:schemeClr>
              </a:solidFill>
              <a:latin typeface="Microsoft YaHei UI" panose="020B0503020204020204" pitchFamily="34" charset="-122"/>
              <a:ea typeface="Microsoft YaHei UI" panose="020B0503020204020204" pitchFamily="34" charset="-122"/>
            </a:rPr>
            <a:t> Rate (%)</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180000</xdr:colOff>
      <xdr:row>9</xdr:row>
      <xdr:rowOff>101761</xdr:rowOff>
    </xdr:from>
    <xdr:to>
      <xdr:col>10</xdr:col>
      <xdr:colOff>321278</xdr:colOff>
      <xdr:row>9</xdr:row>
      <xdr:rowOff>101761</xdr:rowOff>
    </xdr:to>
    <xdr:cxnSp macro="">
      <xdr:nvCxnSpPr>
        <xdr:cNvPr id="72" name="Straight Connector 71">
          <a:extLst>
            <a:ext uri="{FF2B5EF4-FFF2-40B4-BE49-F238E27FC236}">
              <a16:creationId xmlns:a16="http://schemas.microsoft.com/office/drawing/2014/main" id="{00000000-0008-0000-0200-000048000000}"/>
            </a:ext>
          </a:extLst>
        </xdr:cNvPr>
        <xdr:cNvCxnSpPr/>
      </xdr:nvCxnSpPr>
      <xdr:spPr>
        <a:xfrm>
          <a:off x="5056800" y="1759111"/>
          <a:ext cx="1360478"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279987</xdr:colOff>
      <xdr:row>7</xdr:row>
      <xdr:rowOff>88900</xdr:rowOff>
    </xdr:from>
    <xdr:to>
      <xdr:col>7</xdr:col>
      <xdr:colOff>483605</xdr:colOff>
      <xdr:row>12</xdr:row>
      <xdr:rowOff>42823</xdr:rowOff>
    </xdr:to>
    <xdr:grpSp>
      <xdr:nvGrpSpPr>
        <xdr:cNvPr id="73" name="Group 72">
          <a:extLst>
            <a:ext uri="{FF2B5EF4-FFF2-40B4-BE49-F238E27FC236}">
              <a16:creationId xmlns:a16="http://schemas.microsoft.com/office/drawing/2014/main" id="{00000000-0008-0000-0200-000049000000}"/>
            </a:ext>
          </a:extLst>
        </xdr:cNvPr>
        <xdr:cNvGrpSpPr/>
      </xdr:nvGrpSpPr>
      <xdr:grpSpPr>
        <a:xfrm>
          <a:off x="3327987" y="1377950"/>
          <a:ext cx="1422818" cy="874673"/>
          <a:chOff x="3342928" y="1396253"/>
          <a:chExt cx="1428795" cy="893769"/>
        </a:xfrm>
      </xdr:grpSpPr>
      <xdr:sp macro="" textlink="">
        <xdr:nvSpPr>
          <xdr:cNvPr id="74" name="Rectangle: Rounded Corners 73">
            <a:extLst>
              <a:ext uri="{FF2B5EF4-FFF2-40B4-BE49-F238E27FC236}">
                <a16:creationId xmlns:a16="http://schemas.microsoft.com/office/drawing/2014/main" id="{00000000-0008-0000-0200-00004A000000}"/>
              </a:ext>
            </a:extLst>
          </xdr:cNvPr>
          <xdr:cNvSpPr/>
        </xdr:nvSpPr>
        <xdr:spPr>
          <a:xfrm>
            <a:off x="3342928" y="1396253"/>
            <a:ext cx="1428795" cy="893769"/>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nvGrpSpPr>
          <xdr:cNvPr id="75" name="Group 74">
            <a:extLst>
              <a:ext uri="{FF2B5EF4-FFF2-40B4-BE49-F238E27FC236}">
                <a16:creationId xmlns:a16="http://schemas.microsoft.com/office/drawing/2014/main" id="{00000000-0008-0000-0200-00004B000000}"/>
              </a:ext>
            </a:extLst>
          </xdr:cNvPr>
          <xdr:cNvGrpSpPr/>
        </xdr:nvGrpSpPr>
        <xdr:grpSpPr>
          <a:xfrm>
            <a:off x="3360464" y="1591343"/>
            <a:ext cx="1133722" cy="642332"/>
            <a:chOff x="5049555" y="2235618"/>
            <a:chExt cx="1164832" cy="655860"/>
          </a:xfrm>
        </xdr:grpSpPr>
        <xdr:sp macro="" textlink="">
          <xdr:nvSpPr>
            <xdr:cNvPr id="78" name="TextBox 77">
              <a:extLst>
                <a:ext uri="{FF2B5EF4-FFF2-40B4-BE49-F238E27FC236}">
                  <a16:creationId xmlns:a16="http://schemas.microsoft.com/office/drawing/2014/main" id="{00000000-0008-0000-0200-00004E000000}"/>
                </a:ext>
              </a:extLst>
            </xdr:cNvPr>
            <xdr:cNvSpPr txBox="1"/>
          </xdr:nvSpPr>
          <xdr:spPr>
            <a:xfrm>
              <a:off x="5139591" y="2235618"/>
              <a:ext cx="517939" cy="3260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D" sz="1050" b="1">
                  <a:solidFill>
                    <a:schemeClr val="accent3">
                      <a:lumMod val="20000"/>
                      <a:lumOff val="80000"/>
                    </a:schemeClr>
                  </a:solidFill>
                  <a:latin typeface="Microsoft YaHei UI" panose="020B0503020204020204" pitchFamily="34" charset="-122"/>
                  <a:ea typeface="Microsoft YaHei UI" panose="020B0503020204020204" pitchFamily="34" charset="-122"/>
                  <a:cs typeface="+mn-cs"/>
                </a:rPr>
                <a:t>UP T</a:t>
              </a:r>
            </a:p>
          </xdr:txBody>
        </xdr:sp>
        <xdr:grpSp>
          <xdr:nvGrpSpPr>
            <xdr:cNvPr id="80" name="Group 79">
              <a:extLst>
                <a:ext uri="{FF2B5EF4-FFF2-40B4-BE49-F238E27FC236}">
                  <a16:creationId xmlns:a16="http://schemas.microsoft.com/office/drawing/2014/main" id="{00000000-0008-0000-0200-000050000000}"/>
                </a:ext>
              </a:extLst>
            </xdr:cNvPr>
            <xdr:cNvGrpSpPr/>
          </xdr:nvGrpSpPr>
          <xdr:grpSpPr>
            <a:xfrm>
              <a:off x="5049555" y="2628623"/>
              <a:ext cx="1164832" cy="262855"/>
              <a:chOff x="5025133" y="2613967"/>
              <a:chExt cx="1164832" cy="262855"/>
            </a:xfrm>
          </xdr:grpSpPr>
          <xdr:sp macro="" textlink="">
            <xdr:nvSpPr>
              <xdr:cNvPr id="81" name="TextBox 80">
                <a:extLst>
                  <a:ext uri="{FF2B5EF4-FFF2-40B4-BE49-F238E27FC236}">
                    <a16:creationId xmlns:a16="http://schemas.microsoft.com/office/drawing/2014/main" id="{00000000-0008-0000-0200-000051000000}"/>
                  </a:ext>
                </a:extLst>
              </xdr:cNvPr>
              <xdr:cNvSpPr txBox="1"/>
            </xdr:nvSpPr>
            <xdr:spPr>
              <a:xfrm>
                <a:off x="5842418" y="2613967"/>
                <a:ext cx="347547" cy="262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D" sz="800" b="1">
                    <a:solidFill>
                      <a:schemeClr val="accent3">
                        <a:lumMod val="20000"/>
                        <a:lumOff val="80000"/>
                      </a:schemeClr>
                    </a:solidFill>
                    <a:latin typeface="Microsoft YaHei UI" panose="020B0503020204020204" pitchFamily="34" charset="-122"/>
                    <a:ea typeface="Microsoft YaHei UI" panose="020B0503020204020204" pitchFamily="34" charset="-122"/>
                    <a:cs typeface="+mn-cs"/>
                  </a:rPr>
                  <a:t>km</a:t>
                </a:r>
              </a:p>
            </xdr:txBody>
          </xdr:sp>
          <xdr:sp macro="" textlink="Operational!I16">
            <xdr:nvSpPr>
              <xdr:cNvPr id="82" name="TextBox 81">
                <a:extLst>
                  <a:ext uri="{FF2B5EF4-FFF2-40B4-BE49-F238E27FC236}">
                    <a16:creationId xmlns:a16="http://schemas.microsoft.com/office/drawing/2014/main" id="{00000000-0008-0000-0200-000052000000}"/>
                  </a:ext>
                </a:extLst>
              </xdr:cNvPr>
              <xdr:cNvSpPr txBox="1"/>
            </xdr:nvSpPr>
            <xdr:spPr>
              <a:xfrm>
                <a:off x="5025133" y="2622437"/>
                <a:ext cx="963969" cy="192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FC74D3-15B9-4953-B399-F9B49025DE03}" type="TxLink">
                  <a:rPr lang="en-US" sz="1600" b="1" i="0" u="none" strike="noStrike">
                    <a:solidFill>
                      <a:schemeClr val="accent3">
                        <a:lumMod val="20000"/>
                        <a:lumOff val="80000"/>
                      </a:schemeClr>
                    </a:solidFill>
                    <a:latin typeface="Microsoft YaHei UI" panose="020B0503020204020204" pitchFamily="34" charset="-122"/>
                    <a:ea typeface="Microsoft YaHei UI" panose="020B0503020204020204" pitchFamily="34" charset="-122"/>
                    <a:cs typeface="Calibri"/>
                  </a:rPr>
                  <a:pPr marL="0" indent="0" algn="ctr"/>
                  <a:t> 49.628 </a:t>
                </a:fld>
                <a:endParaRPr lang="en-US" sz="1600" b="1" i="0" u="none" strike="noStrike">
                  <a:solidFill>
                    <a:schemeClr val="accent3">
                      <a:lumMod val="20000"/>
                      <a:lumOff val="80000"/>
                    </a:schemeClr>
                  </a:solidFill>
                  <a:latin typeface="Microsoft YaHei UI" panose="020B0503020204020204" pitchFamily="34" charset="-122"/>
                  <a:ea typeface="Microsoft YaHei UI" panose="020B0503020204020204" pitchFamily="34" charset="-122"/>
                  <a:cs typeface="Calibri"/>
                </a:endParaRPr>
              </a:p>
            </xdr:txBody>
          </xdr:sp>
        </xdr:grpSp>
      </xdr:grpSp>
    </xdr:grpSp>
    <xdr:clientData/>
  </xdr:twoCellAnchor>
  <xdr:twoCellAnchor>
    <xdr:from>
      <xdr:col>5</xdr:col>
      <xdr:colOff>428381</xdr:colOff>
      <xdr:row>13</xdr:row>
      <xdr:rowOff>72117</xdr:rowOff>
    </xdr:from>
    <xdr:to>
      <xdr:col>9</xdr:col>
      <xdr:colOff>425451</xdr:colOff>
      <xdr:row>14</xdr:row>
      <xdr:rowOff>175843</xdr:rowOff>
    </xdr:to>
    <xdr:sp macro="" textlink="">
      <xdr:nvSpPr>
        <xdr:cNvPr id="83" name="TextBox 82">
          <a:extLst>
            <a:ext uri="{FF2B5EF4-FFF2-40B4-BE49-F238E27FC236}">
              <a16:creationId xmlns:a16="http://schemas.microsoft.com/office/drawing/2014/main" id="{00000000-0008-0000-0200-000053000000}"/>
            </a:ext>
          </a:extLst>
        </xdr:cNvPr>
        <xdr:cNvSpPr txBox="1"/>
      </xdr:nvSpPr>
      <xdr:spPr>
        <a:xfrm>
          <a:off x="3476381" y="2466067"/>
          <a:ext cx="2435470" cy="287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D" sz="1400" b="1">
              <a:solidFill>
                <a:schemeClr val="accent3">
                  <a:lumMod val="50000"/>
                </a:schemeClr>
              </a:solidFill>
              <a:latin typeface="Microsoft YaHei UI" panose="020B0503020204020204" pitchFamily="34" charset="-122"/>
              <a:ea typeface="Microsoft YaHei UI" panose="020B0503020204020204" pitchFamily="34" charset="-122"/>
              <a:cs typeface="+mn-cs"/>
            </a:rPr>
            <a:t>Late</a:t>
          </a:r>
          <a:r>
            <a:rPr lang="en-ID" sz="1400" b="1" baseline="0">
              <a:solidFill>
                <a:schemeClr val="accent3">
                  <a:lumMod val="50000"/>
                </a:schemeClr>
              </a:solidFill>
              <a:latin typeface="Microsoft YaHei UI" panose="020B0503020204020204" pitchFamily="34" charset="-122"/>
              <a:ea typeface="Microsoft YaHei UI" panose="020B0503020204020204" pitchFamily="34" charset="-122"/>
              <a:cs typeface="+mn-cs"/>
            </a:rPr>
            <a:t> Count by Route</a:t>
          </a:r>
          <a:endParaRPr lang="en-ID" sz="1400" b="1">
            <a:solidFill>
              <a:schemeClr val="accent3">
                <a:lumMod val="50000"/>
              </a:schemeClr>
            </a:solidFill>
            <a:latin typeface="Microsoft YaHei UI" panose="020B0503020204020204" pitchFamily="34" charset="-122"/>
            <a:ea typeface="Microsoft YaHei UI" panose="020B0503020204020204" pitchFamily="34" charset="-122"/>
            <a:cs typeface="+mn-cs"/>
          </a:endParaRPr>
        </a:p>
      </xdr:txBody>
    </xdr:sp>
    <xdr:clientData/>
  </xdr:twoCellAnchor>
  <xdr:twoCellAnchor>
    <xdr:from>
      <xdr:col>6</xdr:col>
      <xdr:colOff>113506</xdr:colOff>
      <xdr:row>15</xdr:row>
      <xdr:rowOff>95762</xdr:rowOff>
    </xdr:from>
    <xdr:to>
      <xdr:col>9</xdr:col>
      <xdr:colOff>140495</xdr:colOff>
      <xdr:row>15</xdr:row>
      <xdr:rowOff>95762</xdr:rowOff>
    </xdr:to>
    <xdr:cxnSp macro="">
      <xdr:nvCxnSpPr>
        <xdr:cNvPr id="84" name="Straight Connector 83">
          <a:extLst>
            <a:ext uri="{FF2B5EF4-FFF2-40B4-BE49-F238E27FC236}">
              <a16:creationId xmlns:a16="http://schemas.microsoft.com/office/drawing/2014/main" id="{00000000-0008-0000-0200-000054000000}"/>
            </a:ext>
          </a:extLst>
        </xdr:cNvPr>
        <xdr:cNvCxnSpPr/>
      </xdr:nvCxnSpPr>
      <xdr:spPr>
        <a:xfrm>
          <a:off x="3771106" y="2858012"/>
          <a:ext cx="1855789"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596901</xdr:colOff>
      <xdr:row>3</xdr:row>
      <xdr:rowOff>6838</xdr:rowOff>
    </xdr:from>
    <xdr:to>
      <xdr:col>18</xdr:col>
      <xdr:colOff>285751</xdr:colOff>
      <xdr:row>16</xdr:row>
      <xdr:rowOff>12700</xdr:rowOff>
    </xdr:to>
    <xdr:graphicFrame macro="">
      <xdr:nvGraphicFramePr>
        <xdr:cNvPr id="100" name="Chart 99">
          <a:extLst>
            <a:ext uri="{FF2B5EF4-FFF2-40B4-BE49-F238E27FC236}">
              <a16:creationId xmlns:a16="http://schemas.microsoft.com/office/drawing/2014/main" id="{00000000-0008-0000-0200-00006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599857</xdr:colOff>
      <xdr:row>4</xdr:row>
      <xdr:rowOff>147402</xdr:rowOff>
    </xdr:from>
    <xdr:to>
      <xdr:col>9</xdr:col>
      <xdr:colOff>520701</xdr:colOff>
      <xdr:row>5</xdr:row>
      <xdr:rowOff>133350</xdr:rowOff>
    </xdr:to>
    <xdr:sp macro="" textlink="'Service Level'!D29">
      <xdr:nvSpPr>
        <xdr:cNvPr id="102" name="TextBox 101">
          <a:extLst>
            <a:ext uri="{FF2B5EF4-FFF2-40B4-BE49-F238E27FC236}">
              <a16:creationId xmlns:a16="http://schemas.microsoft.com/office/drawing/2014/main" id="{00000000-0008-0000-0200-000066000000}"/>
            </a:ext>
          </a:extLst>
        </xdr:cNvPr>
        <xdr:cNvSpPr txBox="1"/>
      </xdr:nvSpPr>
      <xdr:spPr>
        <a:xfrm>
          <a:off x="5476657" y="884002"/>
          <a:ext cx="530444" cy="170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713D82-D940-444E-A181-1BD0F46D0235}" type="TxLink">
            <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75%</a:t>
          </a:fld>
          <a:endParaRPr lang="en-US" sz="11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7</xdr:col>
      <xdr:colOff>564048</xdr:colOff>
      <xdr:row>8</xdr:row>
      <xdr:rowOff>144815</xdr:rowOff>
    </xdr:from>
    <xdr:to>
      <xdr:col>10</xdr:col>
      <xdr:colOff>539258</xdr:colOff>
      <xdr:row>12</xdr:row>
      <xdr:rowOff>3036</xdr:rowOff>
    </xdr:to>
    <xdr:graphicFrame macro="">
      <xdr:nvGraphicFramePr>
        <xdr:cNvPr id="42" name="Chart 6">
          <a:extLst>
            <a:ext uri="{FF2B5EF4-FFF2-40B4-BE49-F238E27FC236}">
              <a16:creationId xmlns:a16="http://schemas.microsoft.com/office/drawing/2014/main" id="{00000000-0008-0000-02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475574</xdr:colOff>
      <xdr:row>10</xdr:row>
      <xdr:rowOff>0</xdr:rowOff>
    </xdr:from>
    <xdr:to>
      <xdr:col>7</xdr:col>
      <xdr:colOff>308043</xdr:colOff>
      <xdr:row>10</xdr:row>
      <xdr:rowOff>151319</xdr:rowOff>
    </xdr:to>
    <xdr:sp macro="" textlink="">
      <xdr:nvSpPr>
        <xdr:cNvPr id="56" name="Rectangle 55">
          <a:extLst>
            <a:ext uri="{FF2B5EF4-FFF2-40B4-BE49-F238E27FC236}">
              <a16:creationId xmlns:a16="http://schemas.microsoft.com/office/drawing/2014/main" id="{00000000-0008-0000-0200-000038000000}"/>
            </a:ext>
          </a:extLst>
        </xdr:cNvPr>
        <xdr:cNvSpPr/>
      </xdr:nvSpPr>
      <xdr:spPr>
        <a:xfrm>
          <a:off x="3528978" y="1837447"/>
          <a:ext cx="1053831" cy="151319"/>
        </a:xfrm>
        <a:prstGeom prst="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5</xdr:col>
      <xdr:colOff>211475</xdr:colOff>
      <xdr:row>7</xdr:row>
      <xdr:rowOff>159461</xdr:rowOff>
    </xdr:from>
    <xdr:to>
      <xdr:col>8</xdr:col>
      <xdr:colOff>26336</xdr:colOff>
      <xdr:row>9</xdr:row>
      <xdr:rowOff>128749</xdr:rowOff>
    </xdr:to>
    <xdr:sp macro="" textlink="">
      <xdr:nvSpPr>
        <xdr:cNvPr id="90" name="TextBox 89">
          <a:extLst>
            <a:ext uri="{FF2B5EF4-FFF2-40B4-BE49-F238E27FC236}">
              <a16:creationId xmlns:a16="http://schemas.microsoft.com/office/drawing/2014/main" id="{00000000-0008-0000-0200-00005A000000}"/>
            </a:ext>
          </a:extLst>
        </xdr:cNvPr>
        <xdr:cNvSpPr txBox="1"/>
      </xdr:nvSpPr>
      <xdr:spPr>
        <a:xfrm>
          <a:off x="3255096" y="1446978"/>
          <a:ext cx="1641033" cy="337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000" b="1" u="none">
              <a:solidFill>
                <a:schemeClr val="accent3">
                  <a:lumMod val="50000"/>
                </a:schemeClr>
              </a:solidFill>
              <a:latin typeface="Microsoft YaHei UI" panose="020B0503020204020204" pitchFamily="34" charset="-122"/>
              <a:ea typeface="Microsoft YaHei UI" panose="020B0503020204020204" pitchFamily="34" charset="-122"/>
            </a:rPr>
            <a:t>Cancelled</a:t>
          </a:r>
          <a:r>
            <a:rPr lang="en-ID" sz="1000" b="1" u="none" baseline="0">
              <a:solidFill>
                <a:schemeClr val="accent3">
                  <a:lumMod val="50000"/>
                </a:schemeClr>
              </a:solidFill>
              <a:latin typeface="Microsoft YaHei UI" panose="020B0503020204020204" pitchFamily="34" charset="-122"/>
              <a:ea typeface="Microsoft YaHei UI" panose="020B0503020204020204" pitchFamily="34" charset="-122"/>
            </a:rPr>
            <a:t> Rate (%)</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lientData/>
  </xdr:twoCellAnchor>
  <xdr:twoCellAnchor>
    <xdr:from>
      <xdr:col>5</xdr:col>
      <xdr:colOff>409845</xdr:colOff>
      <xdr:row>9</xdr:row>
      <xdr:rowOff>101761</xdr:rowOff>
    </xdr:from>
    <xdr:to>
      <xdr:col>7</xdr:col>
      <xdr:colOff>353747</xdr:colOff>
      <xdr:row>9</xdr:row>
      <xdr:rowOff>101761</xdr:rowOff>
    </xdr:to>
    <xdr:cxnSp macro="">
      <xdr:nvCxnSpPr>
        <xdr:cNvPr id="91" name="Straight Connector 90">
          <a:extLst>
            <a:ext uri="{FF2B5EF4-FFF2-40B4-BE49-F238E27FC236}">
              <a16:creationId xmlns:a16="http://schemas.microsoft.com/office/drawing/2014/main" id="{00000000-0008-0000-0200-00005B000000}"/>
            </a:ext>
          </a:extLst>
        </xdr:cNvPr>
        <xdr:cNvCxnSpPr/>
      </xdr:nvCxnSpPr>
      <xdr:spPr>
        <a:xfrm>
          <a:off x="3453466" y="1757140"/>
          <a:ext cx="1161350" cy="0"/>
        </a:xfrm>
        <a:prstGeom prst="line">
          <a:avLst/>
        </a:prstGeom>
        <a:ln w="38100">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314161</xdr:colOff>
      <xdr:row>8</xdr:row>
      <xdr:rowOff>144724</xdr:rowOff>
    </xdr:from>
    <xdr:to>
      <xdr:col>7</xdr:col>
      <xdr:colOff>449432</xdr:colOff>
      <xdr:row>12</xdr:row>
      <xdr:rowOff>3127</xdr:rowOff>
    </xdr:to>
    <xdr:graphicFrame macro="">
      <xdr:nvGraphicFramePr>
        <xdr:cNvPr id="54" name="Chart 7">
          <a:extLst>
            <a:ext uri="{FF2B5EF4-FFF2-40B4-BE49-F238E27FC236}">
              <a16:creationId xmlns:a16="http://schemas.microsoft.com/office/drawing/2014/main" id="{00000000-0008-0000-02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288708</xdr:colOff>
      <xdr:row>10</xdr:row>
      <xdr:rowOff>78252</xdr:rowOff>
    </xdr:from>
    <xdr:to>
      <xdr:col>7</xdr:col>
      <xdr:colOff>476249</xdr:colOff>
      <xdr:row>12</xdr:row>
      <xdr:rowOff>81850</xdr:rowOff>
    </xdr:to>
    <xdr:sp macro="" textlink="'Service Level'!B49">
      <xdr:nvSpPr>
        <xdr:cNvPr id="76" name="TextBox 75">
          <a:extLst>
            <a:ext uri="{FF2B5EF4-FFF2-40B4-BE49-F238E27FC236}">
              <a16:creationId xmlns:a16="http://schemas.microsoft.com/office/drawing/2014/main" id="{00000000-0008-0000-0200-00004C000000}"/>
            </a:ext>
          </a:extLst>
        </xdr:cNvPr>
        <xdr:cNvSpPr txBox="1"/>
      </xdr:nvSpPr>
      <xdr:spPr>
        <a:xfrm>
          <a:off x="3332329" y="1917562"/>
          <a:ext cx="1404989" cy="37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D7B790-CE07-4F76-BF4D-D41DC3CBDB76}" type="TxLink">
            <a:rPr lang="en-US" sz="10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Total: 4</a:t>
          </a:fld>
          <a:endParaRPr lang="en-US" sz="10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8</xdr:col>
      <xdr:colOff>161708</xdr:colOff>
      <xdr:row>10</xdr:row>
      <xdr:rowOff>78252</xdr:rowOff>
    </xdr:from>
    <xdr:to>
      <xdr:col>10</xdr:col>
      <xdr:colOff>349249</xdr:colOff>
      <xdr:row>12</xdr:row>
      <xdr:rowOff>81850</xdr:rowOff>
    </xdr:to>
    <xdr:sp macro="" textlink="'Service Level'!C49">
      <xdr:nvSpPr>
        <xdr:cNvPr id="77" name="TextBox 76">
          <a:extLst>
            <a:ext uri="{FF2B5EF4-FFF2-40B4-BE49-F238E27FC236}">
              <a16:creationId xmlns:a16="http://schemas.microsoft.com/office/drawing/2014/main" id="{00000000-0008-0000-0200-00004D000000}"/>
            </a:ext>
          </a:extLst>
        </xdr:cNvPr>
        <xdr:cNvSpPr txBox="1"/>
      </xdr:nvSpPr>
      <xdr:spPr>
        <a:xfrm>
          <a:off x="5038508" y="1919752"/>
          <a:ext cx="1406741" cy="371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052D25-B513-4797-960D-A0136111BA00}" type="TxLink">
            <a:rPr lang="en-US" sz="10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Total: 21</a:t>
          </a:fld>
          <a:endParaRPr lang="en-US" sz="10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5</xdr:col>
      <xdr:colOff>88900</xdr:colOff>
      <xdr:row>15</xdr:row>
      <xdr:rowOff>133350</xdr:rowOff>
    </xdr:from>
    <xdr:to>
      <xdr:col>10</xdr:col>
      <xdr:colOff>1</xdr:colOff>
      <xdr:row>26</xdr:row>
      <xdr:rowOff>19050</xdr:rowOff>
    </xdr:to>
    <xdr:graphicFrame macro="">
      <xdr:nvGraphicFramePr>
        <xdr:cNvPr id="50" name="Chart 4">
          <a:extLst>
            <a:ext uri="{FF2B5EF4-FFF2-40B4-BE49-F238E27FC236}">
              <a16:creationId xmlns:a16="http://schemas.microsoft.com/office/drawing/2014/main" id="{00000000-0008-0000-02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491909</xdr:colOff>
      <xdr:row>5</xdr:row>
      <xdr:rowOff>114300</xdr:rowOff>
    </xdr:from>
    <xdr:to>
      <xdr:col>10</xdr:col>
      <xdr:colOff>19051</xdr:colOff>
      <xdr:row>6</xdr:row>
      <xdr:rowOff>107250</xdr:rowOff>
    </xdr:to>
    <xdr:sp macro="" textlink="'Service Level'!D49">
      <xdr:nvSpPr>
        <xdr:cNvPr id="79" name="TextBox 78">
          <a:extLst>
            <a:ext uri="{FF2B5EF4-FFF2-40B4-BE49-F238E27FC236}">
              <a16:creationId xmlns:a16="http://schemas.microsoft.com/office/drawing/2014/main" id="{00000000-0008-0000-0200-00004F000000}"/>
            </a:ext>
          </a:extLst>
        </xdr:cNvPr>
        <xdr:cNvSpPr txBox="1"/>
      </xdr:nvSpPr>
      <xdr:spPr>
        <a:xfrm>
          <a:off x="5368709" y="1035050"/>
          <a:ext cx="746342" cy="177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5BEEBE-24B5-445B-B1C0-F2B4FCB9CF6F}" type="TxLink">
            <a:rPr lang="en-US" sz="7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rPr>
            <a:pPr marL="0" indent="0" algn="ctr"/>
            <a:t>Total: 75</a:t>
          </a:fld>
          <a:endParaRPr lang="en-US" sz="700" b="1" i="0" u="none" strike="noStrike">
            <a:solidFill>
              <a:schemeClr val="accent3">
                <a:lumMod val="50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10</xdr:col>
      <xdr:colOff>179525</xdr:colOff>
      <xdr:row>20</xdr:row>
      <xdr:rowOff>104520</xdr:rowOff>
    </xdr:from>
    <xdr:to>
      <xdr:col>12</xdr:col>
      <xdr:colOff>503892</xdr:colOff>
      <xdr:row>21</xdr:row>
      <xdr:rowOff>91821</xdr:rowOff>
    </xdr:to>
    <xdr:sp macro="" textlink="">
      <xdr:nvSpPr>
        <xdr:cNvPr id="86" name="TextBox 85">
          <a:extLst>
            <a:ext uri="{FF2B5EF4-FFF2-40B4-BE49-F238E27FC236}">
              <a16:creationId xmlns:a16="http://schemas.microsoft.com/office/drawing/2014/main" id="{00000000-0008-0000-0200-000056000000}"/>
            </a:ext>
          </a:extLst>
        </xdr:cNvPr>
        <xdr:cNvSpPr txBox="1"/>
      </xdr:nvSpPr>
      <xdr:spPr>
        <a:xfrm>
          <a:off x="6275525" y="3787520"/>
          <a:ext cx="1543567" cy="17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00" b="1" u="none">
              <a:solidFill>
                <a:schemeClr val="accent3">
                  <a:lumMod val="50000"/>
                </a:schemeClr>
              </a:solidFill>
              <a:latin typeface="Microsoft YaHei UI" panose="020B0503020204020204" pitchFamily="34" charset="-122"/>
              <a:ea typeface="Microsoft YaHei UI" panose="020B0503020204020204" pitchFamily="34" charset="-122"/>
            </a:rPr>
            <a:t>Total Revenue</a:t>
          </a:r>
          <a:r>
            <a:rPr lang="en-ID" sz="1000" b="1" u="none" baseline="0">
              <a:solidFill>
                <a:schemeClr val="accent3">
                  <a:lumMod val="50000"/>
                </a:schemeClr>
              </a:solidFill>
              <a:latin typeface="Microsoft YaHei UI" panose="020B0503020204020204" pitchFamily="34" charset="-122"/>
              <a:ea typeface="Microsoft YaHei UI" panose="020B0503020204020204" pitchFamily="34" charset="-122"/>
            </a:rPr>
            <a:t> Loss</a:t>
          </a:r>
          <a:endParaRPr lang="en-ID" sz="1000" b="1" u="none">
            <a:solidFill>
              <a:schemeClr val="accent3">
                <a:lumMod val="50000"/>
              </a:schemeClr>
            </a:solidFill>
            <a:latin typeface="Microsoft YaHei UI" panose="020B0503020204020204" pitchFamily="34" charset="-122"/>
            <a:ea typeface="Microsoft YaHei UI" panose="020B0503020204020204" pitchFamily="34" charset="-122"/>
          </a:endParaRPr>
        </a:p>
      </xdr:txBody>
    </xdr:sp>
    <xdr:clientData/>
  </xdr:twoCellAnchor>
  <xdr:twoCellAnchor>
    <xdr:from>
      <xdr:col>10</xdr:col>
      <xdr:colOff>208400</xdr:colOff>
      <xdr:row>21</xdr:row>
      <xdr:rowOff>103462</xdr:rowOff>
    </xdr:from>
    <xdr:to>
      <xdr:col>12</xdr:col>
      <xdr:colOff>395941</xdr:colOff>
      <xdr:row>22</xdr:row>
      <xdr:rowOff>89410</xdr:rowOff>
    </xdr:to>
    <xdr:sp macro="" textlink="'Service Level'!B72">
      <xdr:nvSpPr>
        <xdr:cNvPr id="87" name="TextBox 86">
          <a:extLst>
            <a:ext uri="{FF2B5EF4-FFF2-40B4-BE49-F238E27FC236}">
              <a16:creationId xmlns:a16="http://schemas.microsoft.com/office/drawing/2014/main" id="{00000000-0008-0000-0200-000057000000}"/>
            </a:ext>
          </a:extLst>
        </xdr:cNvPr>
        <xdr:cNvSpPr txBox="1"/>
      </xdr:nvSpPr>
      <xdr:spPr>
        <a:xfrm>
          <a:off x="6304400" y="3970612"/>
          <a:ext cx="1406741" cy="170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1DB636-DE8C-4D13-89F9-E1B92A108395}" type="TxLink">
            <a:rPr lang="en-US" sz="1000" b="1" i="0" u="none" strike="noStrike">
              <a:solidFill>
                <a:schemeClr val="accent2">
                  <a:lumMod val="75000"/>
                </a:schemeClr>
              </a:solidFill>
              <a:latin typeface="Microsoft YaHei UI" panose="020B0503020204020204" pitchFamily="34" charset="-122"/>
              <a:ea typeface="Microsoft YaHei UI" panose="020B0503020204020204" pitchFamily="34" charset="-122"/>
              <a:cs typeface="Calibri"/>
            </a:rPr>
            <a:pPr marL="0" indent="0" algn="ctr"/>
            <a:t>-Rp3.736.902,00 </a:t>
          </a:fld>
          <a:endParaRPr lang="en-US" sz="1000" b="1" i="0" u="none" strike="noStrike">
            <a:solidFill>
              <a:schemeClr val="accent2">
                <a:lumMod val="75000"/>
              </a:schemeClr>
            </a:solidFill>
            <a:latin typeface="Microsoft YaHei UI" panose="020B0503020204020204" pitchFamily="34" charset="-122"/>
            <a:ea typeface="Microsoft YaHei UI" panose="020B0503020204020204" pitchFamily="34" charset="-122"/>
            <a:cs typeface="Calibri"/>
          </a:endParaRPr>
        </a:p>
      </xdr:txBody>
    </xdr:sp>
    <xdr:clientData/>
  </xdr:twoCellAnchor>
  <xdr:twoCellAnchor>
    <xdr:from>
      <xdr:col>10</xdr:col>
      <xdr:colOff>275415</xdr:colOff>
      <xdr:row>21</xdr:row>
      <xdr:rowOff>90241</xdr:rowOff>
    </xdr:from>
    <xdr:to>
      <xdr:col>12</xdr:col>
      <xdr:colOff>396893</xdr:colOff>
      <xdr:row>24</xdr:row>
      <xdr:rowOff>123370</xdr:rowOff>
    </xdr:to>
    <xdr:graphicFrame macro="">
      <xdr:nvGraphicFramePr>
        <xdr:cNvPr id="59" name="Chart 1">
          <a:extLst>
            <a:ext uri="{FF2B5EF4-FFF2-40B4-BE49-F238E27FC236}">
              <a16:creationId xmlns:a16="http://schemas.microsoft.com/office/drawing/2014/main" id="{8CF2ED2A-03D2-41FE-975D-D554EA147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419100</xdr:colOff>
      <xdr:row>18</xdr:row>
      <xdr:rowOff>73958</xdr:rowOff>
    </xdr:from>
    <xdr:to>
      <xdr:col>18</xdr:col>
      <xdr:colOff>215900</xdr:colOff>
      <xdr:row>26</xdr:row>
      <xdr:rowOff>29508</xdr:rowOff>
    </xdr:to>
    <xdr:graphicFrame macro="">
      <xdr:nvGraphicFramePr>
        <xdr:cNvPr id="60" name="Chart 4">
          <a:extLst>
            <a:ext uri="{FF2B5EF4-FFF2-40B4-BE49-F238E27FC236}">
              <a16:creationId xmlns:a16="http://schemas.microsoft.com/office/drawing/2014/main" id="{B7216055-5216-4D98-A07D-55C4F8E86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0.77262</cdr:x>
      <cdr:y>0.0598</cdr:y>
    </cdr:from>
    <cdr:to>
      <cdr:x>0.86543</cdr:x>
      <cdr:y>0.28904</cdr:y>
    </cdr:to>
    <cdr:sp macro="" textlink="">
      <cdr:nvSpPr>
        <cdr:cNvPr id="2" name="TextBox 1">
          <a:extLst xmlns:a="http://schemas.openxmlformats.org/drawingml/2006/main">
            <a:ext uri="{FF2B5EF4-FFF2-40B4-BE49-F238E27FC236}">
              <a16:creationId xmlns:a16="http://schemas.microsoft.com/office/drawing/2014/main" id="{6FD49F05-CD91-40D2-93F2-A40EAD7BD8E4}"/>
            </a:ext>
          </a:extLst>
        </cdr:cNvPr>
        <cdr:cNvSpPr txBox="1"/>
      </cdr:nvSpPr>
      <cdr:spPr>
        <a:xfrm xmlns:a="http://schemas.openxmlformats.org/drawingml/2006/main">
          <a:off x="2114551" y="114300"/>
          <a:ext cx="254000" cy="4381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D" sz="1100"/>
        </a:p>
      </cdr:txBody>
    </cdr:sp>
  </cdr:relSizeAnchor>
  <cdr:relSizeAnchor xmlns:cdr="http://schemas.openxmlformats.org/drawingml/2006/chartDrawing">
    <cdr:from>
      <cdr:x>0.64501</cdr:x>
      <cdr:y>0.09302</cdr:y>
    </cdr:from>
    <cdr:to>
      <cdr:x>0.99768</cdr:x>
      <cdr:y>0.28571</cdr:y>
    </cdr:to>
    <cdr:sp macro="" textlink="">
      <cdr:nvSpPr>
        <cdr:cNvPr id="3" name="TextBox 2">
          <a:extLst xmlns:a="http://schemas.openxmlformats.org/drawingml/2006/main">
            <a:ext uri="{FF2B5EF4-FFF2-40B4-BE49-F238E27FC236}">
              <a16:creationId xmlns:a16="http://schemas.microsoft.com/office/drawing/2014/main" id="{7BC42C8B-5AD6-4B18-A6EF-C038AF1C695C}"/>
            </a:ext>
          </a:extLst>
        </cdr:cNvPr>
        <cdr:cNvSpPr txBox="1"/>
      </cdr:nvSpPr>
      <cdr:spPr>
        <a:xfrm xmlns:a="http://schemas.openxmlformats.org/drawingml/2006/main">
          <a:off x="1765301" y="177800"/>
          <a:ext cx="965200" cy="368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D" sz="700" b="1"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rPr>
            <a:t>Destination</a:t>
          </a:r>
          <a:r>
            <a:rPr lang="en-ID" sz="1100" b="1" baseline="0"/>
            <a:t> </a:t>
          </a:r>
          <a:r>
            <a:rPr lang="en-ID" sz="700" b="1" i="0" u="none" strike="noStrike" kern="1200" baseline="0">
              <a:solidFill>
                <a:sysClr val="windowText" lastClr="000000">
                  <a:lumMod val="65000"/>
                  <a:lumOff val="35000"/>
                </a:sysClr>
              </a:solidFill>
              <a:latin typeface="Microsoft YaHei UI" panose="020B0503020204020204" pitchFamily="34" charset="-122"/>
              <a:ea typeface="Microsoft YaHei UI" panose="020B0503020204020204" pitchFamily="34" charset="-122"/>
              <a:cs typeface="+mn-cs"/>
            </a:rPr>
            <a:t>City</a:t>
          </a:r>
        </a:p>
      </cdr:txBody>
    </cdr:sp>
  </cdr:relSizeAnchor>
</c:userShapes>
</file>

<file path=xl/drawings/drawing5.xml><?xml version="1.0" encoding="utf-8"?>
<c:userShapes xmlns:c="http://schemas.openxmlformats.org/drawingml/2006/chart">
  <cdr:relSizeAnchor xmlns:cdr="http://schemas.openxmlformats.org/drawingml/2006/chartDrawing">
    <cdr:from>
      <cdr:x>0.33231</cdr:x>
      <cdr:y>0.33902</cdr:y>
    </cdr:from>
    <cdr:to>
      <cdr:x>0.9552</cdr:x>
      <cdr:y>0.65747</cdr:y>
    </cdr:to>
    <cdr:sp macro="" textlink="">
      <cdr:nvSpPr>
        <cdr:cNvPr id="2" name="TextBox 91">
          <a:extLst xmlns:a="http://schemas.openxmlformats.org/drawingml/2006/main">
            <a:ext uri="{FF2B5EF4-FFF2-40B4-BE49-F238E27FC236}">
              <a16:creationId xmlns:a16="http://schemas.microsoft.com/office/drawing/2014/main" id="{56D5DD4B-2BBA-4CF7-AAE6-E42171A57B8D}"/>
            </a:ext>
          </a:extLst>
        </cdr:cNvPr>
        <cdr:cNvSpPr txBox="1"/>
      </cdr:nvSpPr>
      <cdr:spPr>
        <a:xfrm xmlns:a="http://schemas.openxmlformats.org/drawingml/2006/main">
          <a:off x="447506" y="201184"/>
          <a:ext cx="838825" cy="18897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D" sz="600" b="1" i="0" u="none" strike="noStrike">
              <a:solidFill>
                <a:schemeClr val="bg1">
                  <a:lumMod val="95000"/>
                </a:schemeClr>
              </a:solidFill>
              <a:effectLst/>
              <a:latin typeface="+mn-lt"/>
              <a:ea typeface="+mn-ea"/>
              <a:cs typeface="+mn-cs"/>
            </a:rPr>
            <a:t>from Total Revenue</a:t>
          </a:r>
          <a:r>
            <a:rPr lang="en-ID" sz="600" b="1">
              <a:solidFill>
                <a:schemeClr val="bg1">
                  <a:lumMod val="95000"/>
                </a:schemeClr>
              </a:solidFill>
            </a:rPr>
            <a:t> </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120650</xdr:colOff>
      <xdr:row>0</xdr:row>
      <xdr:rowOff>152400</xdr:rowOff>
    </xdr:from>
    <xdr:to>
      <xdr:col>5</xdr:col>
      <xdr:colOff>806450</xdr:colOff>
      <xdr:row>15</xdr:row>
      <xdr:rowOff>127000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51</xdr:row>
      <xdr:rowOff>171450</xdr:rowOff>
    </xdr:from>
    <xdr:to>
      <xdr:col>5</xdr:col>
      <xdr:colOff>736600</xdr:colOff>
      <xdr:row>69</xdr:row>
      <xdr:rowOff>63500</xdr:rowOff>
    </xdr:to>
    <xdr:graphicFrame macro="">
      <xdr:nvGraphicFramePr>
        <xdr:cNvPr id="7" name="chrTop5Cust">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18</xdr:row>
      <xdr:rowOff>69850</xdr:rowOff>
    </xdr:from>
    <xdr:to>
      <xdr:col>5</xdr:col>
      <xdr:colOff>704850</xdr:colOff>
      <xdr:row>32</xdr:row>
      <xdr:rowOff>57150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xdr:colOff>
      <xdr:row>49</xdr:row>
      <xdr:rowOff>4618</xdr:rowOff>
    </xdr:from>
    <xdr:to>
      <xdr:col>6</xdr:col>
      <xdr:colOff>51173</xdr:colOff>
      <xdr:row>66</xdr:row>
      <xdr:rowOff>131618</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149225</xdr:colOff>
      <xdr:row>127</xdr:row>
      <xdr:rowOff>44450</xdr:rowOff>
    </xdr:from>
    <xdr:ext cx="3205493" cy="328616"/>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8060578" y="25070921"/>
              <a:ext cx="3205493" cy="328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ID" sz="1100" i="1">
                            <a:latin typeface="Cambria Math" panose="02040503050406030204" pitchFamily="18" charset="0"/>
                          </a:rPr>
                        </m:ctrlPr>
                      </m:fPr>
                      <m:num>
                        <m:d>
                          <m:dPr>
                            <m:ctrlPr>
                              <a:rPr lang="en-US" sz="1100" b="0" i="1">
                                <a:latin typeface="Cambria Math" panose="02040503050406030204" pitchFamily="18" charset="0"/>
                              </a:rPr>
                            </m:ctrlPr>
                          </m:dPr>
                          <m:e>
                            <m:r>
                              <a:rPr lang="en-US" sz="1100" b="0" i="1">
                                <a:latin typeface="Cambria Math" panose="02040503050406030204" pitchFamily="18" charset="0"/>
                              </a:rPr>
                              <m:t>𝑂𝑛</m:t>
                            </m:r>
                            <m:r>
                              <a:rPr lang="en-US" sz="1100" b="0" i="1">
                                <a:latin typeface="Cambria Math" panose="02040503050406030204" pitchFamily="18" charset="0"/>
                              </a:rPr>
                              <m:t>−</m:t>
                            </m:r>
                            <m:r>
                              <a:rPr lang="en-US" sz="1100" b="0" i="1">
                                <a:latin typeface="Cambria Math" panose="02040503050406030204" pitchFamily="18" charset="0"/>
                              </a:rPr>
                              <m:t>𝑡𝑖𝑚𝑒</m:t>
                            </m:r>
                            <m:r>
                              <a:rPr lang="en-US" sz="1100" b="0" i="1">
                                <a:latin typeface="Cambria Math" panose="02040503050406030204" pitchFamily="18" charset="0"/>
                              </a:rPr>
                              <m:t> </m:t>
                            </m:r>
                            <m:r>
                              <m:rPr>
                                <m:nor/>
                              </m:rPr>
                              <a:rPr lang="en-US" sz="1100" b="0" i="0">
                                <a:latin typeface="Cambria Math" panose="02040503050406030204" pitchFamily="18" charset="0"/>
                              </a:rPr>
                              <m:t>x</m:t>
                            </m:r>
                            <m:r>
                              <a:rPr lang="en-US" sz="1100" b="0" i="1">
                                <a:latin typeface="Cambria Math" panose="02040503050406030204" pitchFamily="18" charset="0"/>
                              </a:rPr>
                              <m:t> </m:t>
                            </m:r>
                            <m:r>
                              <a:rPr lang="en-US" sz="1100" b="0" i="1">
                                <a:latin typeface="Cambria Math" panose="02040503050406030204" pitchFamily="18" charset="0"/>
                              </a:rPr>
                              <m:t>2</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𝐿𝑎𝑡𝑒</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𝐶𝑎𝑛𝑐𝑒𝑙𝑙𝑒𝑑</m:t>
                            </m:r>
                            <m:r>
                              <a:rPr lang="en-US" sz="1100" b="0" i="1">
                                <a:latin typeface="Cambria Math" panose="02040503050406030204" pitchFamily="18" charset="0"/>
                              </a:rPr>
                              <m:t> </m:t>
                            </m:r>
                            <m:r>
                              <m:rPr>
                                <m:nor/>
                              </m:rPr>
                              <a:rPr lang="en-US" sz="1100" b="0" i="0">
                                <a:latin typeface="Cambria Math" panose="02040503050406030204" pitchFamily="18" charset="0"/>
                              </a:rPr>
                              <m:t>x</m:t>
                            </m:r>
                            <m:r>
                              <a:rPr lang="en-US" sz="1100" b="0" i="1">
                                <a:latin typeface="Cambria Math" panose="02040503050406030204" pitchFamily="18" charset="0"/>
                              </a:rPr>
                              <m:t> </m:t>
                            </m:r>
                            <m:r>
                              <a:rPr lang="en-US" sz="1100" b="0" i="1">
                                <a:latin typeface="Cambria Math" panose="02040503050406030204" pitchFamily="18" charset="0"/>
                              </a:rPr>
                              <m:t>0</m:t>
                            </m:r>
                          </m:e>
                        </m:d>
                      </m:num>
                      <m:den>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𝑂𝑟𝑑𝑒𝑟</m:t>
                        </m:r>
                        <m:r>
                          <a:rPr lang="en-US" sz="1100" b="0" i="1">
                            <a:latin typeface="Cambria Math" panose="02040503050406030204" pitchFamily="18" charset="0"/>
                          </a:rPr>
                          <m:t> </m:t>
                        </m:r>
                        <m:r>
                          <m:rPr>
                            <m:nor/>
                          </m:rPr>
                          <a:rPr lang="en-US" sz="1100" b="0" i="0">
                            <a:latin typeface="Cambria Math" panose="02040503050406030204" pitchFamily="18" charset="0"/>
                          </a:rPr>
                          <m:t>x</m:t>
                        </m:r>
                        <m:r>
                          <a:rPr lang="en-US" sz="1100" b="0" i="1">
                            <a:latin typeface="Cambria Math" panose="02040503050406030204" pitchFamily="18" charset="0"/>
                          </a:rPr>
                          <m:t> </m:t>
                        </m:r>
                        <m:r>
                          <a:rPr lang="en-US" sz="1100" b="0" i="1">
                            <a:latin typeface="Cambria Math" panose="02040503050406030204" pitchFamily="18" charset="0"/>
                          </a:rPr>
                          <m:t>2</m:t>
                        </m:r>
                      </m:den>
                    </m:f>
                    <m:r>
                      <a:rPr lang="en-US" sz="1100" b="0" i="1">
                        <a:latin typeface="Cambria Math" panose="02040503050406030204" pitchFamily="18" charset="0"/>
                      </a:rPr>
                      <m:t> </m:t>
                    </m:r>
                    <m:r>
                      <a:rPr lang="en-US" sz="1100" b="0" i="1">
                        <a:latin typeface="Cambria Math" panose="02040503050406030204" pitchFamily="18" charset="0"/>
                      </a:rPr>
                      <m:t>𝑥</m:t>
                    </m:r>
                    <m:r>
                      <a:rPr lang="en-US" sz="1100" b="0" i="1">
                        <a:latin typeface="Cambria Math" panose="02040503050406030204" pitchFamily="18" charset="0"/>
                      </a:rPr>
                      <m:t> </m:t>
                    </m:r>
                    <m:r>
                      <a:rPr lang="en-US" sz="1100" b="0" i="1">
                        <a:latin typeface="Cambria Math" panose="02040503050406030204" pitchFamily="18" charset="0"/>
                      </a:rPr>
                      <m:t>100</m:t>
                    </m:r>
                    <m:r>
                      <a:rPr lang="en-US" sz="1100" b="0" i="1">
                        <a:latin typeface="Cambria Math" panose="02040503050406030204" pitchFamily="18" charset="0"/>
                      </a:rPr>
                      <m:t>%</m:t>
                    </m:r>
                  </m:oMath>
                </m:oMathPara>
              </a14:m>
              <a:endParaRPr lang="en-ID" sz="1100"/>
            </a:p>
          </xdr:txBody>
        </xdr:sp>
      </mc:Choice>
      <mc:Fallback xmlns="">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8060578" y="25070921"/>
              <a:ext cx="3205493" cy="328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ID" sz="1100" i="0">
                  <a:latin typeface="Cambria Math" panose="02040503050406030204" pitchFamily="18" charset="0"/>
                </a:rPr>
                <a:t>(</a:t>
              </a:r>
              <a:r>
                <a:rPr lang="en-US" sz="1100" b="0" i="0">
                  <a:latin typeface="Cambria Math" panose="02040503050406030204" pitchFamily="18" charset="0"/>
                </a:rPr>
                <a:t>(𝑂𝑛−𝑡𝑖𝑚𝑒 "x"  2)−(𝐿𝑎𝑡𝑒)+(𝐶𝑎𝑛𝑐𝑒𝑙𝑙𝑒𝑑 "x"  0)</a:t>
              </a:r>
              <a:r>
                <a:rPr lang="en-ID" sz="1100" b="0" i="0">
                  <a:latin typeface="Cambria Math" panose="02040503050406030204" pitchFamily="18" charset="0"/>
                </a:rPr>
                <a:t>)/(</a:t>
              </a:r>
              <a:r>
                <a:rPr lang="en-US" sz="1100" b="0" i="0">
                  <a:latin typeface="Cambria Math" panose="02040503050406030204" pitchFamily="18" charset="0"/>
                </a:rPr>
                <a:t>𝑇𝑜𝑡𝑎𝑙 𝑂𝑟𝑑𝑒𝑟 "x"  2</a:t>
              </a:r>
              <a:r>
                <a:rPr lang="en-ID" sz="1100" b="0" i="0">
                  <a:latin typeface="Cambria Math" panose="02040503050406030204" pitchFamily="18" charset="0"/>
                </a:rPr>
                <a:t>)</a:t>
              </a:r>
              <a:r>
                <a:rPr lang="en-US" sz="1100" b="0" i="0">
                  <a:latin typeface="Cambria Math" panose="02040503050406030204" pitchFamily="18" charset="0"/>
                </a:rPr>
                <a:t>  𝑥 100%</a:t>
              </a:r>
              <a:endParaRPr lang="en-ID" sz="1100"/>
            </a:p>
          </xdr:txBody>
        </xdr:sp>
      </mc:Fallback>
    </mc:AlternateContent>
    <xdr:clientData/>
  </xdr:oneCellAnchor>
  <xdr:twoCellAnchor>
    <xdr:from>
      <xdr:col>0</xdr:col>
      <xdr:colOff>0</xdr:colOff>
      <xdr:row>101</xdr:row>
      <xdr:rowOff>37353</xdr:rowOff>
    </xdr:from>
    <xdr:to>
      <xdr:col>4</xdr:col>
      <xdr:colOff>978647</xdr:colOff>
      <xdr:row>114</xdr:row>
      <xdr:rowOff>30260</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1073895</xdr:colOff>
      <xdr:row>101</xdr:row>
      <xdr:rowOff>37352</xdr:rowOff>
    </xdr:from>
    <xdr:to>
      <xdr:col>6</xdr:col>
      <xdr:colOff>1053353</xdr:colOff>
      <xdr:row>114</xdr:row>
      <xdr:rowOff>32498</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893112</xdr:colOff>
      <xdr:row>107</xdr:row>
      <xdr:rowOff>178186</xdr:rowOff>
    </xdr:from>
    <xdr:to>
      <xdr:col>5</xdr:col>
      <xdr:colOff>1240118</xdr:colOff>
      <xdr:row>109</xdr:row>
      <xdr:rowOff>155375</xdr:rowOff>
    </xdr:to>
    <xdr:pic>
      <xdr:nvPicPr>
        <xdr:cNvPr id="11" name="Graphic 10" descr="Truck with solid fill">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35112" y="21275127"/>
          <a:ext cx="347006" cy="3507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104913</xdr:colOff>
      <xdr:row>0</xdr:row>
      <xdr:rowOff>99390</xdr:rowOff>
    </xdr:from>
    <xdr:to>
      <xdr:col>7</xdr:col>
      <xdr:colOff>55217</xdr:colOff>
      <xdr:row>13</xdr:row>
      <xdr:rowOff>92765</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133350</xdr:rowOff>
    </xdr:from>
    <xdr:to>
      <xdr:col>4</xdr:col>
      <xdr:colOff>444500</xdr:colOff>
      <xdr:row>6</xdr:row>
      <xdr:rowOff>171450</xdr:rowOff>
    </xdr:to>
    <xdr:sp macro="" textlink="">
      <xdr:nvSpPr>
        <xdr:cNvPr id="2" name="Rectangle: Rounded Corners 1">
          <a:extLst>
            <a:ext uri="{FF2B5EF4-FFF2-40B4-BE49-F238E27FC236}">
              <a16:creationId xmlns:a16="http://schemas.microsoft.com/office/drawing/2014/main" id="{00000000-0008-0000-0900-000002000000}"/>
            </a:ext>
          </a:extLst>
        </xdr:cNvPr>
        <xdr:cNvSpPr/>
      </xdr:nvSpPr>
      <xdr:spPr>
        <a:xfrm>
          <a:off x="133350" y="133350"/>
          <a:ext cx="2749550" cy="1143000"/>
        </a:xfrm>
        <a:prstGeom prst="roundRect">
          <a:avLst>
            <a:gd name="adj" fmla="val 9445"/>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qri Artsam" refreshedDate="45944.891491319446" createdVersion="7" refreshedVersion="7" minRefreshableVersion="3" recordCount="100" xr:uid="{ED2A0C31-28C1-4B86-9622-3CA402754185}">
  <cacheSource type="worksheet">
    <worksheetSource name="df_Clean"/>
  </cacheSource>
  <cacheFields count="21">
    <cacheField name="OrderID" numFmtId="0">
      <sharedItems/>
    </cacheField>
    <cacheField name="Customer" numFmtId="0">
      <sharedItems count="6">
        <s v="PT Berkah Abadi"/>
        <s v="PT Sumber Makmur"/>
        <s v="CV Logindo"/>
        <s v="CV Transindo"/>
        <s v="PT Lintas Jaya"/>
        <s v="PT Nusantara"/>
      </sharedItems>
    </cacheField>
    <cacheField name="Origin" numFmtId="0">
      <sharedItems count="6">
        <s v="Jakarta"/>
        <s v="Bandung"/>
        <s v="Medan"/>
        <s v="Surabaya"/>
        <s v="Semarang"/>
        <s v="Makassar"/>
      </sharedItems>
    </cacheField>
    <cacheField name="Destination" numFmtId="0">
      <sharedItems count="6">
        <s v="Denpasar"/>
        <s v="Bandung"/>
        <s v="Yogyakarta"/>
        <s v="Jakarta"/>
        <s v="Palembang"/>
        <s v="Surabaya"/>
      </sharedItems>
    </cacheField>
    <cacheField name="Route" numFmtId="0">
      <sharedItems count="35">
        <s v="Jakarta - Denpasar"/>
        <s v="Bandung - Denpasar"/>
        <s v="Medan - Bandung"/>
        <s v="Surabaya - Yogyakarta"/>
        <s v="Medan - Jakarta"/>
        <s v="Jakarta - Yogyakarta"/>
        <s v="Semarang - Bandung"/>
        <s v="Semarang - Yogyakarta"/>
        <s v="Makassar - Denpasar"/>
        <s v="Makassar - Jakarta"/>
        <s v="Surabaya - Palembang"/>
        <s v="Medan - Yogyakarta"/>
        <s v="Surabaya - Surabaya"/>
        <s v="Medan - Palembang"/>
        <s v="Jakarta - Jakarta"/>
        <s v="Medan - Surabaya"/>
        <s v="Bandung - Surabaya"/>
        <s v="Jakarta - Bandung"/>
        <s v="Jakarta - Surabaya"/>
        <s v="Makassar - Bandung"/>
        <s v="Surabaya - Bandung"/>
        <s v="Makassar - Surabaya"/>
        <s v="Makassar - Palembang"/>
        <s v="Bandung - Jakarta"/>
        <s v="Semarang - Jakarta"/>
        <s v="Bandung - Yogyakarta"/>
        <s v="Surabaya - Jakarta"/>
        <s v="Surabaya - Denpasar"/>
        <s v="Medan - Denpasar"/>
        <s v="Jakarta - Palembang"/>
        <s v="Semarang - Surabaya"/>
        <s v="Bandung - Bandung"/>
        <s v="Bandung - Palembang"/>
        <s v="Semarang - Denpasar"/>
        <s v="Semarang - Palembang"/>
      </sharedItems>
    </cacheField>
    <cacheField name="Route_Scope" numFmtId="0">
      <sharedItems count="2">
        <s v="Intercity"/>
        <s v="Within City"/>
      </sharedItems>
    </cacheField>
    <cacheField name="TruckType" numFmtId="0">
      <sharedItems count="4">
        <s v="CDD"/>
        <s v="Wingbox"/>
        <s v="Fuso"/>
        <s v="Tronton"/>
      </sharedItems>
    </cacheField>
    <cacheField name="Distance_km" numFmtId="0">
      <sharedItems containsSemiMixedTypes="0" containsString="0" containsNumber="1" containsInteger="1" minValue="51" maxValue="992"/>
    </cacheField>
    <cacheField name="Distance_cat" numFmtId="0">
      <sharedItems count="4">
        <s v="Moderate"/>
        <s v="Very Far"/>
        <s v="Near"/>
        <s v="Far"/>
      </sharedItems>
    </cacheField>
    <cacheField name="FuelCost_per_km" numFmtId="0">
      <sharedItems containsSemiMixedTypes="0" containsString="0" containsNumber="1" containsInteger="1" minValue="301" maxValue="497"/>
    </cacheField>
    <cacheField name="Total_FuelCost" numFmtId="0">
      <sharedItems containsSemiMixedTypes="0" containsString="0" containsNumber="1" containsInteger="1" minValue="25143" maxValue="453264"/>
    </cacheField>
    <cacheField name="Driver" numFmtId="0">
      <sharedItems count="7">
        <s v="Joko"/>
        <s v="Andi"/>
        <s v="Tono"/>
        <s v="Eko"/>
        <s v="Budi"/>
        <s v="Rizal"/>
        <s v="Slamet"/>
      </sharedItems>
    </cacheField>
    <cacheField name="DeliveryDate" numFmtId="164">
      <sharedItems containsSemiMixedTypes="0" containsNonDate="0" containsDate="1" containsString="0" minDate="2024-01-04T00:00:00" maxDate="2025-01-01T00:00:00" count="100">
        <d v="2024-01-04T00:00:00"/>
        <d v="2024-01-07T00:00:00"/>
        <d v="2024-01-11T00:00:00"/>
        <d v="2024-01-12T00:00:00"/>
        <d v="2024-01-18T00:00:00"/>
        <d v="2024-01-19T00:00:00"/>
        <d v="2024-01-22T00:00:00"/>
        <d v="2024-01-23T00:00:00"/>
        <d v="2024-01-26T00:00:00"/>
        <d v="2024-01-27T00:00:00"/>
        <d v="2024-02-07T00:00:00"/>
        <d v="2024-02-13T00:00:00"/>
        <d v="2024-02-24T00:00:00"/>
        <d v="2024-02-29T00:00:00"/>
        <d v="2024-03-01T00:00:00"/>
        <d v="2024-03-02T00:00:00"/>
        <d v="2024-03-08T00:00:00"/>
        <d v="2024-03-09T00:00:00"/>
        <d v="2024-03-13T00:00:00"/>
        <d v="2024-03-19T00:00:00"/>
        <d v="2024-03-20T00:00:00"/>
        <d v="2024-03-22T00:00:00"/>
        <d v="2024-03-25T00:00:00"/>
        <d v="2024-03-28T00:00:00"/>
        <d v="2024-04-04T00:00:00"/>
        <d v="2024-04-07T00:00:00"/>
        <d v="2024-04-11T00:00:00"/>
        <d v="2024-04-13T00:00:00"/>
        <d v="2024-04-21T00:00:00"/>
        <d v="2024-04-22T00:00:00"/>
        <d v="2024-05-03T00:00:00"/>
        <d v="2024-05-04T00:00:00"/>
        <d v="2024-05-12T00:00:00"/>
        <d v="2024-05-13T00:00:00"/>
        <d v="2024-05-16T00:00:00"/>
        <d v="2024-05-18T00:00:00"/>
        <d v="2024-05-20T00:00:00"/>
        <d v="2024-05-22T00:00:00"/>
        <d v="2024-05-23T00:00:00"/>
        <d v="2024-05-24T00:00:00"/>
        <d v="2024-05-25T00:00:00"/>
        <d v="2024-05-30T00:00:00"/>
        <d v="2024-06-09T00:00:00"/>
        <d v="2024-06-10T00:00:00"/>
        <d v="2024-06-11T00:00:00"/>
        <d v="2024-06-13T00:00:00"/>
        <d v="2024-06-16T00:00:00"/>
        <d v="2024-06-17T00:00:00"/>
        <d v="2024-06-19T00:00:00"/>
        <d v="2024-06-20T00:00:00"/>
        <d v="2024-06-22T00:00:00"/>
        <d v="2024-07-05T00:00:00"/>
        <d v="2024-07-10T00:00:00"/>
        <d v="2024-07-11T00:00:00"/>
        <d v="2024-07-18T00:00:00"/>
        <d v="2024-07-26T00:00:00"/>
        <d v="2024-07-28T00:00:00"/>
        <d v="2024-07-30T00:00:00"/>
        <d v="2024-08-03T00:00:00"/>
        <d v="2024-08-11T00:00:00"/>
        <d v="2024-08-14T00:00:00"/>
        <d v="2024-08-15T00:00:00"/>
        <d v="2024-08-17T00:00:00"/>
        <d v="2024-08-20T00:00:00"/>
        <d v="2024-08-26T00:00:00"/>
        <d v="2024-09-01T00:00:00"/>
        <d v="2024-09-05T00:00:00"/>
        <d v="2024-09-07T00:00:00"/>
        <d v="2024-09-13T00:00:00"/>
        <d v="2024-09-16T00:00:00"/>
        <d v="2024-09-24T00:00:00"/>
        <d v="2024-09-25T00:00:00"/>
        <d v="2024-09-26T00:00:00"/>
        <d v="2024-09-30T00:00:00"/>
        <d v="2024-10-02T00:00:00"/>
        <d v="2024-10-05T00:00:00"/>
        <d v="2024-10-13T00:00:00"/>
        <d v="2024-10-16T00:00:00"/>
        <d v="2024-10-17T00:00:00"/>
        <d v="2024-10-18T00:00:00"/>
        <d v="2024-10-19T00:00:00"/>
        <d v="2024-10-20T00:00:00"/>
        <d v="2024-10-25T00:00:00"/>
        <d v="2024-10-26T00:00:00"/>
        <d v="2024-10-27T00:00:00"/>
        <d v="2024-10-30T00:00:00"/>
        <d v="2024-11-06T00:00:00"/>
        <d v="2024-11-07T00:00:00"/>
        <d v="2024-11-11T00:00:00"/>
        <d v="2024-11-12T00:00:00"/>
        <d v="2024-11-20T00:00:00"/>
        <d v="2024-12-07T00:00:00"/>
        <d v="2024-12-08T00:00:00"/>
        <d v="2024-12-09T00:00:00"/>
        <d v="2024-12-15T00:00:00"/>
        <d v="2024-12-22T00:00:00"/>
        <d v="2024-12-23T00:00:00"/>
        <d v="2024-12-24T00:00:00"/>
        <d v="2024-12-28T00:00:00"/>
        <d v="2024-12-31T00:00:00"/>
      </sharedItems>
      <fieldGroup par="19" base="12">
        <rangePr groupBy="days" startDate="2024-01-04T00:00:00" endDate="2025-01-01T00:00:00"/>
        <groupItems count="368">
          <s v="&lt;04/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5"/>
        </groupItems>
      </fieldGroup>
    </cacheField>
    <cacheField name="Status" numFmtId="0">
      <sharedItems count="3">
        <s v="On-time"/>
        <s v="Late"/>
        <s v="Cancelled"/>
      </sharedItems>
    </cacheField>
    <cacheField name="Potentian_Lost" numFmtId="0">
      <sharedItems containsSemiMixedTypes="0" containsString="0" containsNumber="1" containsInteger="1" minValue="0" maxValue="1460219"/>
    </cacheField>
    <cacheField name="Late" numFmtId="0">
      <sharedItems containsSemiMixedTypes="0" containsString="0" containsNumber="1" containsInteger="1" minValue="0" maxValue="1"/>
    </cacheField>
    <cacheField name="Perf_Score" numFmtId="0">
      <sharedItems containsSemiMixedTypes="0" containsString="0" containsNumber="1" containsInteger="1" minValue="-1" maxValue="2"/>
    </cacheField>
    <cacheField name="Base_Score" numFmtId="0">
      <sharedItems containsSemiMixedTypes="0" containsString="0" containsNumber="1" containsInteger="1" minValue="2" maxValue="2"/>
    </cacheField>
    <cacheField name="Revenue" numFmtId="0">
      <sharedItems containsSemiMixedTypes="0" containsString="0" containsNumber="1" containsInteger="1" minValue="124463" maxValue="2218663"/>
    </cacheField>
    <cacheField name="Months" numFmtId="0" databaseField="0">
      <fieldGroup base="12">
        <rangePr groupBy="months" startDate="2024-01-04T00:00:00" endDate="2025-01-01T00:00:00"/>
        <groupItems count="14">
          <s v="&lt;04/01/2024"/>
          <s v="Jan"/>
          <s v="Feb"/>
          <s v="Mar"/>
          <s v="Apr"/>
          <s v="May"/>
          <s v="Jun"/>
          <s v="Jul"/>
          <s v="Aug"/>
          <s v="Sep"/>
          <s v="Oct"/>
          <s v="Nov"/>
          <s v="Dec"/>
          <s v="&gt;01/01/2025"/>
        </groupItems>
      </fieldGroup>
    </cacheField>
    <cacheField name="Driver's Performance Rate" numFmtId="0" formula="Perf_Score/Base_Score" databaseField="0"/>
  </cacheFields>
  <extLst>
    <ext xmlns:x14="http://schemas.microsoft.com/office/spreadsheetml/2009/9/main" uri="{725AE2AE-9491-48be-B2B4-4EB974FC3084}">
      <x14:pivotCacheDefinition pivotCacheId="12373478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s v="ORD1000"/>
    <x v="0"/>
    <x v="0"/>
    <x v="0"/>
    <x v="0"/>
    <x v="0"/>
    <x v="0"/>
    <n v="152"/>
    <x v="0"/>
    <n v="484"/>
    <n v="73568"/>
    <x v="0"/>
    <x v="0"/>
    <x v="0"/>
    <n v="0"/>
    <n v="0"/>
    <n v="2"/>
    <n v="2"/>
    <n v="264792"/>
  </r>
  <r>
    <s v="ORD1001"/>
    <x v="1"/>
    <x v="1"/>
    <x v="0"/>
    <x v="1"/>
    <x v="0"/>
    <x v="1"/>
    <n v="485"/>
    <x v="1"/>
    <n v="318"/>
    <n v="154230"/>
    <x v="1"/>
    <x v="1"/>
    <x v="1"/>
    <n v="0"/>
    <n v="1"/>
    <n v="-1"/>
    <n v="2"/>
    <n v="1053486"/>
  </r>
  <r>
    <s v="ORD1002"/>
    <x v="2"/>
    <x v="1"/>
    <x v="0"/>
    <x v="1"/>
    <x v="0"/>
    <x v="0"/>
    <n v="910"/>
    <x v="1"/>
    <n v="339"/>
    <n v="308490"/>
    <x v="0"/>
    <x v="2"/>
    <x v="0"/>
    <n v="0"/>
    <n v="0"/>
    <n v="2"/>
    <n v="2"/>
    <n v="2058074"/>
  </r>
  <r>
    <s v="ORD1003"/>
    <x v="2"/>
    <x v="2"/>
    <x v="1"/>
    <x v="2"/>
    <x v="0"/>
    <x v="1"/>
    <n v="320"/>
    <x v="1"/>
    <n v="309"/>
    <n v="98880"/>
    <x v="2"/>
    <x v="3"/>
    <x v="1"/>
    <n v="0"/>
    <n v="1"/>
    <n v="-1"/>
    <n v="2"/>
    <n v="556044"/>
  </r>
  <r>
    <s v="ORD1004"/>
    <x v="3"/>
    <x v="3"/>
    <x v="2"/>
    <x v="3"/>
    <x v="0"/>
    <x v="2"/>
    <n v="156"/>
    <x v="0"/>
    <n v="365"/>
    <n v="56940"/>
    <x v="3"/>
    <x v="4"/>
    <x v="0"/>
    <n v="0"/>
    <n v="0"/>
    <n v="2"/>
    <n v="2"/>
    <n v="347602"/>
  </r>
  <r>
    <s v="ORD1005"/>
    <x v="3"/>
    <x v="2"/>
    <x v="3"/>
    <x v="4"/>
    <x v="0"/>
    <x v="2"/>
    <n v="121"/>
    <x v="0"/>
    <n v="378"/>
    <n v="45738"/>
    <x v="1"/>
    <x v="5"/>
    <x v="0"/>
    <n v="0"/>
    <n v="0"/>
    <n v="2"/>
    <n v="2"/>
    <n v="226002"/>
  </r>
  <r>
    <s v="ORD1006"/>
    <x v="4"/>
    <x v="0"/>
    <x v="2"/>
    <x v="5"/>
    <x v="0"/>
    <x v="3"/>
    <n v="750"/>
    <x v="1"/>
    <n v="354"/>
    <n v="265500"/>
    <x v="4"/>
    <x v="6"/>
    <x v="0"/>
    <n v="0"/>
    <n v="0"/>
    <n v="2"/>
    <n v="2"/>
    <n v="1599229"/>
  </r>
  <r>
    <s v="ORD1007"/>
    <x v="1"/>
    <x v="4"/>
    <x v="1"/>
    <x v="6"/>
    <x v="0"/>
    <x v="0"/>
    <n v="70"/>
    <x v="2"/>
    <n v="466"/>
    <n v="32620"/>
    <x v="0"/>
    <x v="7"/>
    <x v="1"/>
    <n v="0"/>
    <n v="1"/>
    <n v="-1"/>
    <n v="2"/>
    <n v="149347"/>
  </r>
  <r>
    <s v="ORD1008"/>
    <x v="5"/>
    <x v="4"/>
    <x v="2"/>
    <x v="7"/>
    <x v="0"/>
    <x v="0"/>
    <n v="664"/>
    <x v="1"/>
    <n v="371"/>
    <n v="246344"/>
    <x v="5"/>
    <x v="8"/>
    <x v="0"/>
    <n v="0"/>
    <n v="0"/>
    <n v="2"/>
    <n v="2"/>
    <n v="1351754"/>
  </r>
  <r>
    <s v="ORD1009"/>
    <x v="1"/>
    <x v="5"/>
    <x v="0"/>
    <x v="8"/>
    <x v="0"/>
    <x v="0"/>
    <n v="171"/>
    <x v="0"/>
    <n v="356"/>
    <n v="60876"/>
    <x v="6"/>
    <x v="9"/>
    <x v="0"/>
    <n v="0"/>
    <n v="0"/>
    <n v="2"/>
    <n v="2"/>
    <n v="271940"/>
  </r>
  <r>
    <s v="ORD1010"/>
    <x v="2"/>
    <x v="5"/>
    <x v="3"/>
    <x v="9"/>
    <x v="0"/>
    <x v="0"/>
    <n v="516"/>
    <x v="1"/>
    <n v="409"/>
    <n v="211044"/>
    <x v="3"/>
    <x v="10"/>
    <x v="0"/>
    <n v="0"/>
    <n v="0"/>
    <n v="2"/>
    <n v="2"/>
    <n v="1205016"/>
  </r>
  <r>
    <s v="ORD1011"/>
    <x v="0"/>
    <x v="3"/>
    <x v="4"/>
    <x v="10"/>
    <x v="0"/>
    <x v="2"/>
    <n v="264"/>
    <x v="3"/>
    <n v="328"/>
    <n v="86592"/>
    <x v="3"/>
    <x v="11"/>
    <x v="0"/>
    <n v="0"/>
    <n v="0"/>
    <n v="2"/>
    <n v="2"/>
    <n v="480686"/>
  </r>
  <r>
    <s v="ORD1012"/>
    <x v="1"/>
    <x v="2"/>
    <x v="2"/>
    <x v="11"/>
    <x v="0"/>
    <x v="2"/>
    <n v="380"/>
    <x v="1"/>
    <n v="460"/>
    <n v="174800"/>
    <x v="5"/>
    <x v="12"/>
    <x v="0"/>
    <n v="0"/>
    <n v="0"/>
    <n v="2"/>
    <n v="2"/>
    <n v="640877"/>
  </r>
  <r>
    <s v="ORD1013"/>
    <x v="2"/>
    <x v="3"/>
    <x v="2"/>
    <x v="3"/>
    <x v="0"/>
    <x v="2"/>
    <n v="508"/>
    <x v="1"/>
    <n v="315"/>
    <n v="160020"/>
    <x v="1"/>
    <x v="13"/>
    <x v="0"/>
    <n v="0"/>
    <n v="0"/>
    <n v="2"/>
    <n v="2"/>
    <n v="782714"/>
  </r>
  <r>
    <s v="ORD1014"/>
    <x v="0"/>
    <x v="5"/>
    <x v="0"/>
    <x v="8"/>
    <x v="0"/>
    <x v="0"/>
    <n v="137"/>
    <x v="0"/>
    <n v="497"/>
    <n v="68089"/>
    <x v="1"/>
    <x v="14"/>
    <x v="0"/>
    <n v="0"/>
    <n v="0"/>
    <n v="2"/>
    <n v="2"/>
    <n v="286452"/>
  </r>
  <r>
    <s v="ORD1015"/>
    <x v="0"/>
    <x v="5"/>
    <x v="0"/>
    <x v="8"/>
    <x v="0"/>
    <x v="0"/>
    <n v="422"/>
    <x v="1"/>
    <n v="454"/>
    <n v="191588"/>
    <x v="4"/>
    <x v="15"/>
    <x v="0"/>
    <n v="0"/>
    <n v="0"/>
    <n v="2"/>
    <n v="2"/>
    <n v="918932"/>
  </r>
  <r>
    <s v="ORD1016"/>
    <x v="2"/>
    <x v="3"/>
    <x v="5"/>
    <x v="12"/>
    <x v="1"/>
    <x v="3"/>
    <n v="149"/>
    <x v="0"/>
    <n v="340"/>
    <n v="50660"/>
    <x v="1"/>
    <x v="16"/>
    <x v="1"/>
    <n v="0"/>
    <n v="1"/>
    <n v="-1"/>
    <n v="2"/>
    <n v="225972"/>
  </r>
  <r>
    <s v="ORD1017"/>
    <x v="0"/>
    <x v="2"/>
    <x v="4"/>
    <x v="13"/>
    <x v="0"/>
    <x v="1"/>
    <n v="921"/>
    <x v="1"/>
    <n v="301"/>
    <n v="277221"/>
    <x v="0"/>
    <x v="17"/>
    <x v="0"/>
    <n v="0"/>
    <n v="0"/>
    <n v="2"/>
    <n v="2"/>
    <n v="1853138"/>
  </r>
  <r>
    <s v="ORD1018"/>
    <x v="3"/>
    <x v="2"/>
    <x v="1"/>
    <x v="2"/>
    <x v="0"/>
    <x v="2"/>
    <n v="713"/>
    <x v="1"/>
    <n v="463"/>
    <n v="330119"/>
    <x v="3"/>
    <x v="18"/>
    <x v="1"/>
    <n v="0"/>
    <n v="1"/>
    <n v="-1"/>
    <n v="2"/>
    <n v="1230991"/>
  </r>
  <r>
    <s v="ORD1019"/>
    <x v="1"/>
    <x v="0"/>
    <x v="3"/>
    <x v="14"/>
    <x v="1"/>
    <x v="0"/>
    <n v="180"/>
    <x v="0"/>
    <n v="441"/>
    <n v="79380"/>
    <x v="4"/>
    <x v="19"/>
    <x v="0"/>
    <n v="0"/>
    <n v="0"/>
    <n v="2"/>
    <n v="2"/>
    <n v="386131"/>
  </r>
  <r>
    <s v="ORD1020"/>
    <x v="3"/>
    <x v="1"/>
    <x v="0"/>
    <x v="1"/>
    <x v="0"/>
    <x v="0"/>
    <n v="711"/>
    <x v="1"/>
    <n v="446"/>
    <n v="317106"/>
    <x v="6"/>
    <x v="20"/>
    <x v="0"/>
    <n v="0"/>
    <n v="0"/>
    <n v="2"/>
    <n v="2"/>
    <n v="1190475"/>
  </r>
  <r>
    <s v="ORD1021"/>
    <x v="3"/>
    <x v="2"/>
    <x v="5"/>
    <x v="15"/>
    <x v="0"/>
    <x v="0"/>
    <n v="358"/>
    <x v="1"/>
    <n v="454"/>
    <n v="162532"/>
    <x v="5"/>
    <x v="21"/>
    <x v="0"/>
    <n v="0"/>
    <n v="0"/>
    <n v="2"/>
    <n v="2"/>
    <n v="784356"/>
  </r>
  <r>
    <s v="ORD1022"/>
    <x v="5"/>
    <x v="1"/>
    <x v="5"/>
    <x v="16"/>
    <x v="0"/>
    <x v="0"/>
    <n v="819"/>
    <x v="1"/>
    <n v="315"/>
    <n v="257985"/>
    <x v="1"/>
    <x v="22"/>
    <x v="0"/>
    <n v="0"/>
    <n v="0"/>
    <n v="2"/>
    <n v="2"/>
    <n v="1545236"/>
  </r>
  <r>
    <s v="ORD1023"/>
    <x v="1"/>
    <x v="2"/>
    <x v="4"/>
    <x v="13"/>
    <x v="0"/>
    <x v="0"/>
    <n v="393"/>
    <x v="1"/>
    <n v="372"/>
    <n v="146196"/>
    <x v="5"/>
    <x v="23"/>
    <x v="0"/>
    <n v="0"/>
    <n v="0"/>
    <n v="2"/>
    <n v="2"/>
    <n v="957635"/>
  </r>
  <r>
    <s v="ORD1024"/>
    <x v="4"/>
    <x v="0"/>
    <x v="1"/>
    <x v="17"/>
    <x v="0"/>
    <x v="2"/>
    <n v="541"/>
    <x v="1"/>
    <n v="323"/>
    <n v="174743"/>
    <x v="0"/>
    <x v="24"/>
    <x v="0"/>
    <n v="0"/>
    <n v="0"/>
    <n v="2"/>
    <n v="2"/>
    <n v="885899"/>
  </r>
  <r>
    <s v="ORD1025"/>
    <x v="5"/>
    <x v="3"/>
    <x v="5"/>
    <x v="12"/>
    <x v="1"/>
    <x v="1"/>
    <n v="463"/>
    <x v="1"/>
    <n v="473"/>
    <n v="218999"/>
    <x v="1"/>
    <x v="25"/>
    <x v="1"/>
    <n v="0"/>
    <n v="1"/>
    <n v="-1"/>
    <n v="2"/>
    <n v="852414"/>
  </r>
  <r>
    <s v="ORD1026"/>
    <x v="1"/>
    <x v="0"/>
    <x v="5"/>
    <x v="18"/>
    <x v="0"/>
    <x v="3"/>
    <n v="855"/>
    <x v="1"/>
    <n v="425"/>
    <n v="363375"/>
    <x v="5"/>
    <x v="26"/>
    <x v="0"/>
    <n v="0"/>
    <n v="0"/>
    <n v="2"/>
    <n v="2"/>
    <n v="1379520"/>
  </r>
  <r>
    <s v="ORD1027"/>
    <x v="1"/>
    <x v="5"/>
    <x v="0"/>
    <x v="8"/>
    <x v="0"/>
    <x v="0"/>
    <n v="435"/>
    <x v="1"/>
    <n v="366"/>
    <n v="159210"/>
    <x v="4"/>
    <x v="27"/>
    <x v="0"/>
    <n v="0"/>
    <n v="0"/>
    <n v="2"/>
    <n v="2"/>
    <n v="1054742"/>
  </r>
  <r>
    <s v="ORD1028"/>
    <x v="4"/>
    <x v="5"/>
    <x v="1"/>
    <x v="19"/>
    <x v="0"/>
    <x v="0"/>
    <n v="241"/>
    <x v="3"/>
    <n v="313"/>
    <n v="75433"/>
    <x v="3"/>
    <x v="28"/>
    <x v="0"/>
    <n v="0"/>
    <n v="0"/>
    <n v="2"/>
    <n v="2"/>
    <n v="572939"/>
  </r>
  <r>
    <s v="ORD1029"/>
    <x v="0"/>
    <x v="1"/>
    <x v="0"/>
    <x v="1"/>
    <x v="0"/>
    <x v="0"/>
    <n v="326"/>
    <x v="1"/>
    <n v="362"/>
    <n v="118012"/>
    <x v="3"/>
    <x v="29"/>
    <x v="1"/>
    <n v="0"/>
    <n v="1"/>
    <n v="-1"/>
    <n v="2"/>
    <n v="573089"/>
  </r>
  <r>
    <s v="ORD1030"/>
    <x v="3"/>
    <x v="3"/>
    <x v="1"/>
    <x v="20"/>
    <x v="0"/>
    <x v="0"/>
    <n v="210"/>
    <x v="3"/>
    <n v="365"/>
    <n v="76650"/>
    <x v="4"/>
    <x v="30"/>
    <x v="2"/>
    <n v="453597"/>
    <n v="0"/>
    <n v="0"/>
    <n v="2"/>
    <n v="453597"/>
  </r>
  <r>
    <s v="ORD1031"/>
    <x v="3"/>
    <x v="0"/>
    <x v="3"/>
    <x v="14"/>
    <x v="1"/>
    <x v="3"/>
    <n v="509"/>
    <x v="1"/>
    <n v="446"/>
    <n v="227014"/>
    <x v="6"/>
    <x v="31"/>
    <x v="0"/>
    <n v="0"/>
    <n v="0"/>
    <n v="2"/>
    <n v="2"/>
    <n v="1179466"/>
  </r>
  <r>
    <s v="ORD1032"/>
    <x v="0"/>
    <x v="5"/>
    <x v="5"/>
    <x v="21"/>
    <x v="0"/>
    <x v="0"/>
    <n v="363"/>
    <x v="1"/>
    <n v="428"/>
    <n v="155364"/>
    <x v="1"/>
    <x v="32"/>
    <x v="0"/>
    <n v="0"/>
    <n v="0"/>
    <n v="2"/>
    <n v="2"/>
    <n v="746038"/>
  </r>
  <r>
    <s v="ORD1033"/>
    <x v="4"/>
    <x v="5"/>
    <x v="4"/>
    <x v="22"/>
    <x v="0"/>
    <x v="2"/>
    <n v="71"/>
    <x v="2"/>
    <n v="477"/>
    <n v="33867"/>
    <x v="2"/>
    <x v="33"/>
    <x v="0"/>
    <n v="0"/>
    <n v="0"/>
    <n v="2"/>
    <n v="2"/>
    <n v="144105"/>
  </r>
  <r>
    <s v="ORD1034"/>
    <x v="5"/>
    <x v="0"/>
    <x v="3"/>
    <x v="14"/>
    <x v="1"/>
    <x v="0"/>
    <n v="302"/>
    <x v="1"/>
    <n v="394"/>
    <n v="118988"/>
    <x v="0"/>
    <x v="34"/>
    <x v="0"/>
    <n v="0"/>
    <n v="0"/>
    <n v="2"/>
    <n v="2"/>
    <n v="526039"/>
  </r>
  <r>
    <s v="ORD1035"/>
    <x v="0"/>
    <x v="4"/>
    <x v="1"/>
    <x v="6"/>
    <x v="0"/>
    <x v="0"/>
    <n v="797"/>
    <x v="1"/>
    <n v="324"/>
    <n v="258228"/>
    <x v="4"/>
    <x v="35"/>
    <x v="0"/>
    <n v="0"/>
    <n v="0"/>
    <n v="2"/>
    <n v="2"/>
    <n v="1269703"/>
  </r>
  <r>
    <s v="ORD1036"/>
    <x v="3"/>
    <x v="0"/>
    <x v="0"/>
    <x v="0"/>
    <x v="0"/>
    <x v="2"/>
    <n v="906"/>
    <x v="1"/>
    <n v="443"/>
    <n v="401358"/>
    <x v="1"/>
    <x v="36"/>
    <x v="0"/>
    <n v="0"/>
    <n v="0"/>
    <n v="2"/>
    <n v="2"/>
    <n v="2171877"/>
  </r>
  <r>
    <s v="ORD1037"/>
    <x v="0"/>
    <x v="1"/>
    <x v="3"/>
    <x v="23"/>
    <x v="0"/>
    <x v="0"/>
    <n v="610"/>
    <x v="1"/>
    <n v="452"/>
    <n v="275720"/>
    <x v="3"/>
    <x v="37"/>
    <x v="0"/>
    <n v="0"/>
    <n v="0"/>
    <n v="2"/>
    <n v="2"/>
    <n v="1464255"/>
  </r>
  <r>
    <s v="ORD1038"/>
    <x v="4"/>
    <x v="1"/>
    <x v="5"/>
    <x v="16"/>
    <x v="0"/>
    <x v="3"/>
    <n v="524"/>
    <x v="1"/>
    <n v="412"/>
    <n v="215888"/>
    <x v="0"/>
    <x v="38"/>
    <x v="0"/>
    <n v="0"/>
    <n v="0"/>
    <n v="2"/>
    <n v="2"/>
    <n v="1117745"/>
  </r>
  <r>
    <s v="ORD1039"/>
    <x v="0"/>
    <x v="0"/>
    <x v="5"/>
    <x v="18"/>
    <x v="0"/>
    <x v="3"/>
    <n v="108"/>
    <x v="0"/>
    <n v="454"/>
    <n v="49032"/>
    <x v="3"/>
    <x v="39"/>
    <x v="0"/>
    <n v="0"/>
    <n v="0"/>
    <n v="2"/>
    <n v="2"/>
    <n v="198615"/>
  </r>
  <r>
    <s v="ORD1040"/>
    <x v="3"/>
    <x v="4"/>
    <x v="2"/>
    <x v="7"/>
    <x v="0"/>
    <x v="0"/>
    <n v="560"/>
    <x v="1"/>
    <n v="399"/>
    <n v="223440"/>
    <x v="5"/>
    <x v="40"/>
    <x v="2"/>
    <n v="1035557"/>
    <n v="0"/>
    <n v="0"/>
    <n v="2"/>
    <n v="1035557"/>
  </r>
  <r>
    <s v="ORD1041"/>
    <x v="1"/>
    <x v="2"/>
    <x v="5"/>
    <x v="15"/>
    <x v="0"/>
    <x v="2"/>
    <n v="731"/>
    <x v="1"/>
    <n v="405"/>
    <n v="296055"/>
    <x v="2"/>
    <x v="41"/>
    <x v="0"/>
    <n v="0"/>
    <n v="0"/>
    <n v="2"/>
    <n v="2"/>
    <n v="1627174"/>
  </r>
  <r>
    <s v="ORD1042"/>
    <x v="2"/>
    <x v="3"/>
    <x v="5"/>
    <x v="12"/>
    <x v="1"/>
    <x v="2"/>
    <n v="525"/>
    <x v="1"/>
    <n v="386"/>
    <n v="202650"/>
    <x v="5"/>
    <x v="42"/>
    <x v="0"/>
    <n v="0"/>
    <n v="0"/>
    <n v="2"/>
    <n v="2"/>
    <n v="1258483"/>
  </r>
  <r>
    <s v="ORD1043"/>
    <x v="2"/>
    <x v="5"/>
    <x v="0"/>
    <x v="8"/>
    <x v="0"/>
    <x v="2"/>
    <n v="749"/>
    <x v="1"/>
    <n v="305"/>
    <n v="228445"/>
    <x v="2"/>
    <x v="43"/>
    <x v="0"/>
    <n v="0"/>
    <n v="0"/>
    <n v="2"/>
    <n v="2"/>
    <n v="1787928"/>
  </r>
  <r>
    <s v="ORD1044"/>
    <x v="1"/>
    <x v="4"/>
    <x v="3"/>
    <x v="24"/>
    <x v="0"/>
    <x v="3"/>
    <n v="832"/>
    <x v="1"/>
    <n v="322"/>
    <n v="267904"/>
    <x v="2"/>
    <x v="44"/>
    <x v="1"/>
    <n v="0"/>
    <n v="1"/>
    <n v="-1"/>
    <n v="2"/>
    <n v="1896856"/>
  </r>
  <r>
    <s v="ORD1045"/>
    <x v="2"/>
    <x v="3"/>
    <x v="4"/>
    <x v="10"/>
    <x v="0"/>
    <x v="0"/>
    <n v="239"/>
    <x v="3"/>
    <n v="306"/>
    <n v="73134"/>
    <x v="5"/>
    <x v="45"/>
    <x v="0"/>
    <n v="0"/>
    <n v="0"/>
    <n v="2"/>
    <n v="2"/>
    <n v="511946"/>
  </r>
  <r>
    <s v="ORD1046"/>
    <x v="1"/>
    <x v="2"/>
    <x v="3"/>
    <x v="4"/>
    <x v="0"/>
    <x v="0"/>
    <n v="736"/>
    <x v="1"/>
    <n v="427"/>
    <n v="314272"/>
    <x v="3"/>
    <x v="46"/>
    <x v="1"/>
    <n v="0"/>
    <n v="1"/>
    <n v="-1"/>
    <n v="2"/>
    <n v="1165927"/>
  </r>
  <r>
    <s v="ORD1047"/>
    <x v="2"/>
    <x v="1"/>
    <x v="2"/>
    <x v="25"/>
    <x v="0"/>
    <x v="3"/>
    <n v="612"/>
    <x v="1"/>
    <n v="363"/>
    <n v="222156"/>
    <x v="0"/>
    <x v="47"/>
    <x v="0"/>
    <n v="0"/>
    <n v="0"/>
    <n v="2"/>
    <n v="2"/>
    <n v="1016917"/>
  </r>
  <r>
    <s v="ORD1048"/>
    <x v="0"/>
    <x v="3"/>
    <x v="4"/>
    <x v="10"/>
    <x v="0"/>
    <x v="1"/>
    <n v="925"/>
    <x v="1"/>
    <n v="402"/>
    <n v="371850"/>
    <x v="3"/>
    <x v="48"/>
    <x v="0"/>
    <n v="0"/>
    <n v="0"/>
    <n v="2"/>
    <n v="2"/>
    <n v="2218663"/>
  </r>
  <r>
    <s v="ORD1049"/>
    <x v="5"/>
    <x v="3"/>
    <x v="3"/>
    <x v="26"/>
    <x v="0"/>
    <x v="3"/>
    <n v="616"/>
    <x v="1"/>
    <n v="482"/>
    <n v="296912"/>
    <x v="0"/>
    <x v="49"/>
    <x v="0"/>
    <n v="0"/>
    <n v="0"/>
    <n v="2"/>
    <n v="2"/>
    <n v="1297560"/>
  </r>
  <r>
    <s v="ORD1050"/>
    <x v="5"/>
    <x v="5"/>
    <x v="3"/>
    <x v="9"/>
    <x v="0"/>
    <x v="0"/>
    <n v="293"/>
    <x v="3"/>
    <n v="350"/>
    <n v="102550"/>
    <x v="2"/>
    <x v="50"/>
    <x v="0"/>
    <n v="0"/>
    <n v="0"/>
    <n v="2"/>
    <n v="2"/>
    <n v="442195"/>
  </r>
  <r>
    <s v="ORD1051"/>
    <x v="2"/>
    <x v="2"/>
    <x v="4"/>
    <x v="13"/>
    <x v="0"/>
    <x v="1"/>
    <n v="881"/>
    <x v="1"/>
    <n v="382"/>
    <n v="336542"/>
    <x v="3"/>
    <x v="51"/>
    <x v="0"/>
    <n v="0"/>
    <n v="0"/>
    <n v="2"/>
    <n v="2"/>
    <n v="1410896"/>
  </r>
  <r>
    <s v="ORD1052"/>
    <x v="2"/>
    <x v="4"/>
    <x v="1"/>
    <x v="6"/>
    <x v="0"/>
    <x v="0"/>
    <n v="554"/>
    <x v="1"/>
    <n v="451"/>
    <n v="249854"/>
    <x v="0"/>
    <x v="52"/>
    <x v="1"/>
    <n v="0"/>
    <n v="1"/>
    <n v="-1"/>
    <n v="2"/>
    <n v="1198580"/>
  </r>
  <r>
    <s v="ORD1053"/>
    <x v="4"/>
    <x v="2"/>
    <x v="2"/>
    <x v="11"/>
    <x v="0"/>
    <x v="2"/>
    <n v="180"/>
    <x v="0"/>
    <n v="346"/>
    <n v="62280"/>
    <x v="1"/>
    <x v="53"/>
    <x v="0"/>
    <n v="0"/>
    <n v="0"/>
    <n v="2"/>
    <n v="2"/>
    <n v="270911"/>
  </r>
  <r>
    <s v="ORD1054"/>
    <x v="0"/>
    <x v="0"/>
    <x v="0"/>
    <x v="0"/>
    <x v="0"/>
    <x v="0"/>
    <n v="534"/>
    <x v="1"/>
    <n v="315"/>
    <n v="168210"/>
    <x v="1"/>
    <x v="54"/>
    <x v="1"/>
    <n v="0"/>
    <n v="1"/>
    <n v="-1"/>
    <n v="2"/>
    <n v="886871"/>
  </r>
  <r>
    <s v="ORD1055"/>
    <x v="0"/>
    <x v="3"/>
    <x v="0"/>
    <x v="27"/>
    <x v="0"/>
    <x v="2"/>
    <n v="868"/>
    <x v="1"/>
    <n v="358"/>
    <n v="310744"/>
    <x v="5"/>
    <x v="55"/>
    <x v="0"/>
    <n v="0"/>
    <n v="0"/>
    <n v="2"/>
    <n v="2"/>
    <n v="1778301"/>
  </r>
  <r>
    <s v="ORD1056"/>
    <x v="2"/>
    <x v="4"/>
    <x v="1"/>
    <x v="6"/>
    <x v="0"/>
    <x v="0"/>
    <n v="696"/>
    <x v="1"/>
    <n v="332"/>
    <n v="231072"/>
    <x v="3"/>
    <x v="56"/>
    <x v="0"/>
    <n v="0"/>
    <n v="0"/>
    <n v="2"/>
    <n v="2"/>
    <n v="1525559"/>
  </r>
  <r>
    <s v="ORD1057"/>
    <x v="3"/>
    <x v="2"/>
    <x v="3"/>
    <x v="4"/>
    <x v="0"/>
    <x v="3"/>
    <n v="70"/>
    <x v="2"/>
    <n v="486"/>
    <n v="34020"/>
    <x v="0"/>
    <x v="57"/>
    <x v="0"/>
    <n v="0"/>
    <n v="0"/>
    <n v="2"/>
    <n v="2"/>
    <n v="150637"/>
  </r>
  <r>
    <s v="ORD1058"/>
    <x v="1"/>
    <x v="3"/>
    <x v="3"/>
    <x v="26"/>
    <x v="0"/>
    <x v="2"/>
    <n v="890"/>
    <x v="1"/>
    <n v="462"/>
    <n v="411180"/>
    <x v="5"/>
    <x v="58"/>
    <x v="0"/>
    <n v="0"/>
    <n v="0"/>
    <n v="2"/>
    <n v="2"/>
    <n v="1534600"/>
  </r>
  <r>
    <s v="ORD1059"/>
    <x v="5"/>
    <x v="3"/>
    <x v="0"/>
    <x v="27"/>
    <x v="0"/>
    <x v="3"/>
    <n v="216"/>
    <x v="3"/>
    <n v="427"/>
    <n v="92232"/>
    <x v="1"/>
    <x v="59"/>
    <x v="0"/>
    <n v="0"/>
    <n v="0"/>
    <n v="2"/>
    <n v="2"/>
    <n v="477831"/>
  </r>
  <r>
    <s v="ORD1060"/>
    <x v="4"/>
    <x v="0"/>
    <x v="0"/>
    <x v="0"/>
    <x v="0"/>
    <x v="1"/>
    <n v="323"/>
    <x v="1"/>
    <n v="474"/>
    <n v="153102"/>
    <x v="4"/>
    <x v="60"/>
    <x v="0"/>
    <n v="0"/>
    <n v="0"/>
    <n v="2"/>
    <n v="2"/>
    <n v="561131"/>
  </r>
  <r>
    <s v="ORD1061"/>
    <x v="0"/>
    <x v="2"/>
    <x v="0"/>
    <x v="28"/>
    <x v="0"/>
    <x v="3"/>
    <n v="437"/>
    <x v="1"/>
    <n v="461"/>
    <n v="201457"/>
    <x v="6"/>
    <x v="61"/>
    <x v="0"/>
    <n v="0"/>
    <n v="0"/>
    <n v="2"/>
    <n v="2"/>
    <n v="797700"/>
  </r>
  <r>
    <s v="ORD1062"/>
    <x v="0"/>
    <x v="3"/>
    <x v="2"/>
    <x v="3"/>
    <x v="0"/>
    <x v="1"/>
    <n v="650"/>
    <x v="1"/>
    <n v="337"/>
    <n v="219050"/>
    <x v="1"/>
    <x v="62"/>
    <x v="2"/>
    <n v="1460219"/>
    <n v="0"/>
    <n v="0"/>
    <n v="2"/>
    <n v="1460219"/>
  </r>
  <r>
    <s v="ORD1063"/>
    <x v="3"/>
    <x v="5"/>
    <x v="1"/>
    <x v="19"/>
    <x v="0"/>
    <x v="1"/>
    <n v="365"/>
    <x v="1"/>
    <n v="479"/>
    <n v="174835"/>
    <x v="6"/>
    <x v="63"/>
    <x v="0"/>
    <n v="0"/>
    <n v="0"/>
    <n v="2"/>
    <n v="2"/>
    <n v="784616"/>
  </r>
  <r>
    <s v="ORD1064"/>
    <x v="4"/>
    <x v="5"/>
    <x v="0"/>
    <x v="8"/>
    <x v="0"/>
    <x v="3"/>
    <n v="63"/>
    <x v="2"/>
    <n v="408"/>
    <n v="25704"/>
    <x v="0"/>
    <x v="64"/>
    <x v="1"/>
    <n v="0"/>
    <n v="1"/>
    <n v="-1"/>
    <n v="2"/>
    <n v="148001"/>
  </r>
  <r>
    <s v="ORD1065"/>
    <x v="3"/>
    <x v="0"/>
    <x v="4"/>
    <x v="29"/>
    <x v="0"/>
    <x v="1"/>
    <n v="291"/>
    <x v="3"/>
    <n v="462"/>
    <n v="134442"/>
    <x v="4"/>
    <x v="65"/>
    <x v="0"/>
    <n v="0"/>
    <n v="0"/>
    <n v="2"/>
    <n v="2"/>
    <n v="627865"/>
  </r>
  <r>
    <s v="ORD1066"/>
    <x v="2"/>
    <x v="3"/>
    <x v="5"/>
    <x v="12"/>
    <x v="1"/>
    <x v="3"/>
    <n v="826"/>
    <x v="1"/>
    <n v="479"/>
    <n v="395654"/>
    <x v="1"/>
    <x v="66"/>
    <x v="1"/>
    <n v="0"/>
    <n v="1"/>
    <n v="-1"/>
    <n v="2"/>
    <n v="1708423"/>
  </r>
  <r>
    <s v="ORD1067"/>
    <x v="1"/>
    <x v="1"/>
    <x v="0"/>
    <x v="1"/>
    <x v="0"/>
    <x v="1"/>
    <n v="395"/>
    <x v="1"/>
    <n v="364"/>
    <n v="143780"/>
    <x v="5"/>
    <x v="67"/>
    <x v="0"/>
    <n v="0"/>
    <n v="0"/>
    <n v="2"/>
    <n v="2"/>
    <n v="629502"/>
  </r>
  <r>
    <s v="ORD1068"/>
    <x v="2"/>
    <x v="3"/>
    <x v="5"/>
    <x v="12"/>
    <x v="1"/>
    <x v="2"/>
    <n v="614"/>
    <x v="1"/>
    <n v="322"/>
    <n v="197708"/>
    <x v="5"/>
    <x v="68"/>
    <x v="0"/>
    <n v="0"/>
    <n v="0"/>
    <n v="2"/>
    <n v="2"/>
    <n v="1146778"/>
  </r>
  <r>
    <s v="ORD1069"/>
    <x v="2"/>
    <x v="0"/>
    <x v="1"/>
    <x v="17"/>
    <x v="0"/>
    <x v="0"/>
    <n v="947"/>
    <x v="1"/>
    <n v="346"/>
    <n v="327662"/>
    <x v="4"/>
    <x v="69"/>
    <x v="0"/>
    <n v="0"/>
    <n v="0"/>
    <n v="2"/>
    <n v="2"/>
    <n v="1671647"/>
  </r>
  <r>
    <s v="ORD1070"/>
    <x v="2"/>
    <x v="5"/>
    <x v="4"/>
    <x v="22"/>
    <x v="0"/>
    <x v="1"/>
    <n v="389"/>
    <x v="1"/>
    <n v="385"/>
    <n v="149765"/>
    <x v="6"/>
    <x v="70"/>
    <x v="0"/>
    <n v="0"/>
    <n v="0"/>
    <n v="2"/>
    <n v="2"/>
    <n v="678412"/>
  </r>
  <r>
    <s v="ORD1071"/>
    <x v="4"/>
    <x v="2"/>
    <x v="3"/>
    <x v="4"/>
    <x v="0"/>
    <x v="1"/>
    <n v="141"/>
    <x v="0"/>
    <n v="464"/>
    <n v="65424"/>
    <x v="0"/>
    <x v="71"/>
    <x v="1"/>
    <n v="0"/>
    <n v="1"/>
    <n v="-1"/>
    <n v="2"/>
    <n v="348694"/>
  </r>
  <r>
    <s v="ORD1072"/>
    <x v="4"/>
    <x v="4"/>
    <x v="5"/>
    <x v="30"/>
    <x v="0"/>
    <x v="1"/>
    <n v="416"/>
    <x v="1"/>
    <n v="472"/>
    <n v="196352"/>
    <x v="6"/>
    <x v="72"/>
    <x v="2"/>
    <n v="787529"/>
    <n v="0"/>
    <n v="0"/>
    <n v="2"/>
    <n v="787529"/>
  </r>
  <r>
    <s v="ORD1073"/>
    <x v="2"/>
    <x v="1"/>
    <x v="0"/>
    <x v="1"/>
    <x v="0"/>
    <x v="1"/>
    <n v="504"/>
    <x v="1"/>
    <n v="301"/>
    <n v="151704"/>
    <x v="1"/>
    <x v="73"/>
    <x v="0"/>
    <n v="0"/>
    <n v="0"/>
    <n v="2"/>
    <n v="2"/>
    <n v="1205591"/>
  </r>
  <r>
    <s v="ORD1074"/>
    <x v="0"/>
    <x v="1"/>
    <x v="1"/>
    <x v="31"/>
    <x v="1"/>
    <x v="3"/>
    <n v="477"/>
    <x v="1"/>
    <n v="402"/>
    <n v="191754"/>
    <x v="6"/>
    <x v="74"/>
    <x v="0"/>
    <n v="0"/>
    <n v="0"/>
    <n v="2"/>
    <n v="2"/>
    <n v="1016553"/>
  </r>
  <r>
    <s v="ORD1075"/>
    <x v="5"/>
    <x v="3"/>
    <x v="1"/>
    <x v="20"/>
    <x v="0"/>
    <x v="2"/>
    <n v="558"/>
    <x v="1"/>
    <n v="384"/>
    <n v="214272"/>
    <x v="2"/>
    <x v="75"/>
    <x v="0"/>
    <n v="0"/>
    <n v="0"/>
    <n v="2"/>
    <n v="2"/>
    <n v="1280505"/>
  </r>
  <r>
    <s v="ORD1076"/>
    <x v="4"/>
    <x v="0"/>
    <x v="1"/>
    <x v="17"/>
    <x v="0"/>
    <x v="1"/>
    <n v="825"/>
    <x v="1"/>
    <n v="344"/>
    <n v="283800"/>
    <x v="5"/>
    <x v="76"/>
    <x v="1"/>
    <n v="0"/>
    <n v="1"/>
    <n v="-1"/>
    <n v="2"/>
    <n v="1652176"/>
  </r>
  <r>
    <s v="ORD1077"/>
    <x v="5"/>
    <x v="4"/>
    <x v="5"/>
    <x v="30"/>
    <x v="0"/>
    <x v="3"/>
    <n v="992"/>
    <x v="1"/>
    <n v="324"/>
    <n v="321408"/>
    <x v="5"/>
    <x v="77"/>
    <x v="1"/>
    <n v="0"/>
    <n v="1"/>
    <n v="-1"/>
    <n v="2"/>
    <n v="2060289"/>
  </r>
  <r>
    <s v="ORD1078"/>
    <x v="2"/>
    <x v="4"/>
    <x v="3"/>
    <x v="24"/>
    <x v="0"/>
    <x v="3"/>
    <n v="84"/>
    <x v="2"/>
    <n v="368"/>
    <n v="30912"/>
    <x v="3"/>
    <x v="78"/>
    <x v="0"/>
    <n v="0"/>
    <n v="0"/>
    <n v="2"/>
    <n v="2"/>
    <n v="167371"/>
  </r>
  <r>
    <s v="ORD1079"/>
    <x v="2"/>
    <x v="4"/>
    <x v="5"/>
    <x v="30"/>
    <x v="0"/>
    <x v="0"/>
    <n v="255"/>
    <x v="3"/>
    <n v="489"/>
    <n v="124695"/>
    <x v="3"/>
    <x v="79"/>
    <x v="0"/>
    <n v="0"/>
    <n v="0"/>
    <n v="2"/>
    <n v="2"/>
    <n v="432287"/>
  </r>
  <r>
    <s v="ORD1080"/>
    <x v="0"/>
    <x v="1"/>
    <x v="4"/>
    <x v="32"/>
    <x v="0"/>
    <x v="1"/>
    <n v="130"/>
    <x v="0"/>
    <n v="365"/>
    <n v="47450"/>
    <x v="6"/>
    <x v="80"/>
    <x v="0"/>
    <n v="0"/>
    <n v="0"/>
    <n v="2"/>
    <n v="2"/>
    <n v="288919"/>
  </r>
  <r>
    <s v="ORD1081"/>
    <x v="2"/>
    <x v="1"/>
    <x v="3"/>
    <x v="23"/>
    <x v="0"/>
    <x v="3"/>
    <n v="981"/>
    <x v="1"/>
    <n v="404"/>
    <n v="396324"/>
    <x v="4"/>
    <x v="81"/>
    <x v="0"/>
    <n v="0"/>
    <n v="0"/>
    <n v="2"/>
    <n v="2"/>
    <n v="1746938"/>
  </r>
  <r>
    <s v="ORD1082"/>
    <x v="0"/>
    <x v="5"/>
    <x v="5"/>
    <x v="21"/>
    <x v="0"/>
    <x v="3"/>
    <n v="611"/>
    <x v="1"/>
    <n v="441"/>
    <n v="269451"/>
    <x v="6"/>
    <x v="82"/>
    <x v="0"/>
    <n v="0"/>
    <n v="0"/>
    <n v="2"/>
    <n v="2"/>
    <n v="931357"/>
  </r>
  <r>
    <s v="ORD1083"/>
    <x v="4"/>
    <x v="0"/>
    <x v="3"/>
    <x v="14"/>
    <x v="1"/>
    <x v="3"/>
    <n v="921"/>
    <x v="1"/>
    <n v="373"/>
    <n v="343533"/>
    <x v="3"/>
    <x v="83"/>
    <x v="0"/>
    <n v="0"/>
    <n v="0"/>
    <n v="2"/>
    <n v="2"/>
    <n v="1975980"/>
  </r>
  <r>
    <s v="ORD1084"/>
    <x v="5"/>
    <x v="4"/>
    <x v="2"/>
    <x v="7"/>
    <x v="0"/>
    <x v="3"/>
    <n v="437"/>
    <x v="1"/>
    <n v="494"/>
    <n v="215878"/>
    <x v="3"/>
    <x v="84"/>
    <x v="0"/>
    <n v="0"/>
    <n v="0"/>
    <n v="2"/>
    <n v="2"/>
    <n v="732897"/>
  </r>
  <r>
    <s v="ORD1085"/>
    <x v="2"/>
    <x v="4"/>
    <x v="0"/>
    <x v="33"/>
    <x v="0"/>
    <x v="3"/>
    <n v="51"/>
    <x v="2"/>
    <n v="493"/>
    <n v="25143"/>
    <x v="2"/>
    <x v="85"/>
    <x v="0"/>
    <n v="0"/>
    <n v="0"/>
    <n v="2"/>
    <n v="2"/>
    <n v="124463"/>
  </r>
  <r>
    <s v="ORD1086"/>
    <x v="4"/>
    <x v="5"/>
    <x v="0"/>
    <x v="8"/>
    <x v="0"/>
    <x v="2"/>
    <n v="439"/>
    <x v="1"/>
    <n v="350"/>
    <n v="153650"/>
    <x v="6"/>
    <x v="86"/>
    <x v="0"/>
    <n v="0"/>
    <n v="0"/>
    <n v="2"/>
    <n v="2"/>
    <n v="1077275"/>
  </r>
  <r>
    <s v="ORD1087"/>
    <x v="0"/>
    <x v="3"/>
    <x v="1"/>
    <x v="20"/>
    <x v="0"/>
    <x v="3"/>
    <n v="615"/>
    <x v="1"/>
    <n v="399"/>
    <n v="245385"/>
    <x v="3"/>
    <x v="87"/>
    <x v="0"/>
    <n v="0"/>
    <n v="0"/>
    <n v="2"/>
    <n v="2"/>
    <n v="1485142"/>
  </r>
  <r>
    <s v="ORD1088"/>
    <x v="1"/>
    <x v="3"/>
    <x v="2"/>
    <x v="3"/>
    <x v="0"/>
    <x v="0"/>
    <n v="155"/>
    <x v="0"/>
    <n v="360"/>
    <n v="55800"/>
    <x v="0"/>
    <x v="88"/>
    <x v="0"/>
    <n v="0"/>
    <n v="0"/>
    <n v="2"/>
    <n v="2"/>
    <n v="289875"/>
  </r>
  <r>
    <s v="ORD1089"/>
    <x v="1"/>
    <x v="4"/>
    <x v="3"/>
    <x v="24"/>
    <x v="0"/>
    <x v="1"/>
    <n v="821"/>
    <x v="1"/>
    <n v="357"/>
    <n v="293097"/>
    <x v="5"/>
    <x v="89"/>
    <x v="1"/>
    <n v="0"/>
    <n v="1"/>
    <n v="-1"/>
    <n v="2"/>
    <n v="1244190"/>
  </r>
  <r>
    <s v="ORD1090"/>
    <x v="1"/>
    <x v="4"/>
    <x v="1"/>
    <x v="6"/>
    <x v="0"/>
    <x v="0"/>
    <n v="871"/>
    <x v="1"/>
    <n v="307"/>
    <n v="267397"/>
    <x v="1"/>
    <x v="90"/>
    <x v="1"/>
    <n v="0"/>
    <n v="1"/>
    <n v="-1"/>
    <n v="2"/>
    <n v="2115065"/>
  </r>
  <r>
    <s v="ORD1091"/>
    <x v="0"/>
    <x v="3"/>
    <x v="4"/>
    <x v="10"/>
    <x v="0"/>
    <x v="1"/>
    <n v="526"/>
    <x v="1"/>
    <n v="422"/>
    <n v="221972"/>
    <x v="1"/>
    <x v="91"/>
    <x v="0"/>
    <n v="0"/>
    <n v="0"/>
    <n v="2"/>
    <n v="2"/>
    <n v="1014225"/>
  </r>
  <r>
    <s v="ORD1092"/>
    <x v="3"/>
    <x v="3"/>
    <x v="5"/>
    <x v="12"/>
    <x v="1"/>
    <x v="3"/>
    <n v="752"/>
    <x v="1"/>
    <n v="401"/>
    <n v="301552"/>
    <x v="0"/>
    <x v="92"/>
    <x v="0"/>
    <n v="0"/>
    <n v="0"/>
    <n v="2"/>
    <n v="2"/>
    <n v="1854924"/>
  </r>
  <r>
    <s v="ORD1093"/>
    <x v="5"/>
    <x v="5"/>
    <x v="3"/>
    <x v="9"/>
    <x v="0"/>
    <x v="1"/>
    <n v="451"/>
    <x v="1"/>
    <n v="310"/>
    <n v="139810"/>
    <x v="4"/>
    <x v="93"/>
    <x v="1"/>
    <n v="0"/>
    <n v="1"/>
    <n v="-1"/>
    <n v="2"/>
    <n v="1111093"/>
  </r>
  <r>
    <s v="ORD1094"/>
    <x v="1"/>
    <x v="4"/>
    <x v="4"/>
    <x v="34"/>
    <x v="0"/>
    <x v="2"/>
    <n v="779"/>
    <x v="1"/>
    <n v="356"/>
    <n v="277324"/>
    <x v="6"/>
    <x v="94"/>
    <x v="1"/>
    <n v="0"/>
    <n v="1"/>
    <n v="-1"/>
    <n v="2"/>
    <n v="1832994"/>
  </r>
  <r>
    <s v="ORD1095"/>
    <x v="5"/>
    <x v="5"/>
    <x v="5"/>
    <x v="21"/>
    <x v="0"/>
    <x v="3"/>
    <n v="605"/>
    <x v="1"/>
    <n v="482"/>
    <n v="291610"/>
    <x v="5"/>
    <x v="95"/>
    <x v="0"/>
    <n v="0"/>
    <n v="0"/>
    <n v="2"/>
    <n v="2"/>
    <n v="1085642"/>
  </r>
  <r>
    <s v="ORD1096"/>
    <x v="4"/>
    <x v="2"/>
    <x v="2"/>
    <x v="11"/>
    <x v="0"/>
    <x v="3"/>
    <n v="211"/>
    <x v="3"/>
    <n v="348"/>
    <n v="73428"/>
    <x v="6"/>
    <x v="96"/>
    <x v="0"/>
    <n v="0"/>
    <n v="0"/>
    <n v="2"/>
    <n v="2"/>
    <n v="397756"/>
  </r>
  <r>
    <s v="ORD1097"/>
    <x v="0"/>
    <x v="0"/>
    <x v="1"/>
    <x v="17"/>
    <x v="0"/>
    <x v="1"/>
    <n v="251"/>
    <x v="3"/>
    <n v="329"/>
    <n v="82579"/>
    <x v="1"/>
    <x v="97"/>
    <x v="1"/>
    <n v="0"/>
    <n v="1"/>
    <n v="-1"/>
    <n v="2"/>
    <n v="590135"/>
  </r>
  <r>
    <s v="ORD1098"/>
    <x v="4"/>
    <x v="5"/>
    <x v="1"/>
    <x v="19"/>
    <x v="0"/>
    <x v="1"/>
    <n v="319"/>
    <x v="1"/>
    <n v="398"/>
    <n v="126962"/>
    <x v="0"/>
    <x v="98"/>
    <x v="0"/>
    <n v="0"/>
    <n v="0"/>
    <n v="2"/>
    <n v="2"/>
    <n v="579598"/>
  </r>
  <r>
    <s v="ORD1099"/>
    <x v="4"/>
    <x v="5"/>
    <x v="0"/>
    <x v="8"/>
    <x v="0"/>
    <x v="3"/>
    <n v="912"/>
    <x v="1"/>
    <n v="497"/>
    <n v="453264"/>
    <x v="4"/>
    <x v="99"/>
    <x v="0"/>
    <n v="0"/>
    <n v="0"/>
    <n v="2"/>
    <n v="2"/>
    <n v="15225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E26C32-92A4-4359-B944-6CDB15208D62}" name="pvtTopCust"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7" rowHeaderCaption="Customer">
  <location ref="A45:C51" firstHeaderRow="0" firstDataRow="1" firstDataCol="1" rowPageCount="1" colPageCount="1"/>
  <pivotFields count="21">
    <pivotField dataField="1" showAll="0"/>
    <pivotField axis="axisRow" showAll="0" sortType="ascending">
      <items count="7">
        <item x="2"/>
        <item x="3"/>
        <item x="0"/>
        <item x="4"/>
        <item h="1" x="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numFmtId="16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dataField="1" showAll="0"/>
    <pivotField axis="axisPage"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
  </rowFields>
  <rowItems count="6">
    <i>
      <x v="1"/>
    </i>
    <i>
      <x v="3"/>
    </i>
    <i>
      <x v="5"/>
    </i>
    <i>
      <x v="2"/>
    </i>
    <i>
      <x/>
    </i>
    <i t="grand">
      <x/>
    </i>
  </rowItems>
  <colFields count="1">
    <field x="-2"/>
  </colFields>
  <colItems count="2">
    <i>
      <x/>
    </i>
    <i i="1">
      <x v="1"/>
    </i>
  </colItems>
  <pageFields count="1">
    <pageField fld="19" hier="-1"/>
  </pageFields>
  <dataFields count="2">
    <dataField name="Sum of Revenue" fld="18" baseField="0" baseItem="0"/>
    <dataField name="Count of OrderID" fld="0" subtotal="count" baseField="0" baseItem="0"/>
  </dataFields>
  <formats count="1">
    <format dxfId="624">
      <pivotArea collapsedLevelsAreSubtotals="1" fieldPosition="0">
        <references count="1">
          <reference field="1" count="0"/>
        </references>
      </pivotArea>
    </format>
  </formats>
  <chartFormats count="16">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0" format="10">
      <pivotArea type="data" outline="0" fieldPosition="0">
        <references count="2">
          <reference field="4294967294" count="1" selected="0">
            <x v="0"/>
          </reference>
          <reference field="1" count="1" selected="0">
            <x v="0"/>
          </reference>
        </references>
      </pivotArea>
    </chartFormat>
    <chartFormat chart="10" format="11">
      <pivotArea type="data" outline="0" fieldPosition="0">
        <references count="2">
          <reference field="4294967294" count="1" selected="0">
            <x v="0"/>
          </reference>
          <reference field="1" count="1" selected="0">
            <x v="2"/>
          </reference>
        </references>
      </pivotArea>
    </chartFormat>
    <chartFormat chart="10" format="12">
      <pivotArea type="data" outline="0" fieldPosition="0">
        <references count="2">
          <reference field="4294967294" count="1" selected="0">
            <x v="1"/>
          </reference>
          <reference field="1" count="1" selected="0">
            <x v="0"/>
          </reference>
        </references>
      </pivotArea>
    </chartFormat>
    <chartFormat chart="10" format="13">
      <pivotArea type="data" outline="0" fieldPosition="0">
        <references count="2">
          <reference field="4294967294" count="1" selected="0">
            <x v="1"/>
          </reference>
          <reference field="1" count="1" selected="0">
            <x v="2"/>
          </reference>
        </references>
      </pivotArea>
    </chartFormat>
    <chartFormat chart="10" format="14">
      <pivotArea type="data" outline="0" fieldPosition="0">
        <references count="2">
          <reference field="4294967294" count="1" selected="0">
            <x v="1"/>
          </reference>
          <reference field="1" count="1" selected="0">
            <x v="5"/>
          </reference>
        </references>
      </pivotArea>
    </chartFormat>
    <chartFormat chart="10" format="15">
      <pivotArea type="data" outline="0" fieldPosition="0">
        <references count="2">
          <reference field="4294967294" count="1" selected="0">
            <x v="1"/>
          </reference>
          <reference field="1" count="1" selected="0">
            <x v="3"/>
          </reference>
        </references>
      </pivotArea>
    </chartFormat>
    <chartFormat chart="10" format="16">
      <pivotArea type="data" outline="0" fieldPosition="0">
        <references count="2">
          <reference field="4294967294" count="1" selected="0">
            <x v="1"/>
          </reference>
          <reference field="1" count="1" selected="0">
            <x v="1"/>
          </reference>
        </references>
      </pivotArea>
    </chartFormat>
    <chartFormat chart="10" format="17">
      <pivotArea type="data" outline="0" fieldPosition="0">
        <references count="2">
          <reference field="4294967294" count="1" selected="0">
            <x v="0"/>
          </reference>
          <reference field="1" count="1" selected="0">
            <x v="5"/>
          </reference>
        </references>
      </pivotArea>
    </chartFormat>
    <chartFormat chart="10" format="18">
      <pivotArea type="data" outline="0" fieldPosition="0">
        <references count="2">
          <reference field="4294967294" count="1" selected="0">
            <x v="0"/>
          </reference>
          <reference field="1" count="1" selected="0">
            <x v="3"/>
          </reference>
        </references>
      </pivotArea>
    </chartFormat>
    <chartFormat chart="10" format="19">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2" type="dateBetween" evalOrder="-1" id="4528"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E9EA05-F219-41CF-914E-A178BC3F5A98}" name="pvtRevenuebyMonth"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7" rowHeaderCaption="Months" colHeaderCaption="Truck Type">
  <location ref="A17:F31" firstHeaderRow="1" firstDataRow="2" firstDataCol="1"/>
  <pivotFields count="21">
    <pivotField showAll="0"/>
    <pivotField showAll="0"/>
    <pivotField showAll="0"/>
    <pivotField showAll="0"/>
    <pivotField showAll="0"/>
    <pivotField showAll="0"/>
    <pivotField axis="axisCol" showAll="0">
      <items count="5">
        <item sd="0" x="0"/>
        <item sd="0" x="2"/>
        <item sd="0" x="3"/>
        <item sd="0" x="1"/>
        <item t="default"/>
      </items>
    </pivotField>
    <pivotField showAll="0"/>
    <pivotField showAll="0"/>
    <pivotField showAll="0"/>
    <pivotField showAll="0"/>
    <pivotField showAll="0"/>
    <pivotField numFmtId="16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6"/>
  </colFields>
  <colItems count="5">
    <i>
      <x/>
    </i>
    <i>
      <x v="1"/>
    </i>
    <i>
      <x v="2"/>
    </i>
    <i>
      <x v="3"/>
    </i>
    <i t="grand">
      <x/>
    </i>
  </colItems>
  <dataFields count="1">
    <dataField name="Sum of Revenue" fld="18" baseField="0" baseItem="0" numFmtId="43"/>
  </dataFields>
  <formats count="4">
    <format dxfId="628">
      <pivotArea field="19" grandCol="1" collapsedLevelsAreSubtotals="1" axis="axisRow" fieldPosition="0">
        <references count="1">
          <reference field="19" count="3">
            <x v="1"/>
            <x v="2"/>
            <x v="3"/>
          </reference>
        </references>
      </pivotArea>
    </format>
    <format dxfId="627">
      <pivotArea outline="0" collapsedLevelsAreSubtotals="1" fieldPosition="0"/>
    </format>
    <format dxfId="626">
      <pivotArea collapsedLevelsAreSubtotals="1" fieldPosition="0">
        <references count="1">
          <reference field="19" count="12">
            <x v="1"/>
            <x v="2"/>
            <x v="3"/>
            <x v="4"/>
            <x v="5"/>
            <x v="6"/>
            <x v="7"/>
            <x v="8"/>
            <x v="9"/>
            <x v="10"/>
            <x v="11"/>
            <x v="12"/>
          </reference>
        </references>
      </pivotArea>
    </format>
    <format dxfId="625">
      <pivotArea grandRow="1" outline="0" collapsedLevelsAreSubtotals="1" fieldPosition="0"/>
    </format>
  </formats>
  <chartFormats count="93">
    <chartFormat chart="3" format="0" series="1">
      <pivotArea type="data" outline="0" fieldPosition="0">
        <references count="2">
          <reference field="4294967294" count="1" selected="0">
            <x v="0"/>
          </reference>
          <reference field="6" count="1" selected="0">
            <x v="0"/>
          </reference>
        </references>
      </pivotArea>
    </chartFormat>
    <chartFormat chart="3" format="1" series="1">
      <pivotArea type="data" outline="0" fieldPosition="0">
        <references count="2">
          <reference field="4294967294" count="1" selected="0">
            <x v="0"/>
          </reference>
          <reference field="6" count="1" selected="0">
            <x v="1"/>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19" count="1" selected="0">
            <x v="1"/>
          </reference>
        </references>
      </pivotArea>
    </chartFormat>
    <chartFormat chart="3" format="5" series="1">
      <pivotArea type="data" outline="0" fieldPosition="0">
        <references count="2">
          <reference field="4294967294" count="1" selected="0">
            <x v="0"/>
          </reference>
          <reference field="19" count="1" selected="0">
            <x v="2"/>
          </reference>
        </references>
      </pivotArea>
    </chartFormat>
    <chartFormat chart="3" format="6" series="1">
      <pivotArea type="data" outline="0" fieldPosition="0">
        <references count="2">
          <reference field="4294967294" count="1" selected="0">
            <x v="0"/>
          </reference>
          <reference field="19" count="1" selected="0">
            <x v="3"/>
          </reference>
        </references>
      </pivotArea>
    </chartFormat>
    <chartFormat chart="8" format="7" series="1">
      <pivotArea type="data" outline="0" fieldPosition="0">
        <references count="2">
          <reference field="4294967294" count="1" selected="0">
            <x v="0"/>
          </reference>
          <reference field="6" count="1" selected="0">
            <x v="0"/>
          </reference>
        </references>
      </pivotArea>
    </chartFormat>
    <chartFormat chart="8" format="8" series="1">
      <pivotArea type="data" outline="0" fieldPosition="0">
        <references count="2">
          <reference field="4294967294" count="1" selected="0">
            <x v="0"/>
          </reference>
          <reference field="6" count="1" selected="0">
            <x v="1"/>
          </reference>
        </references>
      </pivotArea>
    </chartFormat>
    <chartFormat chart="8" format="9" series="1">
      <pivotArea type="data" outline="0" fieldPosition="0">
        <references count="2">
          <reference field="4294967294" count="1" selected="0">
            <x v="0"/>
          </reference>
          <reference field="6" count="1" selected="0">
            <x v="2"/>
          </reference>
        </references>
      </pivotArea>
    </chartFormat>
    <chartFormat chart="8" format="10" series="1">
      <pivotArea type="data" outline="0" fieldPosition="0">
        <references count="2">
          <reference field="4294967294" count="1" selected="0">
            <x v="0"/>
          </reference>
          <reference field="6" count="1" selected="0">
            <x v="3"/>
          </reference>
        </references>
      </pivotArea>
    </chartFormat>
    <chartFormat chart="9" format="11" series="1">
      <pivotArea type="data" outline="0" fieldPosition="0">
        <references count="2">
          <reference field="4294967294" count="1" selected="0">
            <x v="0"/>
          </reference>
          <reference field="6" count="1" selected="0">
            <x v="0"/>
          </reference>
        </references>
      </pivotArea>
    </chartFormat>
    <chartFormat chart="9" format="12" series="1">
      <pivotArea type="data" outline="0" fieldPosition="0">
        <references count="2">
          <reference field="4294967294" count="1" selected="0">
            <x v="0"/>
          </reference>
          <reference field="6" count="1" selected="0">
            <x v="1"/>
          </reference>
        </references>
      </pivotArea>
    </chartFormat>
    <chartFormat chart="9" format="13" series="1">
      <pivotArea type="data" outline="0" fieldPosition="0">
        <references count="2">
          <reference field="4294967294" count="1" selected="0">
            <x v="0"/>
          </reference>
          <reference field="6" count="1" selected="0">
            <x v="2"/>
          </reference>
        </references>
      </pivotArea>
    </chartFormat>
    <chartFormat chart="9" format="14" series="1">
      <pivotArea type="data" outline="0" fieldPosition="0">
        <references count="2">
          <reference field="4294967294" count="1" selected="0">
            <x v="0"/>
          </reference>
          <reference field="6" count="1" selected="0">
            <x v="3"/>
          </reference>
        </references>
      </pivotArea>
    </chartFormat>
    <chartFormat chart="3" format="7">
      <pivotArea type="data" outline="0" fieldPosition="0">
        <references count="3">
          <reference field="4294967294" count="1" selected="0">
            <x v="0"/>
          </reference>
          <reference field="6" count="1" selected="0">
            <x v="0"/>
          </reference>
          <reference field="19" count="1" selected="0">
            <x v="1"/>
          </reference>
        </references>
      </pivotArea>
    </chartFormat>
    <chartFormat chart="3" format="8">
      <pivotArea type="data" outline="0" fieldPosition="0">
        <references count="3">
          <reference field="4294967294" count="1" selected="0">
            <x v="0"/>
          </reference>
          <reference field="6" count="1" selected="0">
            <x v="0"/>
          </reference>
          <reference field="19" count="1" selected="0">
            <x v="2"/>
          </reference>
        </references>
      </pivotArea>
    </chartFormat>
    <chartFormat chart="3" format="9">
      <pivotArea type="data" outline="0" fieldPosition="0">
        <references count="3">
          <reference field="4294967294" count="1" selected="0">
            <x v="0"/>
          </reference>
          <reference field="6" count="1" selected="0">
            <x v="0"/>
          </reference>
          <reference field="19" count="1" selected="0">
            <x v="3"/>
          </reference>
        </references>
      </pivotArea>
    </chartFormat>
    <chartFormat chart="3" format="10">
      <pivotArea type="data" outline="0" fieldPosition="0">
        <references count="3">
          <reference field="4294967294" count="1" selected="0">
            <x v="0"/>
          </reference>
          <reference field="6" count="1" selected="0">
            <x v="1"/>
          </reference>
          <reference field="19" count="1" selected="0">
            <x v="1"/>
          </reference>
        </references>
      </pivotArea>
    </chartFormat>
    <chartFormat chart="3" format="11">
      <pivotArea type="data" outline="0" fieldPosition="0">
        <references count="3">
          <reference field="4294967294" count="1" selected="0">
            <x v="0"/>
          </reference>
          <reference field="6" count="1" selected="0">
            <x v="1"/>
          </reference>
          <reference field="19" count="1" selected="0">
            <x v="2"/>
          </reference>
        </references>
      </pivotArea>
    </chartFormat>
    <chartFormat chart="3" format="12">
      <pivotArea type="data" outline="0" fieldPosition="0">
        <references count="3">
          <reference field="4294967294" count="1" selected="0">
            <x v="0"/>
          </reference>
          <reference field="6" count="1" selected="0">
            <x v="1"/>
          </reference>
          <reference field="19" count="1" selected="0">
            <x v="3"/>
          </reference>
        </references>
      </pivotArea>
    </chartFormat>
    <chartFormat chart="3" format="13">
      <pivotArea type="data" outline="0" fieldPosition="0">
        <references count="3">
          <reference field="4294967294" count="1" selected="0">
            <x v="0"/>
          </reference>
          <reference field="6" count="1" selected="0">
            <x v="2"/>
          </reference>
          <reference field="19" count="1" selected="0">
            <x v="1"/>
          </reference>
        </references>
      </pivotArea>
    </chartFormat>
    <chartFormat chart="3" format="14">
      <pivotArea type="data" outline="0" fieldPosition="0">
        <references count="3">
          <reference field="4294967294" count="1" selected="0">
            <x v="0"/>
          </reference>
          <reference field="6" count="1" selected="0">
            <x v="2"/>
          </reference>
          <reference field="19" count="1" selected="0">
            <x v="2"/>
          </reference>
        </references>
      </pivotArea>
    </chartFormat>
    <chartFormat chart="3" format="15">
      <pivotArea type="data" outline="0" fieldPosition="0">
        <references count="3">
          <reference field="4294967294" count="1" selected="0">
            <x v="0"/>
          </reference>
          <reference field="6" count="1" selected="0">
            <x v="2"/>
          </reference>
          <reference field="19" count="1" selected="0">
            <x v="3"/>
          </reference>
        </references>
      </pivotArea>
    </chartFormat>
    <chartFormat chart="3" format="16">
      <pivotArea type="data" outline="0" fieldPosition="0">
        <references count="3">
          <reference field="4294967294" count="1" selected="0">
            <x v="0"/>
          </reference>
          <reference field="6" count="1" selected="0">
            <x v="3"/>
          </reference>
          <reference field="19" count="1" selected="0">
            <x v="1"/>
          </reference>
        </references>
      </pivotArea>
    </chartFormat>
    <chartFormat chart="3" format="17">
      <pivotArea type="data" outline="0" fieldPosition="0">
        <references count="3">
          <reference field="4294967294" count="1" selected="0">
            <x v="0"/>
          </reference>
          <reference field="6" count="1" selected="0">
            <x v="3"/>
          </reference>
          <reference field="19" count="1" selected="0">
            <x v="2"/>
          </reference>
        </references>
      </pivotArea>
    </chartFormat>
    <chartFormat chart="3" format="18">
      <pivotArea type="data" outline="0" fieldPosition="0">
        <references count="3">
          <reference field="4294967294" count="1" selected="0">
            <x v="0"/>
          </reference>
          <reference field="6" count="1" selected="0">
            <x v="3"/>
          </reference>
          <reference field="19" count="1" selected="0">
            <x v="3"/>
          </reference>
        </references>
      </pivotArea>
    </chartFormat>
    <chartFormat chart="3" format="19">
      <pivotArea type="data" outline="0" fieldPosition="0">
        <references count="3">
          <reference field="4294967294" count="1" selected="0">
            <x v="0"/>
          </reference>
          <reference field="6" count="1" selected="0">
            <x v="0"/>
          </reference>
          <reference field="19" count="1" selected="0">
            <x v="4"/>
          </reference>
        </references>
      </pivotArea>
    </chartFormat>
    <chartFormat chart="3" format="20">
      <pivotArea type="data" outline="0" fieldPosition="0">
        <references count="3">
          <reference field="4294967294" count="1" selected="0">
            <x v="0"/>
          </reference>
          <reference field="6" count="1" selected="0">
            <x v="0"/>
          </reference>
          <reference field="19" count="1" selected="0">
            <x v="5"/>
          </reference>
        </references>
      </pivotArea>
    </chartFormat>
    <chartFormat chart="3" format="21">
      <pivotArea type="data" outline="0" fieldPosition="0">
        <references count="3">
          <reference field="4294967294" count="1" selected="0">
            <x v="0"/>
          </reference>
          <reference field="6" count="1" selected="0">
            <x v="0"/>
          </reference>
          <reference field="19" count="1" selected="0">
            <x v="6"/>
          </reference>
        </references>
      </pivotArea>
    </chartFormat>
    <chartFormat chart="3" format="22">
      <pivotArea type="data" outline="0" fieldPosition="0">
        <references count="3">
          <reference field="4294967294" count="1" selected="0">
            <x v="0"/>
          </reference>
          <reference field="6" count="1" selected="0">
            <x v="0"/>
          </reference>
          <reference field="19" count="1" selected="0">
            <x v="7"/>
          </reference>
        </references>
      </pivotArea>
    </chartFormat>
    <chartFormat chart="3" format="23">
      <pivotArea type="data" outline="0" fieldPosition="0">
        <references count="3">
          <reference field="4294967294" count="1" selected="0">
            <x v="0"/>
          </reference>
          <reference field="6" count="1" selected="0">
            <x v="0"/>
          </reference>
          <reference field="19" count="1" selected="0">
            <x v="8"/>
          </reference>
        </references>
      </pivotArea>
    </chartFormat>
    <chartFormat chart="3" format="24">
      <pivotArea type="data" outline="0" fieldPosition="0">
        <references count="3">
          <reference field="4294967294" count="1" selected="0">
            <x v="0"/>
          </reference>
          <reference field="6" count="1" selected="0">
            <x v="0"/>
          </reference>
          <reference field="19" count="1" selected="0">
            <x v="9"/>
          </reference>
        </references>
      </pivotArea>
    </chartFormat>
    <chartFormat chart="3" format="25">
      <pivotArea type="data" outline="0" fieldPosition="0">
        <references count="3">
          <reference field="4294967294" count="1" selected="0">
            <x v="0"/>
          </reference>
          <reference field="6" count="1" selected="0">
            <x v="0"/>
          </reference>
          <reference field="19" count="1" selected="0">
            <x v="10"/>
          </reference>
        </references>
      </pivotArea>
    </chartFormat>
    <chartFormat chart="3" format="26">
      <pivotArea type="data" outline="0" fieldPosition="0">
        <references count="3">
          <reference field="4294967294" count="1" selected="0">
            <x v="0"/>
          </reference>
          <reference field="6" count="1" selected="0">
            <x v="0"/>
          </reference>
          <reference field="19" count="1" selected="0">
            <x v="11"/>
          </reference>
        </references>
      </pivotArea>
    </chartFormat>
    <chartFormat chart="3" format="27">
      <pivotArea type="data" outline="0" fieldPosition="0">
        <references count="3">
          <reference field="4294967294" count="1" selected="0">
            <x v="0"/>
          </reference>
          <reference field="6" count="1" selected="0">
            <x v="0"/>
          </reference>
          <reference field="19" count="1" selected="0">
            <x v="12"/>
          </reference>
        </references>
      </pivotArea>
    </chartFormat>
    <chartFormat chart="3" format="28">
      <pivotArea type="data" outline="0" fieldPosition="0">
        <references count="3">
          <reference field="4294967294" count="1" selected="0">
            <x v="0"/>
          </reference>
          <reference field="6" count="1" selected="0">
            <x v="1"/>
          </reference>
          <reference field="19" count="1" selected="0">
            <x v="4"/>
          </reference>
        </references>
      </pivotArea>
    </chartFormat>
    <chartFormat chart="3" format="29">
      <pivotArea type="data" outline="0" fieldPosition="0">
        <references count="3">
          <reference field="4294967294" count="1" selected="0">
            <x v="0"/>
          </reference>
          <reference field="6" count="1" selected="0">
            <x v="1"/>
          </reference>
          <reference field="19" count="1" selected="0">
            <x v="5"/>
          </reference>
        </references>
      </pivotArea>
    </chartFormat>
    <chartFormat chart="3" format="30">
      <pivotArea type="data" outline="0" fieldPosition="0">
        <references count="3">
          <reference field="4294967294" count="1" selected="0">
            <x v="0"/>
          </reference>
          <reference field="6" count="1" selected="0">
            <x v="1"/>
          </reference>
          <reference field="19" count="1" selected="0">
            <x v="6"/>
          </reference>
        </references>
      </pivotArea>
    </chartFormat>
    <chartFormat chart="3" format="31">
      <pivotArea type="data" outline="0" fieldPosition="0">
        <references count="3">
          <reference field="4294967294" count="1" selected="0">
            <x v="0"/>
          </reference>
          <reference field="6" count="1" selected="0">
            <x v="1"/>
          </reference>
          <reference field="19" count="1" selected="0">
            <x v="7"/>
          </reference>
        </references>
      </pivotArea>
    </chartFormat>
    <chartFormat chart="3" format="32">
      <pivotArea type="data" outline="0" fieldPosition="0">
        <references count="3">
          <reference field="4294967294" count="1" selected="0">
            <x v="0"/>
          </reference>
          <reference field="6" count="1" selected="0">
            <x v="1"/>
          </reference>
          <reference field="19" count="1" selected="0">
            <x v="8"/>
          </reference>
        </references>
      </pivotArea>
    </chartFormat>
    <chartFormat chart="3" format="33">
      <pivotArea type="data" outline="0" fieldPosition="0">
        <references count="3">
          <reference field="4294967294" count="1" selected="0">
            <x v="0"/>
          </reference>
          <reference field="6" count="1" selected="0">
            <x v="1"/>
          </reference>
          <reference field="19" count="1" selected="0">
            <x v="9"/>
          </reference>
        </references>
      </pivotArea>
    </chartFormat>
    <chartFormat chart="3" format="34">
      <pivotArea type="data" outline="0" fieldPosition="0">
        <references count="3">
          <reference field="4294967294" count="1" selected="0">
            <x v="0"/>
          </reference>
          <reference field="6" count="1" selected="0">
            <x v="1"/>
          </reference>
          <reference field="19" count="1" selected="0">
            <x v="10"/>
          </reference>
        </references>
      </pivotArea>
    </chartFormat>
    <chartFormat chart="3" format="35">
      <pivotArea type="data" outline="0" fieldPosition="0">
        <references count="3">
          <reference field="4294967294" count="1" selected="0">
            <x v="0"/>
          </reference>
          <reference field="6" count="1" selected="0">
            <x v="1"/>
          </reference>
          <reference field="19" count="1" selected="0">
            <x v="11"/>
          </reference>
        </references>
      </pivotArea>
    </chartFormat>
    <chartFormat chart="3" format="36">
      <pivotArea type="data" outline="0" fieldPosition="0">
        <references count="3">
          <reference field="4294967294" count="1" selected="0">
            <x v="0"/>
          </reference>
          <reference field="6" count="1" selected="0">
            <x v="1"/>
          </reference>
          <reference field="19" count="1" selected="0">
            <x v="12"/>
          </reference>
        </references>
      </pivotArea>
    </chartFormat>
    <chartFormat chart="3" format="37">
      <pivotArea type="data" outline="0" fieldPosition="0">
        <references count="3">
          <reference field="4294967294" count="1" selected="0">
            <x v="0"/>
          </reference>
          <reference field="6" count="1" selected="0">
            <x v="2"/>
          </reference>
          <reference field="19" count="1" selected="0">
            <x v="4"/>
          </reference>
        </references>
      </pivotArea>
    </chartFormat>
    <chartFormat chart="3" format="38">
      <pivotArea type="data" outline="0" fieldPosition="0">
        <references count="3">
          <reference field="4294967294" count="1" selected="0">
            <x v="0"/>
          </reference>
          <reference field="6" count="1" selected="0">
            <x v="2"/>
          </reference>
          <reference field="19" count="1" selected="0">
            <x v="5"/>
          </reference>
        </references>
      </pivotArea>
    </chartFormat>
    <chartFormat chart="3" format="39">
      <pivotArea type="data" outline="0" fieldPosition="0">
        <references count="3">
          <reference field="4294967294" count="1" selected="0">
            <x v="0"/>
          </reference>
          <reference field="6" count="1" selected="0">
            <x v="2"/>
          </reference>
          <reference field="19" count="1" selected="0">
            <x v="6"/>
          </reference>
        </references>
      </pivotArea>
    </chartFormat>
    <chartFormat chart="3" format="40">
      <pivotArea type="data" outline="0" fieldPosition="0">
        <references count="3">
          <reference field="4294967294" count="1" selected="0">
            <x v="0"/>
          </reference>
          <reference field="6" count="1" selected="0">
            <x v="2"/>
          </reference>
          <reference field="19" count="1" selected="0">
            <x v="7"/>
          </reference>
        </references>
      </pivotArea>
    </chartFormat>
    <chartFormat chart="3" format="41">
      <pivotArea type="data" outline="0" fieldPosition="0">
        <references count="3">
          <reference field="4294967294" count="1" selected="0">
            <x v="0"/>
          </reference>
          <reference field="6" count="1" selected="0">
            <x v="2"/>
          </reference>
          <reference field="19" count="1" selected="0">
            <x v="8"/>
          </reference>
        </references>
      </pivotArea>
    </chartFormat>
    <chartFormat chart="3" format="42">
      <pivotArea type="data" outline="0" fieldPosition="0">
        <references count="3">
          <reference field="4294967294" count="1" selected="0">
            <x v="0"/>
          </reference>
          <reference field="6" count="1" selected="0">
            <x v="2"/>
          </reference>
          <reference field="19" count="1" selected="0">
            <x v="9"/>
          </reference>
        </references>
      </pivotArea>
    </chartFormat>
    <chartFormat chart="3" format="43">
      <pivotArea type="data" outline="0" fieldPosition="0">
        <references count="3">
          <reference field="4294967294" count="1" selected="0">
            <x v="0"/>
          </reference>
          <reference field="6" count="1" selected="0">
            <x v="2"/>
          </reference>
          <reference field="19" count="1" selected="0">
            <x v="10"/>
          </reference>
        </references>
      </pivotArea>
    </chartFormat>
    <chartFormat chart="3" format="44">
      <pivotArea type="data" outline="0" fieldPosition="0">
        <references count="3">
          <reference field="4294967294" count="1" selected="0">
            <x v="0"/>
          </reference>
          <reference field="6" count="1" selected="0">
            <x v="2"/>
          </reference>
          <reference field="19" count="1" selected="0">
            <x v="11"/>
          </reference>
        </references>
      </pivotArea>
    </chartFormat>
    <chartFormat chart="3" format="45">
      <pivotArea type="data" outline="0" fieldPosition="0">
        <references count="3">
          <reference field="4294967294" count="1" selected="0">
            <x v="0"/>
          </reference>
          <reference field="6" count="1" selected="0">
            <x v="2"/>
          </reference>
          <reference field="19" count="1" selected="0">
            <x v="12"/>
          </reference>
        </references>
      </pivotArea>
    </chartFormat>
    <chartFormat chart="3" format="46">
      <pivotArea type="data" outline="0" fieldPosition="0">
        <references count="3">
          <reference field="4294967294" count="1" selected="0">
            <x v="0"/>
          </reference>
          <reference field="6" count="1" selected="0">
            <x v="3"/>
          </reference>
          <reference field="19" count="1" selected="0">
            <x v="4"/>
          </reference>
        </references>
      </pivotArea>
    </chartFormat>
    <chartFormat chart="3" format="47">
      <pivotArea type="data" outline="0" fieldPosition="0">
        <references count="3">
          <reference field="4294967294" count="1" selected="0">
            <x v="0"/>
          </reference>
          <reference field="6" count="1" selected="0">
            <x v="3"/>
          </reference>
          <reference field="19" count="1" selected="0">
            <x v="5"/>
          </reference>
        </references>
      </pivotArea>
    </chartFormat>
    <chartFormat chart="3" format="48">
      <pivotArea type="data" outline="0" fieldPosition="0">
        <references count="3">
          <reference field="4294967294" count="1" selected="0">
            <x v="0"/>
          </reference>
          <reference field="6" count="1" selected="0">
            <x v="3"/>
          </reference>
          <reference field="19" count="1" selected="0">
            <x v="6"/>
          </reference>
        </references>
      </pivotArea>
    </chartFormat>
    <chartFormat chart="3" format="49">
      <pivotArea type="data" outline="0" fieldPosition="0">
        <references count="3">
          <reference field="4294967294" count="1" selected="0">
            <x v="0"/>
          </reference>
          <reference field="6" count="1" selected="0">
            <x v="3"/>
          </reference>
          <reference field="19" count="1" selected="0">
            <x v="7"/>
          </reference>
        </references>
      </pivotArea>
    </chartFormat>
    <chartFormat chart="3" format="50">
      <pivotArea type="data" outline="0" fieldPosition="0">
        <references count="3">
          <reference field="4294967294" count="1" selected="0">
            <x v="0"/>
          </reference>
          <reference field="6" count="1" selected="0">
            <x v="3"/>
          </reference>
          <reference field="19" count="1" selected="0">
            <x v="8"/>
          </reference>
        </references>
      </pivotArea>
    </chartFormat>
    <chartFormat chart="3" format="51">
      <pivotArea type="data" outline="0" fieldPosition="0">
        <references count="3">
          <reference field="4294967294" count="1" selected="0">
            <x v="0"/>
          </reference>
          <reference field="6" count="1" selected="0">
            <x v="3"/>
          </reference>
          <reference field="19" count="1" selected="0">
            <x v="9"/>
          </reference>
        </references>
      </pivotArea>
    </chartFormat>
    <chartFormat chart="3" format="52">
      <pivotArea type="data" outline="0" fieldPosition="0">
        <references count="3">
          <reference field="4294967294" count="1" selected="0">
            <x v="0"/>
          </reference>
          <reference field="6" count="1" selected="0">
            <x v="3"/>
          </reference>
          <reference field="19" count="1" selected="0">
            <x v="10"/>
          </reference>
        </references>
      </pivotArea>
    </chartFormat>
    <chartFormat chart="3" format="53">
      <pivotArea type="data" outline="0" fieldPosition="0">
        <references count="3">
          <reference field="4294967294" count="1" selected="0">
            <x v="0"/>
          </reference>
          <reference field="6" count="1" selected="0">
            <x v="3"/>
          </reference>
          <reference field="19" count="1" selected="0">
            <x v="11"/>
          </reference>
        </references>
      </pivotArea>
    </chartFormat>
    <chartFormat chart="3" format="54">
      <pivotArea type="data" outline="0" fieldPosition="0">
        <references count="3">
          <reference field="4294967294" count="1" selected="0">
            <x v="0"/>
          </reference>
          <reference field="6" count="1" selected="0">
            <x v="3"/>
          </reference>
          <reference field="19" count="1" selected="0">
            <x v="12"/>
          </reference>
        </references>
      </pivotArea>
    </chartFormat>
    <chartFormat chart="17" format="71" series="1">
      <pivotArea type="data" outline="0" fieldPosition="0">
        <references count="2">
          <reference field="4294967294" count="1" selected="0">
            <x v="0"/>
          </reference>
          <reference field="6" count="1" selected="0">
            <x v="0"/>
          </reference>
        </references>
      </pivotArea>
    </chartFormat>
    <chartFormat chart="17" format="72">
      <pivotArea type="data" outline="0" fieldPosition="0">
        <references count="3">
          <reference field="4294967294" count="1" selected="0">
            <x v="0"/>
          </reference>
          <reference field="6" count="1" selected="0">
            <x v="0"/>
          </reference>
          <reference field="19" count="1" selected="0">
            <x v="1"/>
          </reference>
        </references>
      </pivotArea>
    </chartFormat>
    <chartFormat chart="17" format="73">
      <pivotArea type="data" outline="0" fieldPosition="0">
        <references count="3">
          <reference field="4294967294" count="1" selected="0">
            <x v="0"/>
          </reference>
          <reference field="6" count="1" selected="0">
            <x v="0"/>
          </reference>
          <reference field="19" count="1" selected="0">
            <x v="2"/>
          </reference>
        </references>
      </pivotArea>
    </chartFormat>
    <chartFormat chart="17" format="74">
      <pivotArea type="data" outline="0" fieldPosition="0">
        <references count="3">
          <reference field="4294967294" count="1" selected="0">
            <x v="0"/>
          </reference>
          <reference field="6" count="1" selected="0">
            <x v="0"/>
          </reference>
          <reference field="19" count="1" selected="0">
            <x v="3"/>
          </reference>
        </references>
      </pivotArea>
    </chartFormat>
    <chartFormat chart="17" format="75" series="1">
      <pivotArea type="data" outline="0" fieldPosition="0">
        <references count="2">
          <reference field="4294967294" count="1" selected="0">
            <x v="0"/>
          </reference>
          <reference field="6" count="1" selected="0">
            <x v="1"/>
          </reference>
        </references>
      </pivotArea>
    </chartFormat>
    <chartFormat chart="17" format="76">
      <pivotArea type="data" outline="0" fieldPosition="0">
        <references count="3">
          <reference field="4294967294" count="1" selected="0">
            <x v="0"/>
          </reference>
          <reference field="6" count="1" selected="0">
            <x v="1"/>
          </reference>
          <reference field="19" count="1" selected="0">
            <x v="1"/>
          </reference>
        </references>
      </pivotArea>
    </chartFormat>
    <chartFormat chart="17" format="77">
      <pivotArea type="data" outline="0" fieldPosition="0">
        <references count="3">
          <reference field="4294967294" count="1" selected="0">
            <x v="0"/>
          </reference>
          <reference field="6" count="1" selected="0">
            <x v="1"/>
          </reference>
          <reference field="19" count="1" selected="0">
            <x v="2"/>
          </reference>
        </references>
      </pivotArea>
    </chartFormat>
    <chartFormat chart="17" format="78">
      <pivotArea type="data" outline="0" fieldPosition="0">
        <references count="3">
          <reference field="4294967294" count="1" selected="0">
            <x v="0"/>
          </reference>
          <reference field="6" count="1" selected="0">
            <x v="1"/>
          </reference>
          <reference field="19" count="1" selected="0">
            <x v="3"/>
          </reference>
        </references>
      </pivotArea>
    </chartFormat>
    <chartFormat chart="17" format="79" series="1">
      <pivotArea type="data" outline="0" fieldPosition="0">
        <references count="2">
          <reference field="4294967294" count="1" selected="0">
            <x v="0"/>
          </reference>
          <reference field="6" count="1" selected="0">
            <x v="2"/>
          </reference>
        </references>
      </pivotArea>
    </chartFormat>
    <chartFormat chart="17" format="80">
      <pivotArea type="data" outline="0" fieldPosition="0">
        <references count="3">
          <reference field="4294967294" count="1" selected="0">
            <x v="0"/>
          </reference>
          <reference field="6" count="1" selected="0">
            <x v="2"/>
          </reference>
          <reference field="19" count="1" selected="0">
            <x v="1"/>
          </reference>
        </references>
      </pivotArea>
    </chartFormat>
    <chartFormat chart="17" format="81">
      <pivotArea type="data" outline="0" fieldPosition="0">
        <references count="3">
          <reference field="4294967294" count="1" selected="0">
            <x v="0"/>
          </reference>
          <reference field="6" count="1" selected="0">
            <x v="2"/>
          </reference>
          <reference field="19" count="1" selected="0">
            <x v="2"/>
          </reference>
        </references>
      </pivotArea>
    </chartFormat>
    <chartFormat chart="17" format="82">
      <pivotArea type="data" outline="0" fieldPosition="0">
        <references count="3">
          <reference field="4294967294" count="1" selected="0">
            <x v="0"/>
          </reference>
          <reference field="6" count="1" selected="0">
            <x v="2"/>
          </reference>
          <reference field="19" count="1" selected="0">
            <x v="3"/>
          </reference>
        </references>
      </pivotArea>
    </chartFormat>
    <chartFormat chart="17" format="83" series="1">
      <pivotArea type="data" outline="0" fieldPosition="0">
        <references count="2">
          <reference field="4294967294" count="1" selected="0">
            <x v="0"/>
          </reference>
          <reference field="6" count="1" selected="0">
            <x v="3"/>
          </reference>
        </references>
      </pivotArea>
    </chartFormat>
    <chartFormat chart="17" format="84">
      <pivotArea type="data" outline="0" fieldPosition="0">
        <references count="3">
          <reference field="4294967294" count="1" selected="0">
            <x v="0"/>
          </reference>
          <reference field="6" count="1" selected="0">
            <x v="3"/>
          </reference>
          <reference field="19" count="1" selected="0">
            <x v="1"/>
          </reference>
        </references>
      </pivotArea>
    </chartFormat>
    <chartFormat chart="17" format="85">
      <pivotArea type="data" outline="0" fieldPosition="0">
        <references count="3">
          <reference field="4294967294" count="1" selected="0">
            <x v="0"/>
          </reference>
          <reference field="6" count="1" selected="0">
            <x v="3"/>
          </reference>
          <reference field="19" count="1" selected="0">
            <x v="2"/>
          </reference>
        </references>
      </pivotArea>
    </chartFormat>
    <chartFormat chart="17" format="86">
      <pivotArea type="data" outline="0" fieldPosition="0">
        <references count="3">
          <reference field="4294967294" count="1" selected="0">
            <x v="0"/>
          </reference>
          <reference field="6" count="1" selected="0">
            <x v="3"/>
          </reference>
          <reference field="19" count="1" selected="0">
            <x v="3"/>
          </reference>
        </references>
      </pivotArea>
    </chartFormat>
    <chartFormat chart="17" format="87" series="1">
      <pivotArea type="data" outline="0" fieldPosition="0">
        <references count="1">
          <reference field="4294967294" count="1" selected="0">
            <x v="0"/>
          </reference>
        </references>
      </pivotArea>
    </chartFormat>
    <chartFormat chart="3" format="55" series="1">
      <pivotArea type="data" outline="0" fieldPosition="0">
        <references count="1">
          <reference field="4294967294" count="1" selected="0">
            <x v="0"/>
          </reference>
        </references>
      </pivotArea>
    </chartFormat>
    <chartFormat chart="17" format="88">
      <pivotArea type="data" outline="0" fieldPosition="0">
        <references count="3">
          <reference field="4294967294" count="1" selected="0">
            <x v="0"/>
          </reference>
          <reference field="6" count="1" selected="0">
            <x v="0"/>
          </reference>
          <reference field="19" count="1" selected="0">
            <x v="10"/>
          </reference>
        </references>
      </pivotArea>
    </chartFormat>
    <chartFormat chart="17" format="89">
      <pivotArea type="data" outline="0" fieldPosition="0">
        <references count="3">
          <reference field="4294967294" count="1" selected="0">
            <x v="0"/>
          </reference>
          <reference field="6" count="1" selected="0">
            <x v="0"/>
          </reference>
          <reference field="19" count="1" selected="0">
            <x v="11"/>
          </reference>
        </references>
      </pivotArea>
    </chartFormat>
    <chartFormat chart="17" format="90">
      <pivotArea type="data" outline="0" fieldPosition="0">
        <references count="3">
          <reference field="4294967294" count="1" selected="0">
            <x v="0"/>
          </reference>
          <reference field="6" count="1" selected="0">
            <x v="0"/>
          </reference>
          <reference field="19" count="1" selected="0">
            <x v="12"/>
          </reference>
        </references>
      </pivotArea>
    </chartFormat>
    <chartFormat chart="17" format="91">
      <pivotArea type="data" outline="0" fieldPosition="0">
        <references count="3">
          <reference field="4294967294" count="1" selected="0">
            <x v="0"/>
          </reference>
          <reference field="6" count="1" selected="0">
            <x v="1"/>
          </reference>
          <reference field="19" count="1" selected="0">
            <x v="10"/>
          </reference>
        </references>
      </pivotArea>
    </chartFormat>
    <chartFormat chart="17" format="92">
      <pivotArea type="data" outline="0" fieldPosition="0">
        <references count="3">
          <reference field="4294967294" count="1" selected="0">
            <x v="0"/>
          </reference>
          <reference field="6" count="1" selected="0">
            <x v="1"/>
          </reference>
          <reference field="19" count="1" selected="0">
            <x v="11"/>
          </reference>
        </references>
      </pivotArea>
    </chartFormat>
    <chartFormat chart="17" format="93">
      <pivotArea type="data" outline="0" fieldPosition="0">
        <references count="3">
          <reference field="4294967294" count="1" selected="0">
            <x v="0"/>
          </reference>
          <reference field="6" count="1" selected="0">
            <x v="1"/>
          </reference>
          <reference field="19" count="1" selected="0">
            <x v="12"/>
          </reference>
        </references>
      </pivotArea>
    </chartFormat>
    <chartFormat chart="17" format="94">
      <pivotArea type="data" outline="0" fieldPosition="0">
        <references count="3">
          <reference field="4294967294" count="1" selected="0">
            <x v="0"/>
          </reference>
          <reference field="6" count="1" selected="0">
            <x v="2"/>
          </reference>
          <reference field="19" count="1" selected="0">
            <x v="10"/>
          </reference>
        </references>
      </pivotArea>
    </chartFormat>
    <chartFormat chart="17" format="95">
      <pivotArea type="data" outline="0" fieldPosition="0">
        <references count="3">
          <reference field="4294967294" count="1" selected="0">
            <x v="0"/>
          </reference>
          <reference field="6" count="1" selected="0">
            <x v="2"/>
          </reference>
          <reference field="19" count="1" selected="0">
            <x v="11"/>
          </reference>
        </references>
      </pivotArea>
    </chartFormat>
    <chartFormat chart="17" format="96">
      <pivotArea type="data" outline="0" fieldPosition="0">
        <references count="3">
          <reference field="4294967294" count="1" selected="0">
            <x v="0"/>
          </reference>
          <reference field="6" count="1" selected="0">
            <x v="2"/>
          </reference>
          <reference field="19" count="1" selected="0">
            <x v="12"/>
          </reference>
        </references>
      </pivotArea>
    </chartFormat>
    <chartFormat chart="17" format="97">
      <pivotArea type="data" outline="0" fieldPosition="0">
        <references count="3">
          <reference field="4294967294" count="1" selected="0">
            <x v="0"/>
          </reference>
          <reference field="6" count="1" selected="0">
            <x v="3"/>
          </reference>
          <reference field="19" count="1" selected="0">
            <x v="10"/>
          </reference>
        </references>
      </pivotArea>
    </chartFormat>
    <chartFormat chart="17" format="98">
      <pivotArea type="data" outline="0" fieldPosition="0">
        <references count="3">
          <reference field="4294967294" count="1" selected="0">
            <x v="0"/>
          </reference>
          <reference field="6" count="1" selected="0">
            <x v="3"/>
          </reference>
          <reference field="19" count="1" selected="0">
            <x v="11"/>
          </reference>
        </references>
      </pivotArea>
    </chartFormat>
    <chartFormat chart="17" format="99">
      <pivotArea type="data" outline="0" fieldPosition="0">
        <references count="3">
          <reference field="4294967294" count="1" selected="0">
            <x v="0"/>
          </reference>
          <reference field="6" count="1" selected="0">
            <x v="3"/>
          </reference>
          <reference field="19" count="1" selected="0">
            <x v="12"/>
          </reference>
        </references>
      </pivotArea>
    </chartFormat>
  </chartFormats>
  <pivotTableStyleInfo name="PivotStyleLight16" showRowHeaders="1" showColHeaders="1" showRowStripes="0" showColStripes="0" showLastColumn="1"/>
  <filters count="1">
    <filter fld="12" type="dateBetween" evalOrder="-1" id="4604"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6E698A-15BD-4015-B237-EF79AA718A2C}" name="pvtSumRevenue" cacheId="0" applyNumberFormats="0" applyBorderFormats="0" applyFontFormats="0" applyPatternFormats="0" applyAlignmentFormats="0" applyWidthHeightFormats="1" dataCaption="Values" updatedVersion="7" minRefreshableVersion="5" itemPrintTitles="1" createdVersion="7" indent="0" outline="1" outlineData="1" multipleFieldFilters="0" chartFormat="49" rowHeaderCaption="Months">
  <location ref="H18:I31" firstHeaderRow="1" firstDataRow="1" firstDataCol="1"/>
  <pivotFields count="21">
    <pivotField showAll="0"/>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Revenue" fld="18" baseField="0" baseItem="0" numFmtId="165"/>
  </dataFields>
  <formats count="1">
    <format dxfId="629">
      <pivotArea outline="0" collapsedLevelsAreSubtotals="1" fieldPosition="0"/>
    </format>
  </formats>
  <chartFormats count="9">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9" count="1" selected="0">
            <x v="10"/>
          </reference>
        </references>
      </pivotArea>
    </chartFormat>
    <chartFormat chart="33" format="9" series="1">
      <pivotArea type="data" outline="0" fieldPosition="0">
        <references count="1">
          <reference field="4294967294" count="1" selected="0">
            <x v="0"/>
          </reference>
        </references>
      </pivotArea>
    </chartFormat>
    <chartFormat chart="33" format="10">
      <pivotArea type="data" outline="0" fieldPosition="0">
        <references count="2">
          <reference field="4294967294" count="1" selected="0">
            <x v="0"/>
          </reference>
          <reference field="19" count="1" selected="0">
            <x v="10"/>
          </reference>
        </references>
      </pivotArea>
    </chartFormat>
    <chartFormat chart="41" format="21" series="1">
      <pivotArea type="data" outline="0" fieldPosition="0">
        <references count="1">
          <reference field="4294967294" count="1" selected="0">
            <x v="0"/>
          </reference>
        </references>
      </pivotArea>
    </chartFormat>
    <chartFormat chart="41" format="22">
      <pivotArea type="data" outline="0" fieldPosition="0">
        <references count="2">
          <reference field="4294967294" count="1" selected="0">
            <x v="0"/>
          </reference>
          <reference field="19" count="1" selected="0">
            <x v="10"/>
          </reference>
        </references>
      </pivotArea>
    </chartFormat>
    <chartFormat chart="48" format="13" series="1">
      <pivotArea type="data" outline="0" fieldPosition="0">
        <references count="1">
          <reference field="4294967294" count="1" selected="0">
            <x v="0"/>
          </reference>
        </references>
      </pivotArea>
    </chartFormat>
    <chartFormat chart="48" format="14">
      <pivotArea type="data" outline="0" fieldPosition="0">
        <references count="2">
          <reference field="4294967294" count="1" selected="0">
            <x v="0"/>
          </reference>
          <reference field="19" count="1" selected="0">
            <x v="10"/>
          </reference>
        </references>
      </pivotArea>
    </chartFormat>
    <chartFormat chart="48" format="15">
      <pivotArea type="data" outline="0" fieldPosition="0">
        <references count="2">
          <reference field="4294967294" count="1" selected="0">
            <x v="0"/>
          </reference>
          <reference field="19" count="1" selected="0">
            <x v="5"/>
          </reference>
        </references>
      </pivotArea>
    </chartFormat>
  </chartFormats>
  <pivotTableStyleInfo name="PivotStyleLight16" showRowHeaders="1" showColHeaders="1" showRowStripes="0" showColStripes="0" showLastColumn="1"/>
  <filters count="1">
    <filter fld="12" type="dateBetween" evalOrder="-1" id="4481"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11106A-414E-4484-8A2E-C5422E87D623}" name="pvtAvrDistance"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rowHeaderCaption="Months">
  <location ref="H1:J14" firstHeaderRow="0" firstDataRow="1" firstDataCol="1"/>
  <pivotFields count="21">
    <pivotField showAll="0"/>
    <pivotField showAll="0"/>
    <pivotField showAll="0"/>
    <pivotField showAll="0"/>
    <pivotField showAll="0"/>
    <pivotField showAll="0"/>
    <pivotField showAll="0">
      <items count="5">
        <item x="0"/>
        <item x="2"/>
        <item x="3"/>
        <item x="1"/>
        <item t="default"/>
      </items>
    </pivotField>
    <pivotField dataField="1" showAll="0"/>
    <pivotField showAll="0"/>
    <pivotField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Distance_km" fld="7" baseField="0" baseItem="0" numFmtId="165"/>
    <dataField name="Average of Distance_km" fld="7" subtotal="average" baseField="16" baseItem="6"/>
  </dataFields>
  <formats count="2">
    <format dxfId="608">
      <pivotArea outline="0" collapsedLevelsAreSubtotals="1" fieldPosition="0"/>
    </format>
    <format dxfId="607">
      <pivotArea outline="0" collapsedLevelsAreSubtotals="1" fieldPosition="0">
        <references count="1">
          <reference field="4294967294" count="1" selected="0">
            <x v="0"/>
          </reference>
        </references>
      </pivotArea>
    </format>
  </formats>
  <chartFormats count="5">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0"/>
          </reference>
          <reference field="19" count="1" selected="0">
            <x v="1"/>
          </reference>
        </references>
      </pivotArea>
    </chartFormat>
    <chartFormat chart="4" format="3">
      <pivotArea type="data" outline="0" fieldPosition="0">
        <references count="2">
          <reference field="4294967294" count="1" selected="0">
            <x v="1"/>
          </reference>
          <reference field="19" count="1" selected="0">
            <x v="1"/>
          </reference>
        </references>
      </pivotArea>
    </chartFormat>
    <chartFormat chart="4" format="4">
      <pivotArea type="data" outline="0" fieldPosition="0">
        <references count="2">
          <reference field="4294967294" count="1" selected="0">
            <x v="0"/>
          </reference>
          <reference field="19" count="1" selected="0">
            <x v="10"/>
          </reference>
        </references>
      </pivotArea>
    </chartFormat>
  </chartFormats>
  <pivotTableStyleInfo name="PivotStyleLight16" showRowHeaders="1" showColHeaders="1" showRowStripes="0" showColStripes="0" showLastColumn="1"/>
  <filters count="1">
    <filter fld="12" type="dateBetween" evalOrder="-1" id="4109"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D160C7-E47C-4BA3-B12D-0C7A1A6AC5FD}" name="pvtAvrFuelCost"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1" rowHeaderCaption="Months">
  <location ref="A1:B14" firstHeaderRow="1" firstDataRow="1" firstDataCol="1"/>
  <pivotFields count="21">
    <pivotField showAll="0"/>
    <pivotField showAll="0"/>
    <pivotField showAll="0"/>
    <pivotField showAll="0"/>
    <pivotField showAll="0"/>
    <pivotField showAll="0"/>
    <pivotField showAll="0">
      <items count="5">
        <item x="0"/>
        <item x="2"/>
        <item x="3"/>
        <item x="1"/>
        <item t="default"/>
      </items>
    </pivotField>
    <pivotField showAll="0"/>
    <pivotField showAll="0"/>
    <pivotField dataField="1"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Average of FuelCost_per_km" fld="9" subtotal="average" baseField="16" baseItem="1" numFmtId="43"/>
  </dataFields>
  <formats count="1">
    <format dxfId="609">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dateBetween" evalOrder="-1" id="4109"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F24BF7-5CA6-449A-9E52-D23E6FB66455}" name="pvtDriverStat" cacheId="0" applyNumberFormats="0" applyBorderFormats="0" applyFontFormats="0" applyPatternFormats="0" applyAlignmentFormats="0" applyWidthHeightFormats="1" dataCaption="Values" grandTotalCaption="Total Order" showMissing="0" updatedVersion="7" minRefreshableVersion="5" preserveFormatting="0" itemPrintTitles="1" createdVersion="7" indent="0" outline="1" outlineData="1" multipleFieldFilters="0" chartFormat="2" rowHeaderCaption="Name" colHeaderCaption="Status">
  <location ref="A127:E136" firstHeaderRow="1" firstDataRow="2" firstDataCol="1"/>
  <pivotFields count="21">
    <pivotField showAll="0"/>
    <pivotField showAll="0"/>
    <pivotField showAll="0"/>
    <pivotField showAll="0"/>
    <pivotField showAll="0"/>
    <pivotField showAll="0"/>
    <pivotField showAll="0">
      <items count="5">
        <item x="0"/>
        <item x="2"/>
        <item x="3"/>
        <item x="1"/>
        <item t="default"/>
      </items>
    </pivotField>
    <pivotField showAll="0"/>
    <pivotField showAll="0"/>
    <pivotField showAll="0"/>
    <pivotField showAll="0"/>
    <pivotField axis="axisRow" showAll="0" measureFilter="1" sortType="descending">
      <items count="8">
        <item x="1"/>
        <item x="4"/>
        <item x="3"/>
        <item x="0"/>
        <item x="5"/>
        <item x="6"/>
        <item x="2"/>
        <item t="default"/>
      </items>
      <autoSortScope>
        <pivotArea dataOnly="0" outline="0" fieldPosition="0">
          <references count="1">
            <reference field="4294967294" count="1" selected="0">
              <x v="0"/>
            </reference>
          </references>
        </pivotArea>
      </autoSortScope>
    </pivotField>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dataField="1" showAll="0">
      <items count="4">
        <item x="2"/>
        <item x="1"/>
        <item x="0"/>
        <item t="default"/>
      </items>
    </pivotField>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1"/>
  </rowFields>
  <rowItems count="8">
    <i>
      <x/>
    </i>
    <i>
      <x v="2"/>
    </i>
    <i>
      <x v="4"/>
    </i>
    <i>
      <x v="3"/>
    </i>
    <i>
      <x v="5"/>
    </i>
    <i>
      <x v="1"/>
    </i>
    <i>
      <x v="6"/>
    </i>
    <i t="grand">
      <x/>
    </i>
  </rowItems>
  <colFields count="1">
    <field x="13"/>
  </colFields>
  <colItems count="4">
    <i>
      <x/>
    </i>
    <i>
      <x v="1"/>
    </i>
    <i>
      <x v="2"/>
    </i>
    <i t="grand">
      <x/>
    </i>
  </colItems>
  <dataFields count="1">
    <dataField name="Count of Status" fld="13" subtotal="count" baseField="0" baseItem="0"/>
  </dataFields>
  <pivotTableStyleInfo name="PivotStyleLight16" showRowHeaders="1" showColHeaders="1" showRowStripes="0" showColStripes="0" showLastColumn="1"/>
  <filters count="2">
    <filter fld="12" type="dateBetween" evalOrder="-1" id="3770"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 fld="11"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80C708-7CB0-4EA5-9BFC-2492A8A0CDF8}" name="pvtFuelCost" cacheId="0" applyNumberFormats="0" applyBorderFormats="0" applyFontFormats="0" applyPatternFormats="0" applyAlignmentFormats="0" applyWidthHeightFormats="1" dataCaption="Values" missingCaption="0" updatedVersion="7" minRefreshableVersion="5" preserveFormatting="0" itemPrintTitles="1" mergeItem="1" createdVersion="7" indent="0" outline="1" outlineData="1" multipleFieldFilters="0" chartFormat="1" rowHeaderCaption="Months" colHeaderCaption="Route Scope">
  <location ref="A85:G100" firstHeaderRow="1" firstDataRow="3" firstDataCol="1"/>
  <pivotFields count="21">
    <pivotField showAll="0"/>
    <pivotField showAll="0"/>
    <pivotField showAll="0"/>
    <pivotField showAll="0"/>
    <pivotField showAll="0"/>
    <pivotField axis="axisCol" showAll="0">
      <items count="3">
        <item x="0"/>
        <item x="1"/>
        <item t="default"/>
      </items>
    </pivotField>
    <pivotField showAll="0">
      <items count="5">
        <item x="0"/>
        <item x="2"/>
        <item x="3"/>
        <item x="1"/>
        <item t="default"/>
      </items>
    </pivotField>
    <pivotField showAll="0"/>
    <pivotField showAll="0"/>
    <pivotField showAll="0"/>
    <pivotField dataField="1"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2">
    <field x="5"/>
    <field x="-2"/>
  </colFields>
  <colItems count="6">
    <i>
      <x/>
      <x/>
    </i>
    <i r="1" i="1">
      <x v="1"/>
    </i>
    <i>
      <x v="1"/>
      <x/>
    </i>
    <i r="1" i="1">
      <x v="1"/>
    </i>
    <i t="grand">
      <x/>
    </i>
    <i t="grand" i="1">
      <x/>
    </i>
  </colItems>
  <dataFields count="2">
    <dataField name="Fuel Cost" fld="10" baseField="14" baseItem="1"/>
    <dataField name="Total Revenue" fld="18" baseField="14"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filters count="1">
    <filter fld="12" type="dateBetween" evalOrder="-1" id="3845"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66C790-A271-4FEE-97E9-7C669AF42555}" name="pvtDistance_Order"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4" rowHeaderCaption="Months (QA34)" colHeaderCaption="Route Scope">
  <location ref="A34:D48" firstHeaderRow="1" firstDataRow="3" firstDataCol="1"/>
  <pivotFields count="21">
    <pivotField dataField="1" showAll="0"/>
    <pivotField showAll="0"/>
    <pivotField showAll="0"/>
    <pivotField showAll="0"/>
    <pivotField axis="axisCol" showAll="0">
      <items count="36">
        <item x="31"/>
        <item x="1"/>
        <item x="23"/>
        <item x="32"/>
        <item x="16"/>
        <item x="25"/>
        <item x="17"/>
        <item x="0"/>
        <item x="14"/>
        <item x="29"/>
        <item x="18"/>
        <item x="5"/>
        <item x="19"/>
        <item x="8"/>
        <item x="9"/>
        <item x="22"/>
        <item x="21"/>
        <item x="2"/>
        <item x="28"/>
        <item x="4"/>
        <item x="13"/>
        <item x="15"/>
        <item x="11"/>
        <item x="6"/>
        <item x="33"/>
        <item x="24"/>
        <item x="34"/>
        <item x="30"/>
        <item x="7"/>
        <item x="20"/>
        <item x="27"/>
        <item x="26"/>
        <item x="10"/>
        <item x="12"/>
        <item x="3"/>
        <item t="default"/>
      </items>
    </pivotField>
    <pivotField axis="axisCol" showAll="0">
      <items count="3">
        <item sd="0" x="0"/>
        <item sd="0" x="1"/>
        <item t="default" sd="0"/>
      </items>
    </pivotField>
    <pivotField showAll="0"/>
    <pivotField showAll="0"/>
    <pivotField showAll="0"/>
    <pivotField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Row" showAll="0" defaultSubtotal="0">
      <items count="14">
        <item h="1" x="0"/>
        <item x="1"/>
        <item n="Eeb" h="1" x="2"/>
        <item x="3"/>
        <item x="4"/>
        <item x="5"/>
        <item x="6"/>
        <item x="7"/>
        <item x="8"/>
        <item x="9"/>
        <item x="10"/>
        <item x="11"/>
        <item x="12"/>
        <item h="1" x="13"/>
      </items>
    </pivotField>
    <pivotField dragToRow="0" dragToCol="0" dragToPage="0" showAll="0" defaultSubtotal="0"/>
  </pivotFields>
  <rowFields count="1">
    <field x="19"/>
  </rowFields>
  <rowItems count="12">
    <i>
      <x v="1"/>
    </i>
    <i>
      <x v="3"/>
    </i>
    <i>
      <x v="4"/>
    </i>
    <i>
      <x v="5"/>
    </i>
    <i>
      <x v="6"/>
    </i>
    <i>
      <x v="7"/>
    </i>
    <i>
      <x v="8"/>
    </i>
    <i>
      <x v="9"/>
    </i>
    <i>
      <x v="10"/>
    </i>
    <i>
      <x v="11"/>
    </i>
    <i>
      <x v="12"/>
    </i>
    <i t="grand">
      <x/>
    </i>
  </rowItems>
  <colFields count="2">
    <field x="5"/>
    <field x="4"/>
  </colFields>
  <colItems count="3">
    <i>
      <x/>
    </i>
    <i>
      <x v="1"/>
    </i>
    <i t="grand">
      <x/>
    </i>
  </colItems>
  <dataFields count="1">
    <dataField name="Count oE OrderID" fld="0" subtotal="count" baseField="0" baseItem="0"/>
  </dataFields>
  <chartFormats count="38">
    <chartFormat chart="1" format="0" series="1">
      <pivotArea type="data" outline="0" fieldPosition="0">
        <references count="2">
          <reference field="4294967294" count="1" selected="0">
            <x v="0"/>
          </reference>
          <reference field="19" count="1" selected="0">
            <x v="1"/>
          </reference>
        </references>
      </pivotArea>
    </chartFormat>
    <chartFormat chart="1" format="1" series="1">
      <pivotArea type="data" outline="0" fieldPosition="0">
        <references count="2">
          <reference field="4294967294" count="1" selected="0">
            <x v="0"/>
          </reference>
          <reference field="19" count="1" selected="0">
            <x v="2"/>
          </reference>
        </references>
      </pivotArea>
    </chartFormat>
    <chartFormat chart="1" format="2" series="1">
      <pivotArea type="data" outline="0" fieldPosition="0">
        <references count="2">
          <reference field="4294967294" count="1" selected="0">
            <x v="0"/>
          </reference>
          <reference field="19"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1"/>
          </reference>
        </references>
      </pivotArea>
    </chartFormat>
    <chartFormat chart="1" format="5" series="1">
      <pivotArea type="data" outline="0" fieldPosition="0">
        <references count="3">
          <reference field="4294967294" count="1" selected="0">
            <x v="0"/>
          </reference>
          <reference field="4" count="1" selected="0">
            <x v="8"/>
          </reference>
          <reference field="5" count="1" selected="0">
            <x v="1"/>
          </reference>
        </references>
      </pivotArea>
    </chartFormat>
    <chartFormat chart="1" format="6" series="1">
      <pivotArea type="data" outline="0" fieldPosition="0">
        <references count="3">
          <reference field="4294967294" count="1" selected="0">
            <x v="0"/>
          </reference>
          <reference field="4" count="1" selected="0">
            <x v="33"/>
          </reference>
          <reference field="5" count="1" selected="0">
            <x v="1"/>
          </reference>
        </references>
      </pivotArea>
    </chartFormat>
    <chartFormat chart="1" format="7" series="1">
      <pivotArea type="data" outline="0" fieldPosition="0">
        <references count="3">
          <reference field="4294967294" count="1" selected="0">
            <x v="0"/>
          </reference>
          <reference field="4" count="1" selected="0">
            <x v="5"/>
          </reference>
          <reference field="5" count="1" selected="0">
            <x v="0"/>
          </reference>
        </references>
      </pivotArea>
    </chartFormat>
    <chartFormat chart="1" format="8" series="1">
      <pivotArea type="data" outline="0" fieldPosition="0">
        <references count="3">
          <reference field="4294967294" count="1" selected="0">
            <x v="0"/>
          </reference>
          <reference field="4" count="1" selected="0">
            <x v="6"/>
          </reference>
          <reference field="5" count="1" selected="0">
            <x v="0"/>
          </reference>
        </references>
      </pivotArea>
    </chartFormat>
    <chartFormat chart="1" format="9" series="1">
      <pivotArea type="data" outline="0" fieldPosition="0">
        <references count="3">
          <reference field="4294967294" count="1" selected="0">
            <x v="0"/>
          </reference>
          <reference field="4" count="1" selected="0">
            <x v="7"/>
          </reference>
          <reference field="5" count="1" selected="0">
            <x v="0"/>
          </reference>
        </references>
      </pivotArea>
    </chartFormat>
    <chartFormat chart="1" format="10" series="1">
      <pivotArea type="data" outline="0" fieldPosition="0">
        <references count="3">
          <reference field="4294967294" count="1" selected="0">
            <x v="0"/>
          </reference>
          <reference field="4" count="1" selected="0">
            <x v="9"/>
          </reference>
          <reference field="5" count="1" selected="0">
            <x v="0"/>
          </reference>
        </references>
      </pivotArea>
    </chartFormat>
    <chartFormat chart="1" format="11" series="1">
      <pivotArea type="data" outline="0" fieldPosition="0">
        <references count="3">
          <reference field="4294967294" count="1" selected="0">
            <x v="0"/>
          </reference>
          <reference field="4" count="1" selected="0">
            <x v="10"/>
          </reference>
          <reference field="5" count="1" selected="0">
            <x v="0"/>
          </reference>
        </references>
      </pivotArea>
    </chartFormat>
    <chartFormat chart="1" format="12" series="1">
      <pivotArea type="data" outline="0" fieldPosition="0">
        <references count="3">
          <reference field="4294967294" count="1" selected="0">
            <x v="0"/>
          </reference>
          <reference field="4" count="1" selected="0">
            <x v="11"/>
          </reference>
          <reference field="5" count="1" selected="0">
            <x v="0"/>
          </reference>
        </references>
      </pivotArea>
    </chartFormat>
    <chartFormat chart="1" format="13" series="1">
      <pivotArea type="data" outline="0" fieldPosition="0">
        <references count="3">
          <reference field="4294967294" count="1" selected="0">
            <x v="0"/>
          </reference>
          <reference field="4" count="1" selected="0">
            <x v="12"/>
          </reference>
          <reference field="5" count="1" selected="0">
            <x v="0"/>
          </reference>
        </references>
      </pivotArea>
    </chartFormat>
    <chartFormat chart="1" format="14" series="1">
      <pivotArea type="data" outline="0" fieldPosition="0">
        <references count="3">
          <reference field="4294967294" count="1" selected="0">
            <x v="0"/>
          </reference>
          <reference field="4" count="1" selected="0">
            <x v="13"/>
          </reference>
          <reference field="5" count="1" selected="0">
            <x v="0"/>
          </reference>
        </references>
      </pivotArea>
    </chartFormat>
    <chartFormat chart="1" format="15" series="1">
      <pivotArea type="data" outline="0" fieldPosition="0">
        <references count="3">
          <reference field="4294967294" count="1" selected="0">
            <x v="0"/>
          </reference>
          <reference field="4" count="1" selected="0">
            <x v="14"/>
          </reference>
          <reference field="5" count="1" selected="0">
            <x v="0"/>
          </reference>
        </references>
      </pivotArea>
    </chartFormat>
    <chartFormat chart="1" format="16" series="1">
      <pivotArea type="data" outline="0" fieldPosition="0">
        <references count="3">
          <reference field="4294967294" count="1" selected="0">
            <x v="0"/>
          </reference>
          <reference field="4" count="1" selected="0">
            <x v="15"/>
          </reference>
          <reference field="5" count="1" selected="0">
            <x v="0"/>
          </reference>
        </references>
      </pivotArea>
    </chartFormat>
    <chartFormat chart="1" format="17" series="1">
      <pivotArea type="data" outline="0" fieldPosition="0">
        <references count="3">
          <reference field="4294967294" count="1" selected="0">
            <x v="0"/>
          </reference>
          <reference field="4" count="1" selected="0">
            <x v="16"/>
          </reference>
          <reference field="5" count="1" selected="0">
            <x v="0"/>
          </reference>
        </references>
      </pivotArea>
    </chartFormat>
    <chartFormat chart="1" format="18" series="1">
      <pivotArea type="data" outline="0" fieldPosition="0">
        <references count="3">
          <reference field="4294967294" count="1" selected="0">
            <x v="0"/>
          </reference>
          <reference field="4" count="1" selected="0">
            <x v="17"/>
          </reference>
          <reference field="5" count="1" selected="0">
            <x v="0"/>
          </reference>
        </references>
      </pivotArea>
    </chartFormat>
    <chartFormat chart="1" format="19" series="1">
      <pivotArea type="data" outline="0" fieldPosition="0">
        <references count="3">
          <reference field="4294967294" count="1" selected="0">
            <x v="0"/>
          </reference>
          <reference field="4" count="1" selected="0">
            <x v="18"/>
          </reference>
          <reference field="5" count="1" selected="0">
            <x v="0"/>
          </reference>
        </references>
      </pivotArea>
    </chartFormat>
    <chartFormat chart="1" format="20" series="1">
      <pivotArea type="data" outline="0" fieldPosition="0">
        <references count="3">
          <reference field="4294967294" count="1" selected="0">
            <x v="0"/>
          </reference>
          <reference field="4" count="1" selected="0">
            <x v="19"/>
          </reference>
          <reference field="5" count="1" selected="0">
            <x v="0"/>
          </reference>
        </references>
      </pivotArea>
    </chartFormat>
    <chartFormat chart="1" format="21" series="1">
      <pivotArea type="data" outline="0" fieldPosition="0">
        <references count="3">
          <reference field="4294967294" count="1" selected="0">
            <x v="0"/>
          </reference>
          <reference field="4" count="1" selected="0">
            <x v="20"/>
          </reference>
          <reference field="5" count="1" selected="0">
            <x v="0"/>
          </reference>
        </references>
      </pivotArea>
    </chartFormat>
    <chartFormat chart="1" format="22" series="1">
      <pivotArea type="data" outline="0" fieldPosition="0">
        <references count="3">
          <reference field="4294967294" count="1" selected="0">
            <x v="0"/>
          </reference>
          <reference field="4" count="1" selected="0">
            <x v="21"/>
          </reference>
          <reference field="5" count="1" selected="0">
            <x v="0"/>
          </reference>
        </references>
      </pivotArea>
    </chartFormat>
    <chartFormat chart="1" format="23" series="1">
      <pivotArea type="data" outline="0" fieldPosition="0">
        <references count="3">
          <reference field="4294967294" count="1" selected="0">
            <x v="0"/>
          </reference>
          <reference field="4" count="1" selected="0">
            <x v="22"/>
          </reference>
          <reference field="5" count="1" selected="0">
            <x v="0"/>
          </reference>
        </references>
      </pivotArea>
    </chartFormat>
    <chartFormat chart="1" format="24" series="1">
      <pivotArea type="data" outline="0" fieldPosition="0">
        <references count="3">
          <reference field="4294967294" count="1" selected="0">
            <x v="0"/>
          </reference>
          <reference field="4" count="1" selected="0">
            <x v="23"/>
          </reference>
          <reference field="5" count="1" selected="0">
            <x v="0"/>
          </reference>
        </references>
      </pivotArea>
    </chartFormat>
    <chartFormat chart="1" format="25" series="1">
      <pivotArea type="data" outline="0" fieldPosition="0">
        <references count="3">
          <reference field="4294967294" count="1" selected="0">
            <x v="0"/>
          </reference>
          <reference field="4" count="1" selected="0">
            <x v="24"/>
          </reference>
          <reference field="5" count="1" selected="0">
            <x v="0"/>
          </reference>
        </references>
      </pivotArea>
    </chartFormat>
    <chartFormat chart="1" format="26" series="1">
      <pivotArea type="data" outline="0" fieldPosition="0">
        <references count="3">
          <reference field="4294967294" count="1" selected="0">
            <x v="0"/>
          </reference>
          <reference field="4" count="1" selected="0">
            <x v="25"/>
          </reference>
          <reference field="5" count="1" selected="0">
            <x v="0"/>
          </reference>
        </references>
      </pivotArea>
    </chartFormat>
    <chartFormat chart="1" format="27" series="1">
      <pivotArea type="data" outline="0" fieldPosition="0">
        <references count="3">
          <reference field="4294967294" count="1" selected="0">
            <x v="0"/>
          </reference>
          <reference field="4" count="1" selected="0">
            <x v="26"/>
          </reference>
          <reference field="5" count="1" selected="0">
            <x v="0"/>
          </reference>
        </references>
      </pivotArea>
    </chartFormat>
    <chartFormat chart="1" format="28" series="1">
      <pivotArea type="data" outline="0" fieldPosition="0">
        <references count="3">
          <reference field="4294967294" count="1" selected="0">
            <x v="0"/>
          </reference>
          <reference field="4" count="1" selected="0">
            <x v="27"/>
          </reference>
          <reference field="5" count="1" selected="0">
            <x v="0"/>
          </reference>
        </references>
      </pivotArea>
    </chartFormat>
    <chartFormat chart="1" format="29" series="1">
      <pivotArea type="data" outline="0" fieldPosition="0">
        <references count="3">
          <reference field="4294967294" count="1" selected="0">
            <x v="0"/>
          </reference>
          <reference field="4" count="1" selected="0">
            <x v="28"/>
          </reference>
          <reference field="5" count="1" selected="0">
            <x v="0"/>
          </reference>
        </references>
      </pivotArea>
    </chartFormat>
    <chartFormat chart="1" format="30" series="1">
      <pivotArea type="data" outline="0" fieldPosition="0">
        <references count="3">
          <reference field="4294967294" count="1" selected="0">
            <x v="0"/>
          </reference>
          <reference field="4" count="1" selected="0">
            <x v="29"/>
          </reference>
          <reference field="5" count="1" selected="0">
            <x v="0"/>
          </reference>
        </references>
      </pivotArea>
    </chartFormat>
    <chartFormat chart="1" format="31" series="1">
      <pivotArea type="data" outline="0" fieldPosition="0">
        <references count="3">
          <reference field="4294967294" count="1" selected="0">
            <x v="0"/>
          </reference>
          <reference field="4" count="1" selected="0">
            <x v="30"/>
          </reference>
          <reference field="5" count="1" selected="0">
            <x v="0"/>
          </reference>
        </references>
      </pivotArea>
    </chartFormat>
    <chartFormat chart="1" format="32" series="1">
      <pivotArea type="data" outline="0" fieldPosition="0">
        <references count="3">
          <reference field="4294967294" count="1" selected="0">
            <x v="0"/>
          </reference>
          <reference field="4" count="1" selected="0">
            <x v="31"/>
          </reference>
          <reference field="5" count="1" selected="0">
            <x v="0"/>
          </reference>
        </references>
      </pivotArea>
    </chartFormat>
    <chartFormat chart="1" format="33" series="1">
      <pivotArea type="data" outline="0" fieldPosition="0">
        <references count="3">
          <reference field="4294967294" count="1" selected="0">
            <x v="0"/>
          </reference>
          <reference field="4" count="1" selected="0">
            <x v="32"/>
          </reference>
          <reference field="5" count="1" selected="0">
            <x v="0"/>
          </reference>
        </references>
      </pivotArea>
    </chartFormat>
    <chartFormat chart="1" format="34" series="1">
      <pivotArea type="data" outline="0" fieldPosition="0">
        <references count="3">
          <reference field="4294967294" count="1" selected="0">
            <x v="0"/>
          </reference>
          <reference field="4" count="1" selected="0">
            <x v="34"/>
          </reference>
          <reference field="5" count="1" selected="0">
            <x v="0"/>
          </reference>
        </references>
      </pivotArea>
    </chartFormat>
    <chartFormat chart="1" format="35" series="1">
      <pivotArea type="data" outline="0" fieldPosition="0">
        <references count="3">
          <reference field="4294967294" count="1" selected="0">
            <x v="0"/>
          </reference>
          <reference field="4" count="1" selected="0">
            <x v="0"/>
          </reference>
          <reference field="5" count="1" selected="0">
            <x v="1"/>
          </reference>
        </references>
      </pivotArea>
    </chartFormat>
    <chartFormat chart="1" format="36" series="1">
      <pivotArea type="data" outline="0" fieldPosition="0">
        <references count="3">
          <reference field="4294967294" count="1" selected="0">
            <x v="0"/>
          </reference>
          <reference field="4" count="1" selected="0">
            <x v="3"/>
          </reference>
          <reference field="5" count="1" selected="0">
            <x v="0"/>
          </reference>
        </references>
      </pivotArea>
    </chartFormat>
    <chartFormat chart="1" format="37" series="1">
      <pivotArea type="data" outline="0" fieldPosition="0">
        <references count="3">
          <reference field="4294967294" count="1" selected="0">
            <x v="0"/>
          </reference>
          <reference field="4" count="1" selected="0">
            <x v="4"/>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69CA66-27BD-4409-B21B-64BB7E3E1404}" name="pvtMinMaxFue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F14" firstHeaderRow="0" firstDataRow="1" firstDataCol="1"/>
  <pivotFields count="21">
    <pivotField showAll="0"/>
    <pivotField showAll="0"/>
    <pivotField showAll="0"/>
    <pivotField showAll="0"/>
    <pivotField showAll="0"/>
    <pivotField showAll="0"/>
    <pivotField showAll="0">
      <items count="5">
        <item x="0"/>
        <item x="2"/>
        <item x="3"/>
        <item x="1"/>
        <item t="default"/>
      </items>
    </pivotField>
    <pivotField showAll="0"/>
    <pivotField showAll="0"/>
    <pivotField dataField="1" showAll="0"/>
    <pivotField showAll="0"/>
    <pivotField showAll="0"/>
    <pivotField numFmtId="164"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Min of FuelCost_per_km" fld="9" subtotal="min" baseField="16" baseItem="6"/>
    <dataField name="Max of FuelCost_per_km" fld="9" subtotal="max" baseField="16" baseItem="6"/>
  </dataFields>
  <formats count="1">
    <format dxfId="6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189F7C-3909-4429-A0D0-F0DDCB35ED0E}" name="pvtRevenueLos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69:B70" firstHeaderRow="0"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pivotField showAll="0"/>
    <pivotField showAll="0"/>
    <pivotField dataField="1" showAll="0"/>
    <pivotField showAll="0" defaultSubtotal="0"/>
    <pivotField dragToRow="0" dragToCol="0" dragToPage="0" showAll="0" defaultSubtotal="0"/>
  </pivotFields>
  <rowItems count="1">
    <i/>
  </rowItems>
  <colFields count="1">
    <field x="-2"/>
  </colFields>
  <colItems count="2">
    <i>
      <x/>
    </i>
    <i i="1">
      <x v="1"/>
    </i>
  </colItems>
  <dataFields count="2">
    <dataField name="Sum of Revenue" fld="18" baseField="0" baseItem="0"/>
    <dataField name="Sum of Potentian_Lost" fld="14" baseField="0" baseItem="0"/>
  </dataFields>
  <formats count="1">
    <format dxfId="580">
      <pivotArea outline="0" collapsedLevelsAreSubtotals="1" fieldPosition="0"/>
    </format>
  </formats>
  <pivotTableStyleInfo name="PivotStyleLight16" showRowHeaders="1" showColHeaders="1" showRowStripes="0" showColStripes="0" showLastColumn="1"/>
  <filters count="1">
    <filter fld="12" type="dateBetween" evalOrder="-1" id="749"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39248F-0410-439A-8800-A267051B3649}" name="pvtCclbyCust"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
  <location ref="A62:B67" firstHeaderRow="1" firstDataRow="2" firstDataCol="1"/>
  <pivotFields count="21">
    <pivotField dataField="1" showAll="0"/>
    <pivotField axis="axisRow" showAll="0">
      <items count="7">
        <item x="2"/>
        <item x="3"/>
        <item x="0"/>
        <item x="4"/>
        <item x="5"/>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axis="axisCol" showAll="0">
      <items count="4">
        <item x="2"/>
        <item h="1" x="1"/>
        <item h="1" x="0"/>
        <item t="default"/>
      </items>
    </pivotField>
    <pivotField showAll="0"/>
    <pivotField showAll="0"/>
    <pivotField showAll="0"/>
    <pivotField showAll="0"/>
    <pivotField showAll="0"/>
    <pivotField showAll="0" defaultSubtotal="0"/>
    <pivotField dragToRow="0" dragToCol="0" dragToPage="0" showAll="0" defaultSubtotal="0"/>
  </pivotFields>
  <rowFields count="1">
    <field x="1"/>
  </rowFields>
  <rowItems count="4">
    <i>
      <x v="1"/>
    </i>
    <i>
      <x v="2"/>
    </i>
    <i>
      <x v="3"/>
    </i>
    <i t="grand">
      <x/>
    </i>
  </rowItems>
  <colFields count="1">
    <field x="13"/>
  </colFields>
  <colItems count="1">
    <i>
      <x/>
    </i>
  </colItems>
  <dataFields count="1">
    <dataField name="Count of Ord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194820-DCAC-4DE8-8EEC-50DC2D2846FA}" name="pvtCclAnalyst" cacheId="0" applyNumberFormats="0" applyBorderFormats="0" applyFontFormats="0" applyPatternFormats="0" applyAlignmentFormats="0" applyWidthHeightFormats="1" dataCaption="Values" updatedVersion="7" minRefreshableVersion="5" useAutoFormatting="1" colGrandTotals="0" itemPrintTitles="1" createdVersion="7" indent="0" outline="1" outlineData="1" multipleFieldFilters="0" chartFormat="6">
  <location ref="A76:B88" firstHeaderRow="1" firstDataRow="2" firstDataCol="1"/>
  <pivotFields count="21">
    <pivotField dataField="1" showAll="0"/>
    <pivotField axis="axisRow" showAll="0">
      <items count="7">
        <item x="2"/>
        <item x="3"/>
        <item x="0"/>
        <item x="4"/>
        <item x="5"/>
        <item x="1"/>
        <item t="default"/>
      </items>
    </pivotField>
    <pivotField showAll="0"/>
    <pivotField showAll="0"/>
    <pivotField axis="axisRow" showAll="0">
      <items count="36">
        <item x="31"/>
        <item x="1"/>
        <item x="23"/>
        <item x="32"/>
        <item x="16"/>
        <item x="25"/>
        <item x="17"/>
        <item x="0"/>
        <item x="14"/>
        <item x="29"/>
        <item x="18"/>
        <item x="5"/>
        <item x="19"/>
        <item x="8"/>
        <item x="9"/>
        <item x="22"/>
        <item x="21"/>
        <item x="2"/>
        <item x="28"/>
        <item x="4"/>
        <item x="13"/>
        <item x="15"/>
        <item x="11"/>
        <item x="6"/>
        <item x="33"/>
        <item x="24"/>
        <item x="34"/>
        <item x="30"/>
        <item x="7"/>
        <item x="20"/>
        <item x="27"/>
        <item x="26"/>
        <item x="10"/>
        <item x="12"/>
        <item x="3"/>
        <item t="default"/>
      </items>
    </pivotField>
    <pivotField showAll="0"/>
    <pivotField axis="axisRow" showAll="0">
      <items count="5">
        <item x="0"/>
        <item x="2"/>
        <item x="3"/>
        <item x="1"/>
        <item t="default"/>
      </items>
    </pivotField>
    <pivotField showAll="0"/>
    <pivotField showAll="0"/>
    <pivotField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4">
        <item x="2"/>
        <item h="1" x="1"/>
        <item h="1" x="0"/>
        <item t="default"/>
      </items>
    </pivotField>
    <pivotField showAll="0"/>
    <pivotField showAll="0"/>
    <pivotField showAll="0"/>
    <pivotField showAll="0"/>
    <pivotField showAll="0"/>
    <pivotField showAll="0" defaultSubtotal="0"/>
    <pivotField dragToRow="0" dragToCol="0" dragToPage="0" showAll="0" defaultSubtotal="0"/>
  </pivotFields>
  <rowFields count="3">
    <field x="6"/>
    <field x="4"/>
    <field x="1"/>
  </rowFields>
  <rowItems count="11">
    <i>
      <x/>
    </i>
    <i r="1">
      <x v="28"/>
    </i>
    <i r="2">
      <x v="1"/>
    </i>
    <i r="1">
      <x v="29"/>
    </i>
    <i r="2">
      <x v="1"/>
    </i>
    <i>
      <x v="3"/>
    </i>
    <i r="1">
      <x v="27"/>
    </i>
    <i r="2">
      <x v="3"/>
    </i>
    <i r="1">
      <x v="34"/>
    </i>
    <i r="2">
      <x v="2"/>
    </i>
    <i t="grand">
      <x/>
    </i>
  </rowItems>
  <colFields count="1">
    <field x="13"/>
  </colFields>
  <colItems count="1">
    <i>
      <x/>
    </i>
  </colItems>
  <dataFields count="1">
    <dataField name="Count of OrderID" fld="0"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dateBetween" evalOrder="-1" id="649"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9AE653F-4195-4CD3-9406-CCBF1CD84C12}" name="pvtLate" cacheId="0" applyNumberFormats="0" applyBorderFormats="0" applyFontFormats="0" applyPatternFormats="0" applyAlignmentFormats="0" applyWidthHeightFormats="1" dataCaption="Values" updatedVersion="7" minRefreshableVersion="5" showDrill="0" colGrandTotals="0" itemPrintTitles="1" mergeItem="1" createdVersion="7" indent="0" outline="1" outlineData="1" multipleFieldFilters="0" chartFormat="2" rowHeaderCaption="Route">
  <location ref="A52:G60" firstHeaderRow="1" firstDataRow="2" firstDataCol="1"/>
  <pivotFields count="21">
    <pivotField showAll="0"/>
    <pivotField showAll="0"/>
    <pivotField axis="axisRow" showAll="0">
      <items count="7">
        <item x="1"/>
        <item x="0"/>
        <item x="5"/>
        <item x="2"/>
        <item x="4"/>
        <item x="3"/>
        <item t="default"/>
      </items>
    </pivotField>
    <pivotField axis="axisCol" showAll="0">
      <items count="7">
        <item x="1"/>
        <item x="0"/>
        <item x="3"/>
        <item x="4"/>
        <item x="5"/>
        <item x="2"/>
        <item t="default"/>
      </items>
    </pivotField>
    <pivotField showAll="0"/>
    <pivotField showAll="0"/>
    <pivotField showAll="0">
      <items count="5">
        <item x="0"/>
        <item x="2"/>
        <item x="3"/>
        <item x="1"/>
        <item t="default"/>
      </items>
    </pivotField>
    <pivotField showAll="0"/>
    <pivotField showAll="0"/>
    <pivotField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sortType="ascending"/>
    <pivotField showAll="0"/>
    <pivotField dataField="1" showAll="0"/>
    <pivotField showAll="0"/>
    <pivotField showAll="0"/>
    <pivotField showAll="0"/>
    <pivotField multipleItemSelectionAllowed="1"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2"/>
  </rowFields>
  <rowItems count="7">
    <i>
      <x/>
    </i>
    <i>
      <x v="1"/>
    </i>
    <i>
      <x v="2"/>
    </i>
    <i>
      <x v="3"/>
    </i>
    <i>
      <x v="4"/>
    </i>
    <i>
      <x v="5"/>
    </i>
    <i t="grand">
      <x/>
    </i>
  </rowItems>
  <colFields count="1">
    <field x="3"/>
  </colFields>
  <colItems count="6">
    <i>
      <x/>
    </i>
    <i>
      <x v="1"/>
    </i>
    <i>
      <x v="2"/>
    </i>
    <i>
      <x v="3"/>
    </i>
    <i>
      <x v="4"/>
    </i>
    <i>
      <x v="5"/>
    </i>
  </colItems>
  <dataFields count="1">
    <dataField name="Sum of Late" fld="15" baseField="2" baseItem="2"/>
  </dataFields>
  <chartFormats count="12">
    <chartFormat chart="1" format="43" series="1">
      <pivotArea type="data" outline="0" fieldPosition="0">
        <references count="1">
          <reference field="3" count="1" selected="0">
            <x v="0"/>
          </reference>
        </references>
      </pivotArea>
    </chartFormat>
    <chartFormat chart="1" format="44" series="1">
      <pivotArea type="data" outline="0" fieldPosition="0">
        <references count="1">
          <reference field="3" count="1" selected="0">
            <x v="1"/>
          </reference>
        </references>
      </pivotArea>
    </chartFormat>
    <chartFormat chart="1" format="45" series="1">
      <pivotArea type="data" outline="0" fieldPosition="0">
        <references count="1">
          <reference field="3" count="1" selected="0">
            <x v="2"/>
          </reference>
        </references>
      </pivotArea>
    </chartFormat>
    <chartFormat chart="1" format="46" series="1">
      <pivotArea type="data" outline="0" fieldPosition="0">
        <references count="1">
          <reference field="3" count="1" selected="0">
            <x v="3"/>
          </reference>
        </references>
      </pivotArea>
    </chartFormat>
    <chartFormat chart="1" format="47" series="1">
      <pivotArea type="data" outline="0" fieldPosition="0">
        <references count="1">
          <reference field="3" count="1" selected="0">
            <x v="4"/>
          </reference>
        </references>
      </pivotArea>
    </chartFormat>
    <chartFormat chart="1" format="48" series="1">
      <pivotArea type="data" outline="0" fieldPosition="0">
        <references count="1">
          <reference field="3" count="1" selected="0">
            <x v="5"/>
          </reference>
        </references>
      </pivotArea>
    </chartFormat>
    <chartFormat chart="1" format="49" series="1">
      <pivotArea type="data" outline="0" fieldPosition="0">
        <references count="2">
          <reference field="4294967294" count="1" selected="0">
            <x v="0"/>
          </reference>
          <reference field="3" count="1" selected="0">
            <x v="0"/>
          </reference>
        </references>
      </pivotArea>
    </chartFormat>
    <chartFormat chart="1" format="50" series="1">
      <pivotArea type="data" outline="0" fieldPosition="0">
        <references count="2">
          <reference field="4294967294" count="1" selected="0">
            <x v="0"/>
          </reference>
          <reference field="3" count="1" selected="0">
            <x v="1"/>
          </reference>
        </references>
      </pivotArea>
    </chartFormat>
    <chartFormat chart="1" format="51" series="1">
      <pivotArea type="data" outline="0" fieldPosition="0">
        <references count="2">
          <reference field="4294967294" count="1" selected="0">
            <x v="0"/>
          </reference>
          <reference field="3" count="1" selected="0">
            <x v="2"/>
          </reference>
        </references>
      </pivotArea>
    </chartFormat>
    <chartFormat chart="1" format="52" series="1">
      <pivotArea type="data" outline="0" fieldPosition="0">
        <references count="2">
          <reference field="4294967294" count="1" selected="0">
            <x v="0"/>
          </reference>
          <reference field="3" count="1" selected="0">
            <x v="3"/>
          </reference>
        </references>
      </pivotArea>
    </chartFormat>
    <chartFormat chart="1" format="53" series="1">
      <pivotArea type="data" outline="0" fieldPosition="0">
        <references count="2">
          <reference field="4294967294" count="1" selected="0">
            <x v="0"/>
          </reference>
          <reference field="3" count="1" selected="0">
            <x v="4"/>
          </reference>
        </references>
      </pivotArea>
    </chartFormat>
    <chartFormat chart="1" format="54"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filters count="1">
    <filter fld="12" type="dateBetween" evalOrder="-1" id="1665"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7E1AA1E-5208-4C76-9534-94DA6BB65BEC}" name="pvtOntime" cacheId="0" applyNumberFormats="0" applyBorderFormats="0" applyFontFormats="0" applyPatternFormats="0" applyAlignmentFormats="0" applyWidthHeightFormats="1" dataCaption="Values" grandTotalCaption="Total Order" showMissing="0" updatedVersion="7" minRefreshableVersion="5" itemPrintTitles="1" mergeItem="1" createdVersion="7" indent="0" outline="1" outlineData="1" multipleFieldFilters="0" chartFormat="6" rowHeaderCaption="Customer" colHeaderCaption="Status">
  <location ref="A33:E47" firstHeaderRow="1" firstDataRow="2" firstDataCol="1"/>
  <pivotFields count="21">
    <pivotField dataField="1" showAll="0"/>
    <pivotField showAll="0">
      <items count="7">
        <item x="2"/>
        <item x="3"/>
        <item x="0"/>
        <item x="4"/>
        <item x="5"/>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4">
        <item x="2"/>
        <item x="1"/>
        <item x="0"/>
        <item t="default"/>
      </items>
    </pivotField>
    <pivotField showAll="0"/>
    <pivotField showAll="0"/>
    <pivotField showAll="0"/>
    <pivotField showAll="0"/>
    <pivotField showAll="0"/>
    <pivotField axis="axisRow" showAll="0" defaultSubtotal="0">
      <items count="14">
        <item sd="0" x="0"/>
        <item x="1"/>
        <item sd="0" x="2"/>
        <item sd="0" x="3"/>
        <item sd="0" x="4"/>
        <item sd="0" x="5"/>
        <item sd="0" x="6"/>
        <item sd="0" x="7"/>
        <item sd="0" x="8"/>
        <item sd="0" x="9"/>
        <item sd="0" x="10"/>
        <item sd="0" x="11"/>
        <item sd="0" x="12"/>
        <item sd="0" x="13"/>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13"/>
  </colFields>
  <colItems count="4">
    <i>
      <x/>
    </i>
    <i>
      <x v="1"/>
    </i>
    <i>
      <x v="2"/>
    </i>
    <i t="grand">
      <x/>
    </i>
  </colItems>
  <dataFields count="1">
    <dataField name="Count of OrderID" fld="0" subtotal="count" baseField="0" baseItem="0"/>
  </dataFields>
  <formats count="3">
    <format dxfId="583">
      <pivotArea field="1" type="button" dataOnly="0" labelOnly="1" outline="0"/>
    </format>
    <format dxfId="582">
      <pivotArea dataOnly="0" labelOnly="1" fieldPosition="0">
        <references count="1">
          <reference field="13" count="0"/>
        </references>
      </pivotArea>
    </format>
    <format dxfId="581">
      <pivotArea dataOnly="0" labelOnly="1" grandCol="1" outline="0" fieldPosition="0"/>
    </format>
  </formats>
  <chartFormats count="9">
    <chartFormat chart="2" format="3" series="1">
      <pivotArea type="data" outline="0" fieldPosition="0">
        <references count="2">
          <reference field="4294967294" count="1" selected="0">
            <x v="0"/>
          </reference>
          <reference field="13" count="1" selected="0">
            <x v="0"/>
          </reference>
        </references>
      </pivotArea>
    </chartFormat>
    <chartFormat chart="2" format="4" series="1">
      <pivotArea type="data" outline="0" fieldPosition="0">
        <references count="2">
          <reference field="4294967294" count="1" selected="0">
            <x v="0"/>
          </reference>
          <reference field="13" count="1" selected="0">
            <x v="1"/>
          </reference>
        </references>
      </pivotArea>
    </chartFormat>
    <chartFormat chart="2" format="5" series="1">
      <pivotArea type="data" outline="0" fieldPosition="0">
        <references count="2">
          <reference field="4294967294" count="1" selected="0">
            <x v="0"/>
          </reference>
          <reference field="13" count="1" selected="0">
            <x v="2"/>
          </reference>
        </references>
      </pivotArea>
    </chartFormat>
    <chartFormat chart="4" format="3" series="1">
      <pivotArea type="data" outline="0" fieldPosition="0">
        <references count="2">
          <reference field="4294967294" count="1" selected="0">
            <x v="0"/>
          </reference>
          <reference field="13" count="1" selected="0">
            <x v="0"/>
          </reference>
        </references>
      </pivotArea>
    </chartFormat>
    <chartFormat chart="4" format="4" series="1">
      <pivotArea type="data" outline="0" fieldPosition="0">
        <references count="2">
          <reference field="4294967294" count="1" selected="0">
            <x v="0"/>
          </reference>
          <reference field="13" count="1" selected="0">
            <x v="1"/>
          </reference>
        </references>
      </pivotArea>
    </chartFormat>
    <chartFormat chart="4" format="5" series="1">
      <pivotArea type="data" outline="0" fieldPosition="0">
        <references count="2">
          <reference field="4294967294" count="1" selected="0">
            <x v="0"/>
          </reference>
          <reference field="13" count="1" selected="0">
            <x v="2"/>
          </reference>
        </references>
      </pivotArea>
    </chartFormat>
    <chartFormat chart="5" format="3" series="1">
      <pivotArea type="data" outline="0" fieldPosition="0">
        <references count="2">
          <reference field="4294967294" count="1" selected="0">
            <x v="0"/>
          </reference>
          <reference field="13" count="1" selected="0">
            <x v="0"/>
          </reference>
        </references>
      </pivotArea>
    </chartFormat>
    <chartFormat chart="5" format="4" series="1">
      <pivotArea type="data" outline="0" fieldPosition="0">
        <references count="2">
          <reference field="4294967294" count="1" selected="0">
            <x v="0"/>
          </reference>
          <reference field="13" count="1" selected="0">
            <x v="1"/>
          </reference>
        </references>
      </pivotArea>
    </chartFormat>
    <chartFormat chart="5" format="5"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12" type="dateBetween" evalOrder="-1" id="3078" name="Delivery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uckType" xr10:uid="{C06EC419-8480-44DD-9CB1-9D55ACC08854}" sourceName="TruckType">
  <pivotTables>
    <pivotTable tabId="2" name="pvtRevenuebyMonth"/>
    <pivotTable tabId="2" name="pvtSumRevenue"/>
    <pivotTable tabId="2" name="pvtTopCust"/>
    <pivotTable tabId="3" name="pvtAvrDistance"/>
    <pivotTable tabId="3" name="pvtAvrFuelCost"/>
    <pivotTable tabId="3" name="pvtMinMaxFuel"/>
    <pivotTable tabId="3" name="pvtFuelCost"/>
    <pivotTable tabId="3" name="pvtDriverStat"/>
    <pivotTable tabId="4" name="pvtOntime"/>
    <pivotTable tabId="4" name="pvtLate"/>
    <pivotTable tabId="4" name="pvtCclAnalyst"/>
  </pivotTables>
  <data>
    <tabular pivotCacheId="1237347846">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2" xr10:uid="{FD21A9C2-3F9A-4871-838B-941CF004A802}" sourceName="Months">
  <extLst>
    <x:ext xmlns:x15="http://schemas.microsoft.com/office/spreadsheetml/2010/11/main" uri="{2F2917AC-EB37-4324-AD4E-5DD8C200BD13}">
      <x15:tableSlicerCache tableId="8"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uckType" xr10:uid="{A8EF2557-17D5-4263-A688-2709B5D26D25}" cache="Slicer_TruckType" caption="TruckType" columnCount="4"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3" xr10:uid="{EE42165A-951E-455A-AE54-ECCC59C8E2E7}" cache="Slicer_Months2" caption="Months" columnCount="6" showCaption="0" rowHeight="18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uckType 1" xr10:uid="{97249A43-191D-403D-88D7-E6F988BEBE00}" cache="Slicer_TruckType" caption="TruckType" columnCount="4" showCaption="0"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uckType 2" xr10:uid="{E16D9D89-8254-4E88-99AE-046E713D23ED}" cache="Slicer_TruckType" caption="TruckType" columnCount="4"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0B7C37B-953C-4BCC-8DC6-D649BE5403E5}" name="tblTargetRevenue" displayName="tblTargetRevenue" ref="A72:F84" headerRowDxfId="623" headerRowBorderDxfId="622" tableBorderDxfId="621" totalsRowBorderDxfId="620">
  <autoFilter ref="A72:F84" xr:uid="{90B7C37B-953C-4BCC-8DC6-D649BE5403E5}">
    <filterColumn colId="0">
      <filters>
        <filter val="Jan"/>
      </filters>
    </filterColumn>
  </autoFilter>
  <tableColumns count="6">
    <tableColumn id="1" xr3:uid="{AA7E7F63-B3BB-4FED-9960-780B51A3C1C3}" name="Months" totalsRowLabel="Total" totalsRowDxfId="619"/>
    <tableColumn id="2" xr3:uid="{D86F8C9A-0CCC-4F9B-B5F8-4D28FCE6298F}" name="Actual" totalsRowFunction="sum" dataDxfId="618" dataCellStyle="Comma" totalsRowCellStyle="Comma">
      <calculatedColumnFormula>GETPIVOTDATA("Revenue",$H$18,"Months",A73)</calculatedColumnFormula>
    </tableColumn>
    <tableColumn id="3" xr3:uid="{7BBAA255-5E1A-42E2-8BB4-2CA518FF633C}" name="Target" totalsRowFunction="sum" dataDxfId="617" totalsRowDxfId="616" dataCellStyle="Comma" totalsRowCellStyle="Comma"/>
    <tableColumn id="4" xr3:uid="{3D8CDD94-BBC9-4F30-A73C-731774D4346E}" name="Percentage" totalsRowFunction="average" dataDxfId="615" totalsRowDxfId="614" dataCellStyle="Percent" totalsRowCellStyle="Percent">
      <calculatedColumnFormula>B73/C73</calculatedColumnFormula>
    </tableColumn>
    <tableColumn id="5" xr3:uid="{B127717D-2739-4AF5-9D94-ECD284620E09}" name="Rest" totalsRowFunction="average" dataDxfId="613" totalsRowDxfId="612">
      <calculatedColumnFormula>tblTargetRevenue[[#This Row],[Total]]-tblTargetRevenue[[#This Row],[Percentage]]</calculatedColumnFormula>
    </tableColumn>
    <tableColumn id="6" xr3:uid="{AB53B7D2-1EC5-4BDC-B385-23C4ACF23E7A}" name="Total" totalsRowFunction="average" totalsRowDxfId="611" dataCellStyle="Percent">
      <calculatedColumnFormula>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0102C7-D2BF-4D33-B943-3A5801FAC713}" name="tblRevenuePerCost" displayName="tblRevenuePerCost" ref="A68:J81" totalsRowShown="0" headerRowDxfId="606" headerRowBorderDxfId="605" tableBorderDxfId="604">
  <autoFilter ref="A68:J81" xr:uid="{BD0102C7-D2BF-4D33-B943-3A5801FAC7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3EAC53F-C64B-4837-A9C3-C68387F3546C}" name="Months" dataDxfId="603" dataCellStyle="Comma"/>
    <tableColumn id="8" xr3:uid="{3FF6B678-2C05-406F-9B7A-53869798F50B}" name="Fuel Cost-I" dataDxfId="602">
      <calculatedColumnFormula>GETPIVOTDATA("Fuel Cost",$A$85,"Route_Scope","Intercity","Months",tblRevenuePerCost[[#This Row],[Months]])</calculatedColumnFormula>
    </tableColumn>
    <tableColumn id="7" xr3:uid="{8E17DD54-88E5-4B49-A943-04125A69DD3D}" name="Total Revenue-I" dataDxfId="601" dataCellStyle="Comma">
      <calculatedColumnFormula>GETPIVOTDATA("Total Revenue",$A$85,"Route_Scope","Intercity","Months",#REF!)</calculatedColumnFormula>
    </tableColumn>
    <tableColumn id="6" xr3:uid="{16AB83A3-2853-4D33-94ED-FEFC8EF1F0A4}" name="Fuel Cost-W" dataDxfId="600" dataCellStyle="Comma">
      <calculatedColumnFormula>GETPIVOTDATA("Fuel Cost",$A$85,"Route_Scope","Within City","Months",#REF!)</calculatedColumnFormula>
    </tableColumn>
    <tableColumn id="5" xr3:uid="{31DF6AA4-5D29-49E5-9981-ED205AEF5F2C}" name="Total Revenue-W" dataDxfId="599" dataCellStyle="Comma">
      <calculatedColumnFormula>GETPIVOTDATA("Total Revenue",$A$85,"Route_Scope","Within City","Months",#REF!)</calculatedColumnFormula>
    </tableColumn>
    <tableColumn id="10" xr3:uid="{57D3578A-559E-43A4-BC5C-79A739C414C4}" name="Grand Total Fuel Cost " dataDxfId="598" dataCellStyle="Comma"/>
    <tableColumn id="9" xr3:uid="{C86CD4EC-9785-4B66-B68D-D2C3D57086E0}" name="Grand Total Revenue" dataDxfId="597" dataCellStyle="Comma"/>
    <tableColumn id="2" xr3:uid="{31CA1D86-142E-42B1-ACA5-155351811C37}" name="Intercity - Margin Profit" dataDxfId="596"/>
    <tableColumn id="3" xr3:uid="{DFE1642F-415F-47D3-843D-4932A2D2B1CB}" name="Within City - Margin Profit" dataDxfId="595">
      <calculatedColumnFormula>IFERROR((tblRevenuePerCost[[#This Row],[Total Revenue-W]]-tblRevenuePerCost[[#This Row],[Fuel Cost-W]])/tblRevenuePerCost[[#This Row],[Total Revenue-W]],0)</calculatedColumnFormula>
    </tableColumn>
    <tableColumn id="4" xr3:uid="{C032B5D7-5630-4C1C-9FE8-00CDC4622361}" name="Margin 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69CD2E2-D64F-4995-8EF8-3B1BD0E264DA}" name="tbl_DrivPerf" displayName="tbl_DrivPerf" ref="A117:H125" totalsRowShown="0" headerRowDxfId="594" dataDxfId="592" headerRowBorderDxfId="593">
  <autoFilter ref="A117:H125" xr:uid="{C69CD2E2-D64F-4995-8EF8-3B1BD0E264DA}"/>
  <tableColumns count="8">
    <tableColumn id="1" xr3:uid="{71075BBF-ADA7-4D00-B163-0D89AF14AD75}" name="Name" dataDxfId="591">
      <calculatedColumnFormula>A129</calculatedColumnFormula>
    </tableColumn>
    <tableColumn id="2" xr3:uid="{F5802E3B-3DEF-4B74-B0D9-A6D358CA1510}" name="Cancelled" dataDxfId="590"/>
    <tableColumn id="3" xr3:uid="{5F6F596A-CAA0-42A2-9583-EEFE6401232D}" name="Late" dataDxfId="589"/>
    <tableColumn id="4" xr3:uid="{565374D5-1FE4-4349-9193-A767B7A821CC}" name="On-time" dataDxfId="588"/>
    <tableColumn id="5" xr3:uid="{1C2806F8-CF63-41D2-9D27-30840F018DFF}" name="Total Contribution" dataDxfId="587"/>
    <tableColumn id="6" xr3:uid="{28657FD8-D253-4214-9AE9-1CF3C9EA69EB}" name="Driver's Performance Rate**" dataDxfId="586" dataCellStyle="Percent"/>
    <tableColumn id="8" xr3:uid="{FB6D10A0-93CD-49A6-A16F-5B9EB699E9A9}" name="Avaerage Distance (km)" dataDxfId="585" dataCellStyle="Percent">
      <calculatedColumnFormula>AVERAGEIF(df_Clean[Driver],tbl_DrivPerf[[#This Row],[Name]],df_Clean[Distance_km])</calculatedColumnFormula>
    </tableColumn>
    <tableColumn id="7" xr3:uid="{C1AFB956-34E8-4AE7-B8EB-DA7E3FA2EF5B}" name="Route Mastery (Mode Route)" dataDxfId="584">
      <calculatedColumnFormula array="1">INDEX(df_Clean[Route], _xlfn.MODE.MULT(IF(df_Clean[Driver]=tbl_DrivPerf[[#This Row],[Name]], MATCH(df_Clean[Route],df_Clean[Route], 0))))</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AAF68D0-E0F1-41A1-824F-7B8548C93FAD}" name="tblOTRate" displayName="tblOTRate" ref="A16:I29" headerRowDxfId="579" dataDxfId="577" headerRowBorderDxfId="578">
  <autoFilter ref="A16:I29" xr:uid="{BAAF68D0-E0F1-41A1-824F-7B8548C93FAD}"/>
  <tableColumns count="9">
    <tableColumn id="1" xr3:uid="{B8E196CF-B520-481E-B127-FFCDB5841BAB}" name="Months" dataDxfId="576" totalsRowDxfId="575"/>
    <tableColumn id="8" xr3:uid="{C6C5DD33-E611-4040-B343-31B5CA6BCC1E}" name="Cancelled" dataDxfId="574" totalsRowDxfId="573"/>
    <tableColumn id="7" xr3:uid="{2BC748ED-E9C8-496E-BCBE-A3789DDD42BF}" name="Late" dataDxfId="572" totalsRowDxfId="571"/>
    <tableColumn id="2" xr3:uid="{F52E0268-4B82-45CF-A1C5-883D023A69F6}" name="On-time" dataDxfId="570" totalsRowDxfId="569"/>
    <tableColumn id="3" xr3:uid="{E8444001-523C-49A8-BD6A-E59A2B8C46C0}" name="Total Order" dataDxfId="568" totalsRowDxfId="567"/>
    <tableColumn id="5" xr3:uid="{647B8D0F-33BA-48A1-990F-6DB6671EC9BA}" name="Rest" dataDxfId="566" totalsRowDxfId="565">
      <calculatedColumnFormula>1-tblOTRate[[#This Row],[On-time]]</calculatedColumnFormula>
    </tableColumn>
    <tableColumn id="6" xr3:uid="{7F19040E-E567-4A0B-BFBE-9EA0E2175A11}" name="Rest2" dataDxfId="564" totalsRowDxfId="563">
      <calculatedColumnFormula>1-tblOTRate[[#This Row],[Late]]</calculatedColumnFormula>
    </tableColumn>
    <tableColumn id="10" xr3:uid="{60ADA96D-C24F-414F-B2A8-FDCF2068ECA9}" name="Rest3" dataDxfId="562" totalsRowDxfId="561">
      <calculatedColumnFormula>1-tblOTRate[[#This Row],[Cancelled]]</calculatedColumnFormula>
    </tableColumn>
    <tableColumn id="4" xr3:uid="{EDC862DE-4EBF-46B0-82F9-414EC9CDF57F}" name="Total" dataDxfId="56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232184-C9DD-4252-900D-FD6C16C862BA}" name="df_Clean" displayName="df_Clean" ref="A1:R102" totalsRowCount="1" headerRowDxfId="559" headerRowBorderDxfId="558" tableBorderDxfId="557">
  <autoFilter ref="A1:R101" xr:uid="{81232184-C9DD-4252-900D-FD6C16C862BA}"/>
  <tableColumns count="18">
    <tableColumn id="1" xr3:uid="{2DF4EC55-BB1D-40F0-A968-932A0462A5A1}" name="OrderID" totalsRowLabel="Total"/>
    <tableColumn id="2" xr3:uid="{1A82B8EA-0C9A-423B-B6AD-1458D8E8C452}" name="Customer"/>
    <tableColumn id="3" xr3:uid="{3C96C001-0163-4C9E-94BD-2FDB25674CB9}" name="Origin"/>
    <tableColumn id="4" xr3:uid="{14F4D59F-B5F6-4A45-845D-4BE97F144039}" name="Destination"/>
    <tableColumn id="12" xr3:uid="{31F959B0-3248-4496-9895-1B6C8E3E941F}" name="Route" dataDxfId="556">
      <calculatedColumnFormula>CONCATENATE(df_Clean[[#This Row],[Origin]]," - ",df_Clean[[#This Row],[Destination]])</calculatedColumnFormula>
    </tableColumn>
    <tableColumn id="14" xr3:uid="{A375E772-FEB9-42A8-93D3-B06851046238}" name="Route_Scope" dataDxfId="555">
      <calculatedColumnFormula>IF(df_Clean[[#This Row],[Origin]]=df_Clean[[#This Row],[Destination]],"Within City","Intercity")</calculatedColumnFormula>
    </tableColumn>
    <tableColumn id="5" xr3:uid="{82CB1F61-0FA1-4A5E-AF0E-15B18B7185A1}" name="TruckType"/>
    <tableColumn id="6" xr3:uid="{6A6D5DFD-8DB5-421D-90CE-18FD2CB1C716}" name="Distance_km"/>
    <tableColumn id="7" xr3:uid="{650C81F9-46D4-40B0-9496-CFC5E197905D}" name="FuelCost_per_km"/>
    <tableColumn id="15" xr3:uid="{2CD989B2-1D70-4770-81B1-5263D35F7CA9}" name="Total_FuelCost" dataDxfId="554">
      <calculatedColumnFormula>df_Clean[[#This Row],[FuelCost_per_km]]*df_Clean[[#This Row],[Distance_km]]</calculatedColumnFormula>
    </tableColumn>
    <tableColumn id="8" xr3:uid="{1CFFD095-3994-4D32-8321-1DD51702A7D9}" name="Driver"/>
    <tableColumn id="9" xr3:uid="{5F36275A-08C7-4BFC-BD2C-8F7B3D14A25B}" name="DeliveryDate" dataDxfId="553"/>
    <tableColumn id="10" xr3:uid="{32EA7B94-BF1A-4BD1-9CA5-AE9E3F055400}" name="Status"/>
    <tableColumn id="18" xr3:uid="{B0C7A36C-034C-4726-ADD2-7F11CBAE6C02}" name="Potentian_Lost" dataDxfId="552">
      <calculatedColumnFormula>IF(df_Clean[[#This Row],[Status]]="Cancelled",df_Clean[[#This Row],[Revenue]],0)</calculatedColumnFormula>
    </tableColumn>
    <tableColumn id="17" xr3:uid="{2A790F96-E852-4E57-BFA7-8C9B88928BA6}" name="Late" dataDxfId="551">
      <calculatedColumnFormula>IF(df_Clean[[#This Row],[Status]]="Late",1,0)</calculatedColumnFormula>
    </tableColumn>
    <tableColumn id="13" xr3:uid="{95834FD6-1D10-4D39-A3B7-889F834BD69F}" name="Perf_Score" dataDxfId="550">
      <calculatedColumnFormula array="1">_xlfn.SWITCH(df_Clean[[#This Row],[Status]],"On-time",2,"Late",-1,"Cancelled",0)</calculatedColumnFormula>
    </tableColumn>
    <tableColumn id="16" xr3:uid="{487ED155-A591-4FF9-95CD-7C5EDECC5B9F}" name="Base_Score"/>
    <tableColumn id="11" xr3:uid="{10F83BDE-D321-44BA-BB41-D77E82E90F62}" name="Revenue" totalsRowFunction="sum"/>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2047A92-9CCC-489A-800D-7DF9DB87A71A}" name="df_Source" displayName="df_Source" ref="A1:K101" totalsRowShown="0" headerRowDxfId="549" headerRowBorderDxfId="548" tableBorderDxfId="547">
  <autoFilter ref="A1:K101" xr:uid="{D2047A92-9CCC-489A-800D-7DF9DB87A71A}"/>
  <tableColumns count="11">
    <tableColumn id="1" xr3:uid="{D23ABD0E-DA5C-4E47-9A76-523857AA98A3}" name="OrderID"/>
    <tableColumn id="2" xr3:uid="{B9F4A7FE-1F06-4064-AAFF-1625962901F8}" name="Customer"/>
    <tableColumn id="3" xr3:uid="{B92F4B80-B905-4BD0-898D-F47C49C15E6F}" name="Origin"/>
    <tableColumn id="4" xr3:uid="{2A1EB5DA-AD50-4707-B6AB-31BE519CA33B}" name="Destination"/>
    <tableColumn id="5" xr3:uid="{DC8264DF-5073-43C8-965D-92B7DE8D1497}" name="TruckType"/>
    <tableColumn id="6" xr3:uid="{488DFDC2-AF71-482E-B1EE-CEE0C249CCE1}" name="Distance_km"/>
    <tableColumn id="7" xr3:uid="{F81CBCB4-DF7E-4C4F-9096-D003412155B2}" name="FuelCost_per_km"/>
    <tableColumn id="8" xr3:uid="{F091121D-F4B1-494C-87B0-4EA687793998}" name="Driver"/>
    <tableColumn id="9" xr3:uid="{490C7CE9-ACFA-429E-B5AF-E2110ACAEC6C}" name="DeliveryDate" dataDxfId="546"/>
    <tableColumn id="10" xr3:uid="{9CA255FA-0E74-461F-AF67-9EB3072FABB6}" name="Status"/>
    <tableColumn id="11" xr3:uid="{2F4C00DF-8A76-4660-99AC-D322EA398397}" name="Revenu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Date" xr10:uid="{79D1E3BD-FED3-4CAB-A115-2E10A2D7DF9C}" sourceName="DeliveryDate">
  <pivotTables>
    <pivotTable tabId="2" name="pvtRevenuebyMonth"/>
    <pivotTable tabId="2" name="pvtTopCust"/>
    <pivotTable tabId="2" name="pvtSumRevenue"/>
    <pivotTable tabId="3" name="pvtAvrDistance"/>
    <pivotTable tabId="3" name="pvtAvrFuelCost"/>
    <pivotTable tabId="3" name="pvtFuelCost"/>
    <pivotTable tabId="3" name="pvtDriverStat"/>
    <pivotTable tabId="4" name="pvtOntime"/>
    <pivotTable tabId="4" name="pvtLate"/>
    <pivotTable tabId="4" name="pvtRevenueLoss"/>
    <pivotTable tabId="4" name="pvtCclAnalyst"/>
  </pivotTables>
  <state minimalRefreshVersion="6" lastRefreshVersion="6" pivotCacheId="1237347846" filterType="dateBetween">
    <selection startDate="2024-01-01T00:00:00" endDate="2024-12-31T00:00:00"/>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Date" xr10:uid="{2E5672BE-3D59-489F-9DC6-7219ACC9B0FE}" cache="NativeTimeline_DeliveryDate" caption="DeliveryDate" showHeader="0" showHorizontalScrollbar="0" level="2" selectionLevel="0" scrollPosition="2024-01-01T00:00:00" style="TimelineMatcha"/>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Date 1" xr10:uid="{3FB5F332-593E-47DD-8756-CCD2FB9730C6}" cache="NativeTimeline_DeliveryDate" caption="DeliveryDate" showHeader="0" showHorizontalScrollbar="0" level="1" selectionLevel="0" scrollPosition="2024-01-01T00:00:00" style="TimelineMatcha"/>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Date 2" xr10:uid="{C49B0083-37FF-4708-972C-BDC6F9086CA7}" cache="NativeTimeline_DeliveryDate" caption="DeliveryDate" showHeader="0" showHorizontalScrollbar="0" level="1" selectionLevel="0" scrollPosition="2024-01-01T00:00:00" style="TimelineMatcha"/>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2.xml"/></Relationships>
</file>

<file path=xl/worksheets/_rels/sheet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11/relationships/timeline" Target="../timelines/timeline3.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drawing" Target="../drawings/drawing6.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6.xml"/><Relationship Id="rId7" Type="http://schemas.openxmlformats.org/officeDocument/2006/relationships/printerSettings" Target="../printerSettings/printerSettings5.bin"/><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openxmlformats.org/officeDocument/2006/relationships/table" Target="../tables/table3.xml"/><Relationship Id="rId4" Type="http://schemas.openxmlformats.org/officeDocument/2006/relationships/pivotTable" Target="../pivotTables/pivotTable7.xml"/><Relationship Id="rId9"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12.xml"/><Relationship Id="rId7" Type="http://schemas.openxmlformats.org/officeDocument/2006/relationships/drawing" Target="../drawings/drawing8.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rinterSettings" Target="../printerSettings/printerSettings6.bin"/><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6AD7-76EA-4CD1-959C-B5A5CE14FCB5}">
  <sheetPr codeName="Sheet5">
    <pageSetUpPr fitToPage="1"/>
  </sheetPr>
  <dimension ref="A1"/>
  <sheetViews>
    <sheetView showGridLines="0" tabSelected="1" zoomScaleNormal="100" workbookViewId="0"/>
  </sheetViews>
  <sheetFormatPr defaultRowHeight="14.5" x14ac:dyDescent="0.35"/>
  <cols>
    <col min="1" max="16384" width="8.7265625" style="49"/>
  </cols>
  <sheetData/>
  <sheetProtection selectLockedCells="1"/>
  <printOptions horizontalCentered="1" verticalCentered="1"/>
  <pageMargins left="0.25" right="0.25" top="0.75" bottom="0.75" header="0.3" footer="0.3"/>
  <pageSetup scale="80" fitToHeight="0" orientation="landscape"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47327-FC12-41D6-ABBC-355089A8FD04}">
  <dimension ref="A1"/>
  <sheetViews>
    <sheetView showGridLines="0" zoomScaleNormal="100" workbookViewId="0"/>
  </sheetViews>
  <sheetFormatPr defaultRowHeight="14.5" x14ac:dyDescent="0.35"/>
  <cols>
    <col min="1" max="16384" width="8.7265625" style="49"/>
  </cols>
  <sheetData/>
  <sheetProtection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77846-667E-440E-89DE-3C018B687866}">
  <dimension ref="A1"/>
  <sheetViews>
    <sheetView showGridLines="0" zoomScaleNormal="100" workbookViewId="0"/>
  </sheetViews>
  <sheetFormatPr defaultRowHeight="14.5" x14ac:dyDescent="0.35"/>
  <cols>
    <col min="1" max="16384" width="8.7265625" style="49"/>
  </cols>
  <sheetData/>
  <sheetProtection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F1E44-88FB-493C-8691-A4C92E5F81E8}">
  <sheetPr codeName="Sheet2"/>
  <dimension ref="A1:X87"/>
  <sheetViews>
    <sheetView showGridLines="0" topLeftCell="A58" zoomScale="85" zoomScaleNormal="85" workbookViewId="0">
      <selection activeCell="K15" sqref="K15"/>
    </sheetView>
  </sheetViews>
  <sheetFormatPr defaultRowHeight="14.5" x14ac:dyDescent="0.35"/>
  <cols>
    <col min="1" max="1" width="17.453125" bestFit="1" customWidth="1"/>
    <col min="2" max="2" width="14.7265625" bestFit="1" customWidth="1"/>
    <col min="3" max="3" width="15.453125" bestFit="1" customWidth="1"/>
    <col min="4" max="6" width="11.81640625" bestFit="1" customWidth="1"/>
    <col min="7" max="7" width="12.36328125" bestFit="1" customWidth="1"/>
    <col min="8" max="8" width="10.81640625" bestFit="1" customWidth="1"/>
    <col min="9" max="9" width="16.81640625" bestFit="1" customWidth="1"/>
    <col min="10" max="12" width="18.08984375" bestFit="1" customWidth="1"/>
    <col min="13" max="19" width="13.81640625" customWidth="1"/>
    <col min="20" max="20" width="16.26953125" customWidth="1"/>
    <col min="21" max="21" width="26.81640625" customWidth="1"/>
    <col min="22" max="22" width="23" customWidth="1"/>
    <col min="23" max="23" width="19.90625" customWidth="1"/>
    <col min="24" max="24" width="13.81640625" customWidth="1"/>
    <col min="25" max="25" width="13.81640625" bestFit="1" customWidth="1"/>
  </cols>
  <sheetData>
    <row r="1" spans="1:12" ht="15.5" x14ac:dyDescent="0.35">
      <c r="A1" s="6"/>
    </row>
    <row r="2" spans="1:12" x14ac:dyDescent="0.35">
      <c r="G2" s="86"/>
      <c r="H2" s="87"/>
      <c r="I2" s="87"/>
      <c r="J2" s="87"/>
    </row>
    <row r="3" spans="1:12" x14ac:dyDescent="0.35">
      <c r="G3" s="87"/>
      <c r="H3" s="87"/>
      <c r="I3" s="87"/>
      <c r="J3" s="87"/>
    </row>
    <row r="4" spans="1:12" x14ac:dyDescent="0.35">
      <c r="G4" s="87"/>
      <c r="H4" s="87"/>
      <c r="I4" s="87"/>
      <c r="J4" s="87"/>
    </row>
    <row r="5" spans="1:12" x14ac:dyDescent="0.35">
      <c r="G5" s="87"/>
      <c r="H5" s="87"/>
      <c r="I5" s="87"/>
      <c r="J5" s="87"/>
    </row>
    <row r="6" spans="1:12" x14ac:dyDescent="0.35">
      <c r="G6" s="87"/>
      <c r="H6" s="87"/>
      <c r="I6" s="87"/>
      <c r="J6" s="87"/>
    </row>
    <row r="7" spans="1:12" x14ac:dyDescent="0.35">
      <c r="G7" s="87"/>
      <c r="H7" s="87"/>
      <c r="I7" s="87"/>
      <c r="J7" s="87"/>
    </row>
    <row r="8" spans="1:12" x14ac:dyDescent="0.35">
      <c r="G8" s="87"/>
      <c r="H8" s="87"/>
      <c r="I8" s="87"/>
      <c r="J8" s="87"/>
    </row>
    <row r="10" spans="1:12" x14ac:dyDescent="0.35">
      <c r="J10" s="54"/>
      <c r="K10" s="55"/>
    </row>
    <row r="11" spans="1:12" x14ac:dyDescent="0.35">
      <c r="J11" s="54"/>
      <c r="K11" s="55"/>
    </row>
    <row r="12" spans="1:12" x14ac:dyDescent="0.35">
      <c r="I12" s="50">
        <f>GETPIVOTDATA("Revenue",$A$17)</f>
        <v>99616650</v>
      </c>
      <c r="K12" s="55"/>
      <c r="L12" s="50"/>
    </row>
    <row r="13" spans="1:12" x14ac:dyDescent="0.35">
      <c r="I13" s="54">
        <f>I12</f>
        <v>99616650</v>
      </c>
      <c r="J13" s="54"/>
      <c r="K13" s="55"/>
      <c r="L13" s="50"/>
    </row>
    <row r="17" spans="1:24" x14ac:dyDescent="0.35">
      <c r="A17" s="3" t="s">
        <v>141</v>
      </c>
      <c r="B17" s="3" t="s">
        <v>142</v>
      </c>
    </row>
    <row r="18" spans="1:24" x14ac:dyDescent="0.35">
      <c r="A18" s="3" t="s">
        <v>146</v>
      </c>
      <c r="B18" t="s">
        <v>126</v>
      </c>
      <c r="C18" t="s">
        <v>128</v>
      </c>
      <c r="D18" t="s">
        <v>129</v>
      </c>
      <c r="E18" t="s">
        <v>127</v>
      </c>
      <c r="F18" t="s">
        <v>140</v>
      </c>
      <c r="H18" s="3" t="s">
        <v>146</v>
      </c>
      <c r="I18" t="s">
        <v>141</v>
      </c>
      <c r="X18" s="47"/>
    </row>
    <row r="19" spans="1:24" x14ac:dyDescent="0.35">
      <c r="A19" s="4" t="s">
        <v>143</v>
      </c>
      <c r="B19" s="11">
        <v>4095907</v>
      </c>
      <c r="C19" s="11">
        <v>573604</v>
      </c>
      <c r="D19" s="11">
        <v>1599229</v>
      </c>
      <c r="E19" s="11">
        <v>1609530</v>
      </c>
      <c r="F19" s="11">
        <v>7878270</v>
      </c>
      <c r="H19" s="4" t="s">
        <v>143</v>
      </c>
      <c r="I19" s="11">
        <v>7878270</v>
      </c>
      <c r="T19" s="50"/>
      <c r="U19" s="56"/>
      <c r="V19" s="56"/>
      <c r="W19" s="56"/>
      <c r="X19" s="47"/>
    </row>
    <row r="20" spans="1:24" x14ac:dyDescent="0.35">
      <c r="A20" s="4" t="s">
        <v>144</v>
      </c>
      <c r="B20" s="11">
        <v>1205016</v>
      </c>
      <c r="C20" s="11">
        <v>1904277</v>
      </c>
      <c r="D20" s="11"/>
      <c r="E20" s="11"/>
      <c r="F20" s="11">
        <v>3109293</v>
      </c>
      <c r="H20" s="4" t="s">
        <v>144</v>
      </c>
      <c r="I20" s="11">
        <v>3109293</v>
      </c>
      <c r="T20" s="50"/>
      <c r="U20" s="56"/>
      <c r="V20" s="56"/>
      <c r="W20" s="56"/>
      <c r="X20" s="47"/>
    </row>
    <row r="21" spans="1:24" x14ac:dyDescent="0.35">
      <c r="A21" s="4" t="s">
        <v>145</v>
      </c>
      <c r="B21" s="11">
        <v>6069217</v>
      </c>
      <c r="C21" s="11">
        <v>1230991</v>
      </c>
      <c r="D21" s="11">
        <v>225972</v>
      </c>
      <c r="E21" s="11">
        <v>1853138</v>
      </c>
      <c r="F21" s="11">
        <v>9379318</v>
      </c>
      <c r="H21" s="4" t="s">
        <v>145</v>
      </c>
      <c r="I21" s="11">
        <v>9379318</v>
      </c>
      <c r="T21" s="50"/>
      <c r="U21" s="56"/>
      <c r="V21" s="56"/>
      <c r="W21" s="56"/>
      <c r="X21" s="47"/>
    </row>
    <row r="22" spans="1:24" x14ac:dyDescent="0.35">
      <c r="A22" s="4" t="s">
        <v>158</v>
      </c>
      <c r="B22" s="11">
        <v>2200770</v>
      </c>
      <c r="C22" s="11">
        <v>885899</v>
      </c>
      <c r="D22" s="11">
        <v>1379520</v>
      </c>
      <c r="E22" s="11">
        <v>852414</v>
      </c>
      <c r="F22" s="11">
        <v>5318603</v>
      </c>
      <c r="H22" s="4" t="s">
        <v>158</v>
      </c>
      <c r="I22" s="11">
        <v>5318603</v>
      </c>
      <c r="T22" s="50"/>
      <c r="U22" s="56"/>
      <c r="V22" s="56"/>
      <c r="W22" s="56"/>
      <c r="X22" s="47"/>
    </row>
    <row r="23" spans="1:24" x14ac:dyDescent="0.35">
      <c r="A23" s="4" t="s">
        <v>149</v>
      </c>
      <c r="B23" s="11">
        <v>5495189</v>
      </c>
      <c r="C23" s="11">
        <v>3943156</v>
      </c>
      <c r="D23" s="11">
        <v>2495826</v>
      </c>
      <c r="E23" s="11"/>
      <c r="F23" s="11">
        <v>11934171</v>
      </c>
      <c r="H23" s="4" t="s">
        <v>149</v>
      </c>
      <c r="I23" s="11">
        <v>11934171</v>
      </c>
      <c r="T23" s="50"/>
      <c r="U23" s="56"/>
      <c r="V23" s="56"/>
      <c r="W23" s="56"/>
      <c r="X23" s="47"/>
    </row>
    <row r="24" spans="1:24" x14ac:dyDescent="0.35">
      <c r="A24" s="4" t="s">
        <v>159</v>
      </c>
      <c r="B24" s="11">
        <v>2120068</v>
      </c>
      <c r="C24" s="11">
        <v>3046411</v>
      </c>
      <c r="D24" s="11">
        <v>4211333</v>
      </c>
      <c r="E24" s="11">
        <v>2218663</v>
      </c>
      <c r="F24" s="11">
        <v>11596475</v>
      </c>
      <c r="H24" s="4" t="s">
        <v>159</v>
      </c>
      <c r="I24" s="11">
        <v>11596475</v>
      </c>
      <c r="T24" s="50"/>
      <c r="U24" s="56"/>
      <c r="V24" s="56"/>
      <c r="W24" s="56"/>
      <c r="X24" s="47"/>
    </row>
    <row r="25" spans="1:24" x14ac:dyDescent="0.35">
      <c r="A25" s="4" t="s">
        <v>160</v>
      </c>
      <c r="B25" s="11">
        <v>3611010</v>
      </c>
      <c r="C25" s="11">
        <v>2049212</v>
      </c>
      <c r="D25" s="11">
        <v>150637</v>
      </c>
      <c r="E25" s="11">
        <v>1410896</v>
      </c>
      <c r="F25" s="11">
        <v>7221755</v>
      </c>
      <c r="H25" s="4" t="s">
        <v>160</v>
      </c>
      <c r="I25" s="11">
        <v>7221755</v>
      </c>
      <c r="T25" s="50"/>
      <c r="U25" s="56"/>
      <c r="V25" s="56"/>
      <c r="W25" s="56"/>
      <c r="X25" s="46"/>
    </row>
    <row r="26" spans="1:24" x14ac:dyDescent="0.35">
      <c r="A26" s="4" t="s">
        <v>161</v>
      </c>
      <c r="B26" s="11"/>
      <c r="C26" s="11">
        <v>1534600</v>
      </c>
      <c r="D26" s="11">
        <v>1423532</v>
      </c>
      <c r="E26" s="11">
        <v>2805966</v>
      </c>
      <c r="F26" s="11">
        <v>5764098</v>
      </c>
      <c r="H26" s="4" t="s">
        <v>161</v>
      </c>
      <c r="I26" s="11">
        <v>5764098</v>
      </c>
      <c r="T26" s="50"/>
      <c r="U26" s="56"/>
      <c r="V26" s="56"/>
      <c r="W26" s="56"/>
      <c r="X26" s="46"/>
    </row>
    <row r="27" spans="1:24" x14ac:dyDescent="0.35">
      <c r="A27" s="4" t="s">
        <v>162</v>
      </c>
      <c r="B27" s="11">
        <v>1671647</v>
      </c>
      <c r="C27" s="11">
        <v>1146778</v>
      </c>
      <c r="D27" s="11">
        <v>1708423</v>
      </c>
      <c r="E27" s="11">
        <v>4277593</v>
      </c>
      <c r="F27" s="11">
        <v>8804441</v>
      </c>
      <c r="H27" s="4" t="s">
        <v>162</v>
      </c>
      <c r="I27" s="11">
        <v>8804441</v>
      </c>
      <c r="T27" s="50"/>
      <c r="U27" s="56"/>
      <c r="V27" s="56"/>
      <c r="W27" s="56"/>
      <c r="X27" s="46"/>
    </row>
    <row r="28" spans="1:24" x14ac:dyDescent="0.35">
      <c r="A28" s="4" t="s">
        <v>163</v>
      </c>
      <c r="B28" s="11">
        <v>432287</v>
      </c>
      <c r="C28" s="11">
        <v>1280505</v>
      </c>
      <c r="D28" s="11">
        <v>8755848</v>
      </c>
      <c r="E28" s="11">
        <v>1941095</v>
      </c>
      <c r="F28" s="11">
        <v>12409735</v>
      </c>
      <c r="H28" s="4" t="s">
        <v>163</v>
      </c>
      <c r="I28" s="11">
        <v>12409735</v>
      </c>
      <c r="T28" s="50"/>
      <c r="U28" s="56"/>
      <c r="V28" s="56"/>
      <c r="W28" s="56"/>
      <c r="X28" s="46"/>
    </row>
    <row r="29" spans="1:24" x14ac:dyDescent="0.35">
      <c r="A29" s="4" t="s">
        <v>164</v>
      </c>
      <c r="B29" s="11">
        <v>2404940</v>
      </c>
      <c r="C29" s="11">
        <v>1077275</v>
      </c>
      <c r="D29" s="11">
        <v>1485142</v>
      </c>
      <c r="E29" s="11">
        <v>1244190</v>
      </c>
      <c r="F29" s="11">
        <v>6211547</v>
      </c>
      <c r="H29" s="4" t="s">
        <v>164</v>
      </c>
      <c r="I29" s="11">
        <v>6211547</v>
      </c>
      <c r="T29" s="50"/>
      <c r="U29" s="56"/>
      <c r="V29" s="56"/>
      <c r="W29" s="56"/>
      <c r="X29" s="46"/>
    </row>
    <row r="30" spans="1:24" x14ac:dyDescent="0.35">
      <c r="A30" s="4" t="s">
        <v>165</v>
      </c>
      <c r="B30" s="11"/>
      <c r="C30" s="11">
        <v>1832994</v>
      </c>
      <c r="D30" s="11">
        <v>4860899</v>
      </c>
      <c r="E30" s="11">
        <v>3295051</v>
      </c>
      <c r="F30" s="11">
        <v>9988944</v>
      </c>
      <c r="H30" s="4" t="s">
        <v>165</v>
      </c>
      <c r="I30" s="11">
        <v>9988944</v>
      </c>
      <c r="T30" s="50"/>
      <c r="U30" s="56"/>
      <c r="V30" s="56"/>
      <c r="W30" s="56"/>
      <c r="X30" s="46"/>
    </row>
    <row r="31" spans="1:24" x14ac:dyDescent="0.35">
      <c r="A31" s="4" t="s">
        <v>140</v>
      </c>
      <c r="B31" s="11">
        <v>29306051</v>
      </c>
      <c r="C31" s="11">
        <v>20505702</v>
      </c>
      <c r="D31" s="11">
        <v>28296361</v>
      </c>
      <c r="E31" s="11">
        <v>21508536</v>
      </c>
      <c r="F31" s="11">
        <v>99616650</v>
      </c>
      <c r="H31" s="4" t="s">
        <v>140</v>
      </c>
      <c r="I31" s="11">
        <v>99616650</v>
      </c>
      <c r="T31" s="58"/>
      <c r="U31" s="59"/>
      <c r="V31" s="59"/>
      <c r="W31" s="59"/>
      <c r="X31" s="46"/>
    </row>
    <row r="33" spans="1:18" x14ac:dyDescent="0.35">
      <c r="A33" s="13" t="s">
        <v>142</v>
      </c>
      <c r="B33" s="13" t="s">
        <v>143</v>
      </c>
      <c r="C33" s="13" t="s">
        <v>144</v>
      </c>
      <c r="D33" s="13" t="s">
        <v>145</v>
      </c>
      <c r="E33" s="13" t="s">
        <v>158</v>
      </c>
      <c r="F33" s="13" t="s">
        <v>149</v>
      </c>
      <c r="G33" s="13" t="s">
        <v>159</v>
      </c>
      <c r="H33" s="13" t="s">
        <v>160</v>
      </c>
      <c r="I33" s="13" t="s">
        <v>161</v>
      </c>
      <c r="J33" s="13" t="s">
        <v>162</v>
      </c>
      <c r="K33" s="13" t="s">
        <v>163</v>
      </c>
      <c r="L33" s="13" t="s">
        <v>164</v>
      </c>
      <c r="M33" s="13" t="s">
        <v>165</v>
      </c>
      <c r="N33" s="60"/>
      <c r="O33" s="60"/>
      <c r="P33" s="60"/>
      <c r="Q33" s="60"/>
      <c r="R33" s="60"/>
    </row>
    <row r="34" spans="1:18" x14ac:dyDescent="0.35">
      <c r="A34" t="str">
        <f>B18</f>
        <v>CDD</v>
      </c>
      <c r="B34" s="8">
        <f t="shared" ref="B34:M37" si="0">GETPIVOTDATA("Revenue",$A$17,"TruckType",$A34,"Months",B$33)/GETPIVOTDATA("Revenue",$A$17,"Months",B$33)</f>
        <v>0.51989929261119505</v>
      </c>
      <c r="C34" s="8">
        <f t="shared" si="0"/>
        <v>0.38755305466548184</v>
      </c>
      <c r="D34" s="8">
        <f t="shared" si="0"/>
        <v>0.64708510789377227</v>
      </c>
      <c r="E34" s="8">
        <f t="shared" si="0"/>
        <v>0.41378722946608348</v>
      </c>
      <c r="F34" s="8">
        <f t="shared" si="0"/>
        <v>0.46045837620392738</v>
      </c>
      <c r="G34" s="8">
        <f t="shared" si="0"/>
        <v>0.182820037985681</v>
      </c>
      <c r="H34" s="8">
        <f t="shared" si="0"/>
        <v>0.50001834734077799</v>
      </c>
      <c r="I34" s="8">
        <f t="shared" si="0"/>
        <v>0</v>
      </c>
      <c r="J34" s="8">
        <f t="shared" si="0"/>
        <v>0.18986406973480768</v>
      </c>
      <c r="K34" s="8">
        <f t="shared" si="0"/>
        <v>3.483450694152615E-2</v>
      </c>
      <c r="L34" s="8">
        <f t="shared" si="0"/>
        <v>0.3871724708836623</v>
      </c>
      <c r="M34" s="8">
        <f t="shared" si="0"/>
        <v>0</v>
      </c>
      <c r="N34" s="8"/>
      <c r="O34" s="8"/>
      <c r="P34" s="8"/>
      <c r="Q34" s="8"/>
      <c r="R34" s="8"/>
    </row>
    <row r="35" spans="1:18" x14ac:dyDescent="0.35">
      <c r="A35" t="str">
        <f>C18</f>
        <v>Fuso</v>
      </c>
      <c r="B35" s="8">
        <f t="shared" si="0"/>
        <v>7.2808370365575178E-2</v>
      </c>
      <c r="C35" s="8">
        <f t="shared" si="0"/>
        <v>0.61244694533451816</v>
      </c>
      <c r="D35" s="8">
        <f t="shared" si="0"/>
        <v>0.1312452568512977</v>
      </c>
      <c r="E35" s="8">
        <f t="shared" si="0"/>
        <v>0.16656610767902774</v>
      </c>
      <c r="F35" s="8">
        <f t="shared" si="0"/>
        <v>0.33040887381285217</v>
      </c>
      <c r="G35" s="8">
        <f t="shared" si="0"/>
        <v>0.2627014674717964</v>
      </c>
      <c r="H35" s="8">
        <f t="shared" si="0"/>
        <v>0.28375540294568286</v>
      </c>
      <c r="I35" s="8">
        <f t="shared" si="0"/>
        <v>0.26623419657334069</v>
      </c>
      <c r="J35" s="8">
        <f t="shared" si="0"/>
        <v>0.13024994999682546</v>
      </c>
      <c r="K35" s="8">
        <f t="shared" si="0"/>
        <v>0.10318552330086017</v>
      </c>
      <c r="L35" s="8">
        <f t="shared" si="0"/>
        <v>0.17343103094929491</v>
      </c>
      <c r="M35" s="8">
        <f t="shared" si="0"/>
        <v>0.18350228012090167</v>
      </c>
      <c r="N35" s="8"/>
      <c r="O35" s="8"/>
      <c r="P35" s="8"/>
      <c r="Q35" s="8"/>
      <c r="R35" s="8"/>
    </row>
    <row r="36" spans="1:18" x14ac:dyDescent="0.35">
      <c r="A36" t="str">
        <f>D18</f>
        <v>Tronton</v>
      </c>
      <c r="B36" s="8">
        <f t="shared" si="0"/>
        <v>0.20299240823175646</v>
      </c>
      <c r="C36" s="8">
        <f t="shared" si="0"/>
        <v>0</v>
      </c>
      <c r="D36" s="8">
        <f t="shared" si="0"/>
        <v>2.4092583277376883E-2</v>
      </c>
      <c r="E36" s="8">
        <f t="shared" si="0"/>
        <v>0.25937638135427665</v>
      </c>
      <c r="F36" s="8">
        <f t="shared" si="0"/>
        <v>0.20913274998322046</v>
      </c>
      <c r="G36" s="8">
        <f t="shared" si="0"/>
        <v>0.36315630396305776</v>
      </c>
      <c r="H36" s="8">
        <f t="shared" si="0"/>
        <v>2.0858780171855731E-2</v>
      </c>
      <c r="I36" s="8">
        <f t="shared" si="0"/>
        <v>0.24696526672516672</v>
      </c>
      <c r="J36" s="8">
        <f t="shared" si="0"/>
        <v>0.19404105269147695</v>
      </c>
      <c r="K36" s="8">
        <f t="shared" si="0"/>
        <v>0.70556285045571077</v>
      </c>
      <c r="L36" s="8">
        <f t="shared" si="0"/>
        <v>0.23909373945009191</v>
      </c>
      <c r="M36" s="8">
        <f t="shared" si="0"/>
        <v>0.48662791582373471</v>
      </c>
      <c r="N36" s="8"/>
      <c r="O36" s="8"/>
      <c r="P36" s="8"/>
      <c r="Q36" s="8"/>
      <c r="R36" s="8"/>
    </row>
    <row r="37" spans="1:18" x14ac:dyDescent="0.35">
      <c r="A37" t="str">
        <f>E18</f>
        <v>Wingbox</v>
      </c>
      <c r="B37" s="8">
        <f t="shared" si="0"/>
        <v>0.20429992879147327</v>
      </c>
      <c r="C37" s="8">
        <f t="shared" si="0"/>
        <v>0</v>
      </c>
      <c r="D37" s="8">
        <f t="shared" si="0"/>
        <v>0.19757705197755315</v>
      </c>
      <c r="E37" s="8">
        <f t="shared" si="0"/>
        <v>0.16027028150061209</v>
      </c>
      <c r="F37" s="8">
        <f t="shared" si="0"/>
        <v>0</v>
      </c>
      <c r="G37" s="8">
        <f t="shared" si="0"/>
        <v>0.19132219057946487</v>
      </c>
      <c r="H37" s="8">
        <f t="shared" si="0"/>
        <v>0.19536746954168344</v>
      </c>
      <c r="I37" s="8">
        <f t="shared" si="0"/>
        <v>0.48680053670149259</v>
      </c>
      <c r="J37" s="8">
        <f t="shared" si="0"/>
        <v>0.48584492757688991</v>
      </c>
      <c r="K37" s="8">
        <f t="shared" si="0"/>
        <v>0.15641711930190291</v>
      </c>
      <c r="L37" s="8">
        <f t="shared" si="0"/>
        <v>0.20030275871695086</v>
      </c>
      <c r="M37" s="8">
        <f t="shared" si="0"/>
        <v>0.32986980405536359</v>
      </c>
      <c r="N37" s="8"/>
      <c r="O37" s="8"/>
      <c r="P37" s="8"/>
      <c r="Q37" s="8"/>
      <c r="R37" s="8"/>
    </row>
    <row r="38" spans="1:18" ht="15" thickBot="1" x14ac:dyDescent="0.4">
      <c r="A38" s="7" t="s">
        <v>147</v>
      </c>
      <c r="B38" s="9">
        <f>SUM(B34:B37)</f>
        <v>1</v>
      </c>
      <c r="C38" s="9">
        <f>SUM(C34:C37)</f>
        <v>1</v>
      </c>
      <c r="D38" s="9">
        <f>SUM(D34:D37)</f>
        <v>1</v>
      </c>
      <c r="E38" s="9">
        <f t="shared" ref="E38:L38" si="1">SUM(E34:E37)</f>
        <v>1</v>
      </c>
      <c r="F38" s="9">
        <f t="shared" si="1"/>
        <v>1</v>
      </c>
      <c r="G38" s="9">
        <f t="shared" si="1"/>
        <v>1</v>
      </c>
      <c r="H38" s="9">
        <f t="shared" si="1"/>
        <v>1</v>
      </c>
      <c r="I38" s="9">
        <f t="shared" si="1"/>
        <v>1</v>
      </c>
      <c r="J38" s="9">
        <f t="shared" si="1"/>
        <v>1</v>
      </c>
      <c r="K38" s="9">
        <f t="shared" si="1"/>
        <v>1</v>
      </c>
      <c r="L38" s="9">
        <f t="shared" si="1"/>
        <v>1</v>
      </c>
      <c r="M38" s="9">
        <f>SUM(M34:M37)</f>
        <v>1</v>
      </c>
      <c r="N38" s="61"/>
      <c r="O38" s="61"/>
      <c r="P38" s="61"/>
      <c r="Q38" s="61"/>
      <c r="R38" s="61"/>
    </row>
    <row r="39" spans="1:18" ht="15" thickTop="1" x14ac:dyDescent="0.35"/>
    <row r="43" spans="1:18" x14ac:dyDescent="0.35">
      <c r="A43" s="3" t="s">
        <v>146</v>
      </c>
      <c r="B43" t="s">
        <v>148</v>
      </c>
    </row>
    <row r="45" spans="1:18" x14ac:dyDescent="0.35">
      <c r="A45" s="3" t="s">
        <v>1</v>
      </c>
      <c r="B45" t="s">
        <v>141</v>
      </c>
      <c r="C45" t="s">
        <v>150</v>
      </c>
    </row>
    <row r="46" spans="1:18" x14ac:dyDescent="0.35">
      <c r="A46" s="4" t="s">
        <v>114</v>
      </c>
      <c r="B46" s="11">
        <v>12037965</v>
      </c>
      <c r="C46" s="11">
        <v>13</v>
      </c>
    </row>
    <row r="47" spans="1:18" x14ac:dyDescent="0.35">
      <c r="A47" s="4" t="s">
        <v>115</v>
      </c>
      <c r="B47" s="11">
        <v>13641545</v>
      </c>
      <c r="C47" s="11">
        <v>16</v>
      </c>
    </row>
    <row r="48" spans="1:18" x14ac:dyDescent="0.35">
      <c r="A48" s="4" t="s">
        <v>112</v>
      </c>
      <c r="B48" s="11">
        <v>18229861</v>
      </c>
      <c r="C48" s="11">
        <v>17</v>
      </c>
    </row>
    <row r="49" spans="1:10" x14ac:dyDescent="0.35">
      <c r="A49" s="4" t="s">
        <v>111</v>
      </c>
      <c r="B49" s="11">
        <v>20523785</v>
      </c>
      <c r="C49" s="11">
        <v>21</v>
      </c>
    </row>
    <row r="50" spans="1:10" x14ac:dyDescent="0.35">
      <c r="A50" s="4" t="s">
        <v>113</v>
      </c>
      <c r="B50" s="11">
        <v>22420039</v>
      </c>
      <c r="C50" s="11">
        <v>21</v>
      </c>
    </row>
    <row r="51" spans="1:10" x14ac:dyDescent="0.35">
      <c r="A51" s="4" t="s">
        <v>140</v>
      </c>
      <c r="B51" s="5">
        <v>86853195</v>
      </c>
      <c r="C51" s="5">
        <v>88</v>
      </c>
    </row>
    <row r="53" spans="1:10" x14ac:dyDescent="0.35">
      <c r="G53" s="86"/>
      <c r="H53" s="86"/>
      <c r="I53" s="86"/>
      <c r="J53" s="86"/>
    </row>
    <row r="54" spans="1:10" x14ac:dyDescent="0.35">
      <c r="G54" s="86"/>
      <c r="H54" s="86"/>
      <c r="I54" s="86"/>
      <c r="J54" s="86"/>
    </row>
    <row r="55" spans="1:10" x14ac:dyDescent="0.35">
      <c r="G55" s="86"/>
      <c r="H55" s="86"/>
      <c r="I55" s="86"/>
      <c r="J55" s="86"/>
    </row>
    <row r="56" spans="1:10" x14ac:dyDescent="0.35">
      <c r="G56" s="86"/>
      <c r="H56" s="86"/>
      <c r="I56" s="86"/>
      <c r="J56" s="86"/>
    </row>
    <row r="57" spans="1:10" x14ac:dyDescent="0.35">
      <c r="G57" s="86"/>
      <c r="H57" s="86"/>
      <c r="I57" s="86"/>
      <c r="J57" s="86"/>
    </row>
    <row r="58" spans="1:10" x14ac:dyDescent="0.35">
      <c r="G58" s="86"/>
      <c r="H58" s="86"/>
      <c r="I58" s="86"/>
      <c r="J58" s="86"/>
    </row>
    <row r="59" spans="1:10" x14ac:dyDescent="0.35">
      <c r="G59" s="86"/>
      <c r="H59" s="86"/>
      <c r="I59" s="86"/>
      <c r="J59" s="86"/>
    </row>
    <row r="72" spans="1:6" x14ac:dyDescent="0.35">
      <c r="A72" s="13" t="s">
        <v>146</v>
      </c>
      <c r="B72" s="13" t="s">
        <v>198</v>
      </c>
      <c r="C72" s="13" t="s">
        <v>196</v>
      </c>
      <c r="D72" s="13" t="s">
        <v>197</v>
      </c>
      <c r="E72" s="13" t="s">
        <v>195</v>
      </c>
      <c r="F72" s="66" t="s">
        <v>147</v>
      </c>
    </row>
    <row r="73" spans="1:6" x14ac:dyDescent="0.35">
      <c r="A73" s="15" t="s">
        <v>143</v>
      </c>
      <c r="B73" s="51">
        <f>IFERROR(GETPIVOTDATA("Revenue",$H$18,"Months",A73),"")</f>
        <v>7878270</v>
      </c>
      <c r="C73" s="51">
        <v>15000000</v>
      </c>
      <c r="D73" s="52">
        <f>B73/C73</f>
        <v>0.52521799999999996</v>
      </c>
      <c r="E73" s="65">
        <f>tblTargetRevenue[[#This Row],[Total]]-tblTargetRevenue[[#This Row],[Percentage]]</f>
        <v>0.47478200000000004</v>
      </c>
      <c r="F73" s="8">
        <f>1</f>
        <v>1</v>
      </c>
    </row>
    <row r="74" spans="1:6" hidden="1" x14ac:dyDescent="0.35">
      <c r="A74" s="15" t="s">
        <v>144</v>
      </c>
      <c r="B74" s="51">
        <f t="shared" ref="B74:B84" si="2">GETPIVOTDATA("Revenue",$H$18,"Months",A74)</f>
        <v>3109293</v>
      </c>
      <c r="C74" s="51">
        <v>15000000</v>
      </c>
      <c r="D74" s="52">
        <f t="shared" ref="D74:D84" si="3">B74/C74</f>
        <v>0.2072862</v>
      </c>
      <c r="E74" s="65">
        <f>tblTargetRevenue[[#This Row],[Total]]-tblTargetRevenue[[#This Row],[Percentage]]</f>
        <v>0.79271380000000002</v>
      </c>
      <c r="F74" s="8">
        <f>1</f>
        <v>1</v>
      </c>
    </row>
    <row r="75" spans="1:6" hidden="1" x14ac:dyDescent="0.35">
      <c r="A75" t="s">
        <v>145</v>
      </c>
      <c r="B75" s="50">
        <f t="shared" si="2"/>
        <v>9379318</v>
      </c>
      <c r="C75" s="51">
        <v>15000000</v>
      </c>
      <c r="D75" s="52">
        <f t="shared" si="3"/>
        <v>0.62528786666666669</v>
      </c>
      <c r="E75" s="65">
        <f>tblTargetRevenue[[#This Row],[Total]]-tblTargetRevenue[[#This Row],[Percentage]]</f>
        <v>0.37471213333333331</v>
      </c>
      <c r="F75" s="8">
        <f>1</f>
        <v>1</v>
      </c>
    </row>
    <row r="76" spans="1:6" hidden="1" x14ac:dyDescent="0.35">
      <c r="A76" t="s">
        <v>158</v>
      </c>
      <c r="B76" s="50">
        <f t="shared" si="2"/>
        <v>5318603</v>
      </c>
      <c r="C76" s="51">
        <v>15000000</v>
      </c>
      <c r="D76" s="52">
        <f t="shared" si="3"/>
        <v>0.35457353333333336</v>
      </c>
      <c r="E76" s="65">
        <f>tblTargetRevenue[[#This Row],[Total]]-tblTargetRevenue[[#This Row],[Percentage]]</f>
        <v>0.6454264666666667</v>
      </c>
      <c r="F76" s="8">
        <f>1</f>
        <v>1</v>
      </c>
    </row>
    <row r="77" spans="1:6" hidden="1" x14ac:dyDescent="0.35">
      <c r="A77" t="s">
        <v>149</v>
      </c>
      <c r="B77" s="50">
        <f t="shared" si="2"/>
        <v>11934171</v>
      </c>
      <c r="C77" s="51">
        <v>15000000</v>
      </c>
      <c r="D77" s="52">
        <f t="shared" si="3"/>
        <v>0.79561139999999997</v>
      </c>
      <c r="E77" s="65">
        <f>tblTargetRevenue[[#This Row],[Total]]-tblTargetRevenue[[#This Row],[Percentage]]</f>
        <v>0.20438860000000003</v>
      </c>
      <c r="F77" s="8">
        <f>1</f>
        <v>1</v>
      </c>
    </row>
    <row r="78" spans="1:6" hidden="1" x14ac:dyDescent="0.35">
      <c r="A78" t="s">
        <v>159</v>
      </c>
      <c r="B78" s="50">
        <f t="shared" si="2"/>
        <v>11596475</v>
      </c>
      <c r="C78" s="51">
        <v>15000000</v>
      </c>
      <c r="D78" s="52">
        <f t="shared" si="3"/>
        <v>0.77309833333333333</v>
      </c>
      <c r="E78" s="65">
        <f>tblTargetRevenue[[#This Row],[Total]]-tblTargetRevenue[[#This Row],[Percentage]]</f>
        <v>0.22690166666666667</v>
      </c>
      <c r="F78" s="8">
        <f>1</f>
        <v>1</v>
      </c>
    </row>
    <row r="79" spans="1:6" hidden="1" x14ac:dyDescent="0.35">
      <c r="A79" t="s">
        <v>160</v>
      </c>
      <c r="B79" s="50">
        <f t="shared" si="2"/>
        <v>7221755</v>
      </c>
      <c r="C79" s="51">
        <v>15000000</v>
      </c>
      <c r="D79" s="52">
        <f t="shared" si="3"/>
        <v>0.48145033333333331</v>
      </c>
      <c r="E79" s="65">
        <f>tblTargetRevenue[[#This Row],[Total]]-tblTargetRevenue[[#This Row],[Percentage]]</f>
        <v>0.51854966666666669</v>
      </c>
      <c r="F79" s="8">
        <f>1</f>
        <v>1</v>
      </c>
    </row>
    <row r="80" spans="1:6" hidden="1" x14ac:dyDescent="0.35">
      <c r="A80" t="s">
        <v>161</v>
      </c>
      <c r="B80" s="50">
        <f t="shared" si="2"/>
        <v>5764098</v>
      </c>
      <c r="C80" s="51">
        <v>15000000</v>
      </c>
      <c r="D80" s="52">
        <f t="shared" si="3"/>
        <v>0.38427319999999998</v>
      </c>
      <c r="E80" s="65">
        <f>tblTargetRevenue[[#This Row],[Total]]-tblTargetRevenue[[#This Row],[Percentage]]</f>
        <v>0.61572680000000002</v>
      </c>
      <c r="F80" s="8">
        <f>1</f>
        <v>1</v>
      </c>
    </row>
    <row r="81" spans="1:6" hidden="1" x14ac:dyDescent="0.35">
      <c r="A81" t="s">
        <v>162</v>
      </c>
      <c r="B81" s="50">
        <f t="shared" si="2"/>
        <v>8804441</v>
      </c>
      <c r="C81" s="51">
        <v>15000000</v>
      </c>
      <c r="D81" s="52">
        <f t="shared" si="3"/>
        <v>0.58696273333333338</v>
      </c>
      <c r="E81" s="65">
        <f>tblTargetRevenue[[#This Row],[Total]]-tblTargetRevenue[[#This Row],[Percentage]]</f>
        <v>0.41303726666666662</v>
      </c>
      <c r="F81" s="8">
        <f>1</f>
        <v>1</v>
      </c>
    </row>
    <row r="82" spans="1:6" hidden="1" x14ac:dyDescent="0.35">
      <c r="A82" t="s">
        <v>163</v>
      </c>
      <c r="B82" s="50">
        <f t="shared" si="2"/>
        <v>12409735</v>
      </c>
      <c r="C82" s="51">
        <v>15000000</v>
      </c>
      <c r="D82" s="52">
        <f t="shared" si="3"/>
        <v>0.82731566666666667</v>
      </c>
      <c r="E82" s="65">
        <f>tblTargetRevenue[[#This Row],[Total]]-tblTargetRevenue[[#This Row],[Percentage]]</f>
        <v>0.17268433333333333</v>
      </c>
      <c r="F82" s="8">
        <f>1</f>
        <v>1</v>
      </c>
    </row>
    <row r="83" spans="1:6" hidden="1" x14ac:dyDescent="0.35">
      <c r="A83" t="s">
        <v>164</v>
      </c>
      <c r="B83" s="50">
        <f t="shared" si="2"/>
        <v>6211547</v>
      </c>
      <c r="C83" s="51">
        <v>15000000</v>
      </c>
      <c r="D83" s="52">
        <f t="shared" si="3"/>
        <v>0.41410313333333332</v>
      </c>
      <c r="E83" s="65">
        <f>tblTargetRevenue[[#This Row],[Total]]-tblTargetRevenue[[#This Row],[Percentage]]</f>
        <v>0.58589686666666663</v>
      </c>
      <c r="F83" s="8">
        <f>1</f>
        <v>1</v>
      </c>
    </row>
    <row r="84" spans="1:6" hidden="1" x14ac:dyDescent="0.35">
      <c r="A84" t="s">
        <v>165</v>
      </c>
      <c r="B84" s="50">
        <f t="shared" si="2"/>
        <v>9988944</v>
      </c>
      <c r="C84" s="51">
        <v>15000000</v>
      </c>
      <c r="D84" s="52">
        <f t="shared" si="3"/>
        <v>0.66592960000000001</v>
      </c>
      <c r="E84" s="65">
        <f>tblTargetRevenue[[#This Row],[Total]]-tblTargetRevenue[[#This Row],[Percentage]]</f>
        <v>0.33407039999999999</v>
      </c>
      <c r="F84" s="8">
        <f>1</f>
        <v>1</v>
      </c>
    </row>
    <row r="85" spans="1:6" x14ac:dyDescent="0.35">
      <c r="B85" s="50"/>
      <c r="C85" s="50"/>
      <c r="D85" s="67"/>
      <c r="E85" s="65"/>
      <c r="F85" s="8"/>
    </row>
    <row r="86" spans="1:6" x14ac:dyDescent="0.35">
      <c r="A86" s="13" t="s">
        <v>146</v>
      </c>
      <c r="B86" s="13" t="s">
        <v>198</v>
      </c>
      <c r="C86" s="13" t="s">
        <v>196</v>
      </c>
      <c r="D86" s="13" t="s">
        <v>197</v>
      </c>
      <c r="E86" s="13" t="s">
        <v>195</v>
      </c>
      <c r="F86" s="66" t="s">
        <v>147</v>
      </c>
    </row>
    <row r="87" spans="1:6" x14ac:dyDescent="0.35">
      <c r="A87" s="64" t="s">
        <v>147</v>
      </c>
      <c r="B87" s="68">
        <f>SUBTOTAL(109,tblTargetRevenue[Actual])</f>
        <v>7878270</v>
      </c>
      <c r="C87" s="68">
        <f>SUBTOTAL(109,tblTargetRevenue[Target])</f>
        <v>15000000</v>
      </c>
      <c r="D87" s="69">
        <f>IFERROR(SUBTOTAL(101,tblTargetRevenue[Percentage]),"Choose*")</f>
        <v>0.52521799999999996</v>
      </c>
      <c r="E87" s="69">
        <f>SUBTOTAL(101,tblTargetRevenue[Rest])</f>
        <v>0.47478200000000004</v>
      </c>
      <c r="F87" s="70">
        <f>SUBTOTAL(101,tblTargetRevenue[Total])</f>
        <v>1</v>
      </c>
    </row>
  </sheetData>
  <mergeCells count="2">
    <mergeCell ref="G2:J8"/>
    <mergeCell ref="G53:J59"/>
  </mergeCells>
  <phoneticPr fontId="4" type="noConversion"/>
  <pageMargins left="0.7" right="0.7" top="0.75" bottom="0.75" header="0.3" footer="0.3"/>
  <pageSetup orientation="portrait" r:id="rId4"/>
  <drawing r:id="rId5"/>
  <legacyDrawing r:id="rId6"/>
  <tableParts count="1">
    <tablePart r:id="rId7"/>
  </tableParts>
  <extLst>
    <ext xmlns:x14="http://schemas.microsoft.com/office/spreadsheetml/2009/9/main" uri="{05C60535-1F16-4fd2-B633-F4F36F0B64E0}">
      <x14:sparklineGroups xmlns:xm="http://schemas.microsoft.com/office/excel/2006/main">
        <x14:sparklineGroup markers="1" xr2:uid="{1885FDCB-EB2B-4C24-9D41-E166A57C723E}">
          <x14:colorSeries theme="8" tint="0.39997558519241921"/>
          <x14:colorNegative theme="0" tint="-0.499984740745262"/>
          <x14:colorAxis rgb="FF000000"/>
          <x14:colorMarkers theme="8" tint="0.79998168889431442"/>
          <x14:colorFirst theme="8" tint="-0.249977111117893"/>
          <x14:colorLast theme="8" tint="-0.249977111117893"/>
          <x14:colorHigh theme="8" tint="-0.499984740745262"/>
          <x14:colorLow theme="8" tint="-0.499984740745262"/>
          <x14:sparklines>
            <x14:sparkline>
              <xm:f>Revenue!J19:J30</xm:f>
              <xm:sqref>J14</xm:sqref>
            </x14:sparkline>
          </x14:sparklines>
        </x14:sparklineGroup>
        <x14:sparklineGroup type="column" displayEmptyCellsAs="gap" high="1" xr2:uid="{DBF7C8DA-6786-49EB-9844-56544FD43F26}">
          <x14:colorSeries rgb="FF376092"/>
          <x14:colorNegative rgb="FFD00000"/>
          <x14:colorAxis rgb="FF000000"/>
          <x14:colorMarkers rgb="FFD00000"/>
          <x14:colorFirst rgb="FFD00000"/>
          <x14:colorLast rgb="FFD00000"/>
          <x14:colorHigh rgb="FFD00000"/>
          <x14:colorLow rgb="FFD00000"/>
          <x14:sparklines>
            <x14:sparkline>
              <xm:f>Revenue!F19:F30</xm:f>
              <xm:sqref>I14</xm:sqref>
            </x14:sparkline>
          </x14:sparklines>
        </x14:sparklineGroup>
        <x14:sparklineGroup displayEmptyCellsAs="gap" xr2:uid="{0618AED3-C45D-4348-9E1C-40AE66644EA1}">
          <x14:colorSeries rgb="FF376092"/>
          <x14:colorNegative rgb="FFD00000"/>
          <x14:colorAxis rgb="FF000000"/>
          <x14:colorMarkers rgb="FFD00000"/>
          <x14:colorFirst rgb="FFD00000"/>
          <x14:colorLast rgb="FFD00000"/>
          <x14:colorHigh rgb="FFD00000"/>
          <x14:colorLow rgb="FFD00000"/>
          <x14:sparklines>
            <x14:sparkline>
              <xm:f>Revenue!K19:K30</xm:f>
              <xm:sqref>K14</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1B283-F4BA-4CB7-8248-30C939A75014}">
  <sheetPr codeName="Sheet3"/>
  <dimension ref="A1:P136"/>
  <sheetViews>
    <sheetView showGridLines="0" topLeftCell="A43" zoomScale="85" zoomScaleNormal="85" workbookViewId="0">
      <selection activeCell="F23" sqref="F23"/>
    </sheetView>
  </sheetViews>
  <sheetFormatPr defaultRowHeight="14.5" x14ac:dyDescent="0.35"/>
  <cols>
    <col min="1" max="1" width="10.81640625" bestFit="1" customWidth="1"/>
    <col min="2" max="2" width="25.6328125" bestFit="1" customWidth="1"/>
    <col min="3" max="3" width="12.08984375" bestFit="1" customWidth="1"/>
    <col min="4" max="4" width="13.1796875" bestFit="1" customWidth="1"/>
    <col min="5" max="5" width="21.90625" bestFit="1" customWidth="1"/>
    <col min="6" max="6" width="22.26953125" bestFit="1" customWidth="1"/>
    <col min="7" max="7" width="42.1796875" bestFit="1" customWidth="1"/>
    <col min="8" max="8" width="10.81640625" bestFit="1" customWidth="1"/>
    <col min="9" max="9" width="18.26953125" bestFit="1" customWidth="1"/>
    <col min="10" max="10" width="21.7265625" bestFit="1" customWidth="1"/>
    <col min="11" max="11" width="11.1796875" bestFit="1" customWidth="1"/>
    <col min="12" max="12" width="15.26953125" customWidth="1"/>
    <col min="13" max="13" width="11.90625" customWidth="1"/>
    <col min="14" max="14" width="18.1796875" customWidth="1"/>
    <col min="15" max="15" width="21.1796875" customWidth="1"/>
    <col min="16" max="16" width="18.90625" customWidth="1"/>
    <col min="17" max="17" width="12.36328125" bestFit="1" customWidth="1"/>
    <col min="18" max="18" width="14.6328125" bestFit="1" customWidth="1"/>
    <col min="19" max="19" width="22" bestFit="1" customWidth="1"/>
    <col min="20" max="25" width="6.81640625" bestFit="1" customWidth="1"/>
    <col min="26" max="27" width="7.81640625" bestFit="1" customWidth="1"/>
    <col min="28" max="32" width="6.81640625" bestFit="1" customWidth="1"/>
    <col min="33" max="33" width="7.81640625" bestFit="1" customWidth="1"/>
    <col min="34" max="34" width="6.81640625" bestFit="1" customWidth="1"/>
    <col min="35" max="36" width="7.81640625" bestFit="1" customWidth="1"/>
    <col min="37" max="37" width="6.81640625" bestFit="1" customWidth="1"/>
    <col min="38" max="97" width="7.81640625" bestFit="1" customWidth="1"/>
    <col min="98" max="98" width="12.54296875" bestFit="1" customWidth="1"/>
    <col min="99" max="99" width="11.90625" bestFit="1" customWidth="1"/>
    <col min="100" max="100" width="6.81640625" bestFit="1" customWidth="1"/>
    <col min="101" max="109" width="7.81640625" bestFit="1" customWidth="1"/>
    <col min="110" max="110" width="14.90625" bestFit="1" customWidth="1"/>
    <col min="111" max="111" width="10.7265625" bestFit="1" customWidth="1"/>
  </cols>
  <sheetData>
    <row r="1" spans="1:10" x14ac:dyDescent="0.35">
      <c r="A1" s="3" t="s">
        <v>146</v>
      </c>
      <c r="B1" t="s">
        <v>199</v>
      </c>
      <c r="D1" s="3" t="s">
        <v>193</v>
      </c>
      <c r="E1" t="s">
        <v>202</v>
      </c>
      <c r="F1" t="s">
        <v>203</v>
      </c>
      <c r="H1" s="3" t="s">
        <v>146</v>
      </c>
      <c r="I1" t="s">
        <v>201</v>
      </c>
      <c r="J1" t="s">
        <v>200</v>
      </c>
    </row>
    <row r="2" spans="1:10" x14ac:dyDescent="0.35">
      <c r="A2" s="4" t="s">
        <v>143</v>
      </c>
      <c r="B2" s="53">
        <v>374</v>
      </c>
      <c r="D2" s="4" t="s">
        <v>143</v>
      </c>
      <c r="E2" s="54">
        <v>309</v>
      </c>
      <c r="F2" s="54">
        <v>484</v>
      </c>
      <c r="H2" s="4" t="s">
        <v>143</v>
      </c>
      <c r="I2" s="11">
        <v>3799</v>
      </c>
      <c r="J2" s="53">
        <v>379.9</v>
      </c>
    </row>
    <row r="3" spans="1:10" x14ac:dyDescent="0.35">
      <c r="A3" s="4" t="s">
        <v>144</v>
      </c>
      <c r="B3" s="53">
        <v>378</v>
      </c>
      <c r="D3" s="4" t="s">
        <v>144</v>
      </c>
      <c r="E3" s="54">
        <v>315</v>
      </c>
      <c r="F3" s="54">
        <v>460</v>
      </c>
      <c r="H3" s="4" t="s">
        <v>144</v>
      </c>
      <c r="I3" s="11">
        <v>1668</v>
      </c>
      <c r="J3" s="53">
        <v>417</v>
      </c>
    </row>
    <row r="4" spans="1:10" x14ac:dyDescent="0.35">
      <c r="A4" s="4" t="s">
        <v>145</v>
      </c>
      <c r="B4" s="53">
        <v>408.3</v>
      </c>
      <c r="D4" s="4" t="s">
        <v>145</v>
      </c>
      <c r="E4" s="54">
        <v>301</v>
      </c>
      <c r="F4" s="54">
        <v>497</v>
      </c>
      <c r="H4" s="4" t="s">
        <v>145</v>
      </c>
      <c r="I4" s="11">
        <v>4803</v>
      </c>
      <c r="J4" s="53">
        <v>480.3</v>
      </c>
    </row>
    <row r="5" spans="1:10" x14ac:dyDescent="0.35">
      <c r="A5" s="4" t="s">
        <v>158</v>
      </c>
      <c r="B5" s="53">
        <v>377</v>
      </c>
      <c r="D5" s="4" t="s">
        <v>158</v>
      </c>
      <c r="E5" s="54">
        <v>313</v>
      </c>
      <c r="F5" s="54">
        <v>473</v>
      </c>
      <c r="H5" s="4" t="s">
        <v>158</v>
      </c>
      <c r="I5" s="11">
        <v>2861</v>
      </c>
      <c r="J5" s="53">
        <v>476.83333333333331</v>
      </c>
    </row>
    <row r="6" spans="1:10" x14ac:dyDescent="0.35">
      <c r="A6" s="4" t="s">
        <v>149</v>
      </c>
      <c r="B6" s="53">
        <v>416.58333333333331</v>
      </c>
      <c r="D6" s="4" t="s">
        <v>149</v>
      </c>
      <c r="E6" s="54">
        <v>324</v>
      </c>
      <c r="F6" s="54">
        <v>477</v>
      </c>
      <c r="H6" s="4" t="s">
        <v>149</v>
      </c>
      <c r="I6" s="11">
        <v>5691</v>
      </c>
      <c r="J6" s="53">
        <v>474.25</v>
      </c>
    </row>
    <row r="7" spans="1:10" x14ac:dyDescent="0.35">
      <c r="A7" s="4" t="s">
        <v>159</v>
      </c>
      <c r="B7" s="53">
        <v>371.44444444444446</v>
      </c>
      <c r="D7" s="4" t="s">
        <v>159</v>
      </c>
      <c r="E7" s="54">
        <v>305</v>
      </c>
      <c r="F7" s="54">
        <v>482</v>
      </c>
      <c r="H7" s="4" t="s">
        <v>159</v>
      </c>
      <c r="I7" s="11">
        <v>5527</v>
      </c>
      <c r="J7" s="53">
        <v>614.11111111111109</v>
      </c>
    </row>
    <row r="8" spans="1:10" x14ac:dyDescent="0.35">
      <c r="A8" s="4" t="s">
        <v>160</v>
      </c>
      <c r="B8" s="53">
        <v>381.42857142857144</v>
      </c>
      <c r="D8" s="4" t="s">
        <v>160</v>
      </c>
      <c r="E8" s="54">
        <v>315</v>
      </c>
      <c r="F8" s="54">
        <v>486</v>
      </c>
      <c r="H8" s="4" t="s">
        <v>160</v>
      </c>
      <c r="I8" s="11">
        <v>3783</v>
      </c>
      <c r="J8" s="53">
        <v>540.42857142857144</v>
      </c>
    </row>
    <row r="9" spans="1:10" x14ac:dyDescent="0.35">
      <c r="A9" s="4" t="s">
        <v>161</v>
      </c>
      <c r="B9" s="53">
        <v>435.42857142857144</v>
      </c>
      <c r="D9" s="4" t="s">
        <v>161</v>
      </c>
      <c r="E9" s="54">
        <v>337</v>
      </c>
      <c r="F9" s="54">
        <v>479</v>
      </c>
      <c r="H9" s="4" t="s">
        <v>161</v>
      </c>
      <c r="I9" s="11">
        <v>2944</v>
      </c>
      <c r="J9" s="53">
        <v>420.57142857142856</v>
      </c>
    </row>
    <row r="10" spans="1:10" x14ac:dyDescent="0.35">
      <c r="A10" s="4" t="s">
        <v>162</v>
      </c>
      <c r="B10" s="53">
        <v>399.44444444444446</v>
      </c>
      <c r="D10" s="4" t="s">
        <v>162</v>
      </c>
      <c r="E10" s="54">
        <v>301</v>
      </c>
      <c r="F10" s="54">
        <v>479</v>
      </c>
      <c r="H10" s="4" t="s">
        <v>162</v>
      </c>
      <c r="I10" s="11">
        <v>4523</v>
      </c>
      <c r="J10" s="53">
        <v>502.55555555555554</v>
      </c>
    </row>
    <row r="11" spans="1:10" x14ac:dyDescent="0.35">
      <c r="A11" s="4" t="s">
        <v>163</v>
      </c>
      <c r="B11" s="53">
        <v>406.75</v>
      </c>
      <c r="D11" s="4" t="s">
        <v>163</v>
      </c>
      <c r="E11" s="54">
        <v>324</v>
      </c>
      <c r="F11" s="54">
        <v>494</v>
      </c>
      <c r="H11" s="4" t="s">
        <v>163</v>
      </c>
      <c r="I11" s="11">
        <v>6322</v>
      </c>
      <c r="J11" s="53">
        <v>526.83333333333337</v>
      </c>
    </row>
    <row r="12" spans="1:10" x14ac:dyDescent="0.35">
      <c r="A12" s="4" t="s">
        <v>164</v>
      </c>
      <c r="B12" s="53">
        <v>354.6</v>
      </c>
      <c r="D12" s="4" t="s">
        <v>164</v>
      </c>
      <c r="E12" s="54">
        <v>307</v>
      </c>
      <c r="F12" s="54">
        <v>399</v>
      </c>
      <c r="H12" s="4" t="s">
        <v>164</v>
      </c>
      <c r="I12" s="11">
        <v>2901</v>
      </c>
      <c r="J12" s="53">
        <v>580.20000000000005</v>
      </c>
    </row>
    <row r="13" spans="1:10" x14ac:dyDescent="0.35">
      <c r="A13" s="4" t="s">
        <v>165</v>
      </c>
      <c r="B13" s="53">
        <v>393.66666666666669</v>
      </c>
      <c r="D13" s="4" t="s">
        <v>165</v>
      </c>
      <c r="E13" s="54">
        <v>310</v>
      </c>
      <c r="F13" s="54">
        <v>497</v>
      </c>
      <c r="H13" s="4" t="s">
        <v>165</v>
      </c>
      <c r="I13" s="11">
        <v>4806</v>
      </c>
      <c r="J13" s="53">
        <v>534</v>
      </c>
    </row>
    <row r="14" spans="1:10" x14ac:dyDescent="0.35">
      <c r="A14" s="4" t="s">
        <v>140</v>
      </c>
      <c r="B14" s="53">
        <v>394.49</v>
      </c>
      <c r="D14" s="4" t="s">
        <v>140</v>
      </c>
      <c r="E14" s="54">
        <v>301</v>
      </c>
      <c r="F14" s="54">
        <v>497</v>
      </c>
      <c r="H14" s="4" t="s">
        <v>140</v>
      </c>
      <c r="I14" s="11">
        <v>49628</v>
      </c>
      <c r="J14" s="53">
        <v>496.28</v>
      </c>
    </row>
    <row r="15" spans="1:10" x14ac:dyDescent="0.35">
      <c r="B15" s="62">
        <f>GETPIVOTDATA("FuelCost_per_km",$A$1)</f>
        <v>394.49</v>
      </c>
      <c r="E15" s="63">
        <f>GETPIVOTDATA("Min of FuelCost_per_km",$D$1)</f>
        <v>301</v>
      </c>
      <c r="F15" s="63">
        <f>GETPIVOTDATA("Max of FuelCost_per_km",$D$1)</f>
        <v>497</v>
      </c>
      <c r="I15" s="50">
        <f>GETPIVOTDATA("Sum of Distance_km",$H$1)</f>
        <v>49628</v>
      </c>
      <c r="J15" s="57">
        <f>GETPIVOTDATA("Average of Distance_km",$H$1)</f>
        <v>496.28</v>
      </c>
    </row>
    <row r="16" spans="1:10" x14ac:dyDescent="0.35">
      <c r="B16" s="62">
        <f>B15</f>
        <v>394.49</v>
      </c>
      <c r="E16" s="63">
        <f>E15</f>
        <v>301</v>
      </c>
      <c r="F16" s="63">
        <f>F15</f>
        <v>497</v>
      </c>
      <c r="I16" s="50">
        <f>GETPIVOTDATA("Sum of Distance_km",$H$1)</f>
        <v>49628</v>
      </c>
      <c r="J16" s="57">
        <f>J15</f>
        <v>496.28</v>
      </c>
    </row>
    <row r="20" spans="7:16" ht="14.5" customHeight="1" x14ac:dyDescent="0.35">
      <c r="G20" s="86"/>
      <c r="H20" s="86"/>
      <c r="I20" s="86"/>
      <c r="J20" s="86"/>
      <c r="K20" s="86"/>
      <c r="L20" s="10"/>
      <c r="M20" s="10"/>
      <c r="N20" s="10"/>
      <c r="O20" s="10"/>
      <c r="P20" s="10"/>
    </row>
    <row r="21" spans="7:16" x14ac:dyDescent="0.35">
      <c r="G21" s="86"/>
      <c r="H21" s="86"/>
      <c r="I21" s="86"/>
      <c r="J21" s="86"/>
      <c r="K21" s="86"/>
      <c r="L21" s="10"/>
      <c r="M21" s="10"/>
      <c r="N21" s="10"/>
      <c r="O21" s="10"/>
      <c r="P21" s="10"/>
    </row>
    <row r="22" spans="7:16" x14ac:dyDescent="0.35">
      <c r="G22" s="86"/>
      <c r="H22" s="86"/>
      <c r="I22" s="86"/>
      <c r="J22" s="86"/>
      <c r="K22" s="86"/>
      <c r="L22" s="10"/>
      <c r="M22" s="10"/>
      <c r="N22" s="10"/>
      <c r="O22" s="10"/>
      <c r="P22" s="10"/>
    </row>
    <row r="23" spans="7:16" x14ac:dyDescent="0.35">
      <c r="G23" s="86"/>
      <c r="H23" s="86"/>
      <c r="I23" s="86"/>
      <c r="J23" s="86"/>
      <c r="K23" s="86"/>
      <c r="L23" s="10"/>
      <c r="M23" s="10"/>
      <c r="N23" s="10"/>
      <c r="O23" s="10"/>
      <c r="P23" s="10"/>
    </row>
    <row r="24" spans="7:16" x14ac:dyDescent="0.35">
      <c r="G24" s="86"/>
      <c r="H24" s="86"/>
      <c r="I24" s="86"/>
      <c r="J24" s="86"/>
      <c r="K24" s="86"/>
    </row>
    <row r="25" spans="7:16" x14ac:dyDescent="0.35">
      <c r="G25" s="86"/>
      <c r="H25" s="86"/>
      <c r="I25" s="86"/>
      <c r="J25" s="86"/>
      <c r="K25" s="86"/>
    </row>
    <row r="26" spans="7:16" x14ac:dyDescent="0.35">
      <c r="G26" s="86"/>
      <c r="H26" s="86"/>
      <c r="I26" s="86"/>
      <c r="J26" s="86"/>
      <c r="K26" s="86"/>
    </row>
    <row r="34" spans="1:4" x14ac:dyDescent="0.35">
      <c r="A34" s="3" t="s">
        <v>186</v>
      </c>
      <c r="B34" s="3" t="s">
        <v>157</v>
      </c>
    </row>
    <row r="35" spans="1:4" x14ac:dyDescent="0.35">
      <c r="B35" t="s">
        <v>155</v>
      </c>
      <c r="C35" t="s">
        <v>154</v>
      </c>
      <c r="D35" t="s">
        <v>140</v>
      </c>
    </row>
    <row r="36" spans="1:4" x14ac:dyDescent="0.35">
      <c r="A36" s="3" t="s">
        <v>169</v>
      </c>
    </row>
    <row r="37" spans="1:4" x14ac:dyDescent="0.35">
      <c r="A37" s="4" t="s">
        <v>143</v>
      </c>
      <c r="B37" s="5">
        <v>10</v>
      </c>
      <c r="C37" s="5">
        <v>0</v>
      </c>
      <c r="D37" s="5">
        <v>10</v>
      </c>
    </row>
    <row r="38" spans="1:4" x14ac:dyDescent="0.35">
      <c r="A38" s="4" t="s">
        <v>145</v>
      </c>
      <c r="B38" s="5">
        <v>8</v>
      </c>
      <c r="C38" s="5">
        <v>2</v>
      </c>
      <c r="D38" s="5">
        <v>10</v>
      </c>
    </row>
    <row r="39" spans="1:4" x14ac:dyDescent="0.35">
      <c r="A39" s="4" t="s">
        <v>158</v>
      </c>
      <c r="B39" s="5">
        <v>5</v>
      </c>
      <c r="C39" s="5">
        <v>1</v>
      </c>
      <c r="D39" s="5">
        <v>6</v>
      </c>
    </row>
    <row r="40" spans="1:4" x14ac:dyDescent="0.35">
      <c r="A40" s="4" t="s">
        <v>149</v>
      </c>
      <c r="B40" s="5">
        <v>10</v>
      </c>
      <c r="C40" s="5">
        <v>2</v>
      </c>
      <c r="D40" s="5">
        <v>12</v>
      </c>
    </row>
    <row r="41" spans="1:4" x14ac:dyDescent="0.35">
      <c r="A41" s="4" t="s">
        <v>159</v>
      </c>
      <c r="B41" s="5">
        <v>8</v>
      </c>
      <c r="C41" s="5">
        <v>1</v>
      </c>
      <c r="D41" s="5">
        <v>9</v>
      </c>
    </row>
    <row r="42" spans="1:4" x14ac:dyDescent="0.35">
      <c r="A42" s="4" t="s">
        <v>160</v>
      </c>
      <c r="B42" s="5">
        <v>7</v>
      </c>
      <c r="C42" s="5">
        <v>0</v>
      </c>
      <c r="D42" s="5">
        <v>7</v>
      </c>
    </row>
    <row r="43" spans="1:4" x14ac:dyDescent="0.35">
      <c r="A43" s="4" t="s">
        <v>161</v>
      </c>
      <c r="B43" s="5">
        <v>7</v>
      </c>
      <c r="C43" s="5">
        <v>0</v>
      </c>
      <c r="D43" s="5">
        <v>7</v>
      </c>
    </row>
    <row r="44" spans="1:4" x14ac:dyDescent="0.35">
      <c r="A44" s="4" t="s">
        <v>162</v>
      </c>
      <c r="B44" s="5">
        <v>7</v>
      </c>
      <c r="C44" s="5">
        <v>2</v>
      </c>
      <c r="D44" s="5">
        <v>9</v>
      </c>
    </row>
    <row r="45" spans="1:4" x14ac:dyDescent="0.35">
      <c r="A45" s="4" t="s">
        <v>163</v>
      </c>
      <c r="B45" s="5">
        <v>10</v>
      </c>
      <c r="C45" s="5">
        <v>2</v>
      </c>
      <c r="D45" s="5">
        <v>12</v>
      </c>
    </row>
    <row r="46" spans="1:4" x14ac:dyDescent="0.35">
      <c r="A46" s="4" t="s">
        <v>164</v>
      </c>
      <c r="B46" s="5">
        <v>5</v>
      </c>
      <c r="C46" s="5">
        <v>0</v>
      </c>
      <c r="D46" s="5">
        <v>5</v>
      </c>
    </row>
    <row r="47" spans="1:4" x14ac:dyDescent="0.35">
      <c r="A47" s="4" t="s">
        <v>165</v>
      </c>
      <c r="B47" s="5">
        <v>8</v>
      </c>
      <c r="C47" s="5">
        <v>1</v>
      </c>
      <c r="D47" s="5">
        <v>9</v>
      </c>
    </row>
    <row r="48" spans="1:4" x14ac:dyDescent="0.35">
      <c r="A48" s="4" t="s">
        <v>140</v>
      </c>
      <c r="B48" s="5">
        <v>85</v>
      </c>
      <c r="C48" s="5">
        <v>11</v>
      </c>
      <c r="D48" s="5">
        <v>96</v>
      </c>
    </row>
    <row r="68" spans="1:10" x14ac:dyDescent="0.35">
      <c r="A68" s="16" t="s">
        <v>146</v>
      </c>
      <c r="B68" s="16" t="s">
        <v>187</v>
      </c>
      <c r="C68" s="16" t="s">
        <v>170</v>
      </c>
      <c r="D68" s="16" t="s">
        <v>188</v>
      </c>
      <c r="E68" s="16" t="s">
        <v>171</v>
      </c>
      <c r="F68" s="16" t="s">
        <v>189</v>
      </c>
      <c r="G68" s="16" t="s">
        <v>172</v>
      </c>
      <c r="H68" s="16" t="s">
        <v>191</v>
      </c>
      <c r="I68" s="16" t="s">
        <v>192</v>
      </c>
      <c r="J68" s="16" t="s">
        <v>190</v>
      </c>
    </row>
    <row r="69" spans="1:10" x14ac:dyDescent="0.35">
      <c r="A69" s="23" t="s">
        <v>143</v>
      </c>
      <c r="B69" s="28">
        <f>IFERROR(GETPIVOTDATA("Fuel Cost",$A$85,"Route_Scope","Intercity","Months",tblRevenuePerCost[[#This Row],[Months]]),NA())</f>
        <v>1343186</v>
      </c>
      <c r="C69" s="28">
        <f t="shared" ref="C69:C80" si="0">IFERROR(GETPIVOTDATA("Total Revenue",$A$85,"Route_Scope","Intercity","Months",$A69),NA())</f>
        <v>7878270</v>
      </c>
      <c r="D69" s="28">
        <f t="shared" ref="D69:D80" si="1">IFERROR(GETPIVOTDATA("Fuel Cost",$A$85,"Route_Scope","Within City","Months",$A69),NA())</f>
        <v>0</v>
      </c>
      <c r="E69" s="28">
        <f t="shared" ref="E69:E80" si="2">IFERROR(GETPIVOTDATA("Total Revenue",$A$85,"Route_Scope","Within City","Months",$A69),NA())</f>
        <v>0</v>
      </c>
      <c r="F69" s="28">
        <f>SUM($B69,D69)</f>
        <v>1343186</v>
      </c>
      <c r="G69" s="28">
        <f>SUM(C69,E69)</f>
        <v>7878270</v>
      </c>
      <c r="H69" s="29">
        <f>IFERROR((tblRevenuePerCost[[#This Row],[Total Revenue-I]]-tblRevenuePerCost[[#This Row],[Fuel Cost-I]])/tblRevenuePerCost[[#This Row],[Total Revenue-I]],"")</f>
        <v>0.82950749339639285</v>
      </c>
      <c r="I69" s="29">
        <f>IFERROR((tblRevenuePerCost[[#This Row],[Total Revenue-W]]-tblRevenuePerCost[[#This Row],[Fuel Cost-W]])/tblRevenuePerCost[[#This Row],[Total Revenue-W]],0)</f>
        <v>0</v>
      </c>
      <c r="J69" s="29">
        <f>IFERROR((tblRevenuePerCost[[#This Row],[Grand Total Revenue]]-tblRevenuePerCost[[#This Row],[Grand Total Fuel Cost ]])/tblRevenuePerCost[[#This Row],[Grand Total Revenue]],NA())</f>
        <v>0.82950749339639285</v>
      </c>
    </row>
    <row r="70" spans="1:10" x14ac:dyDescent="0.35">
      <c r="A70" s="23" t="s">
        <v>144</v>
      </c>
      <c r="B70" s="28">
        <f>IFERROR(GETPIVOTDATA("Fuel Cost",$A$85,"Route_Scope","Intercity","Months",tblRevenuePerCost[[#This Row],[Months]]),NA())</f>
        <v>632456</v>
      </c>
      <c r="C70" s="28">
        <f t="shared" si="0"/>
        <v>3109293</v>
      </c>
      <c r="D70" s="28">
        <f t="shared" si="1"/>
        <v>0</v>
      </c>
      <c r="E70" s="28">
        <f t="shared" si="2"/>
        <v>0</v>
      </c>
      <c r="F70" s="28">
        <f t="shared" ref="F70:F80" si="3">SUM($B70,D70)</f>
        <v>632456</v>
      </c>
      <c r="G70" s="28">
        <f t="shared" ref="G70:G80" si="4">SUM(C70,E70)</f>
        <v>3109293</v>
      </c>
      <c r="H70" s="29">
        <f>IFERROR((tblRevenuePerCost[[#This Row],[Total Revenue-I]]-tblRevenuePerCost[[#This Row],[Fuel Cost-I]])/tblRevenuePerCost[[#This Row],[Total Revenue-I]],"")</f>
        <v>0.79659170107159405</v>
      </c>
      <c r="I70" s="29">
        <f>IFERROR((tblRevenuePerCost[[#This Row],[Total Revenue-W]]-tblRevenuePerCost[[#This Row],[Fuel Cost-W]])/tblRevenuePerCost[[#This Row],[Total Revenue-W]],0)</f>
        <v>0</v>
      </c>
      <c r="J70" s="29">
        <f>IFERROR((tblRevenuePerCost[[#This Row],[Grand Total Revenue]]-tblRevenuePerCost[[#This Row],[Grand Total Fuel Cost ]])/tblRevenuePerCost[[#This Row],[Grand Total Revenue]],NA())</f>
        <v>0.79659170107159405</v>
      </c>
    </row>
    <row r="71" spans="1:10" x14ac:dyDescent="0.35">
      <c r="A71" s="23" t="s">
        <v>145</v>
      </c>
      <c r="B71" s="28">
        <f>IFERROR(GETPIVOTDATA("Fuel Cost",$A$85,"Route_Scope","Intercity","Months",tblRevenuePerCost[[#This Row],[Months]]),NA())</f>
        <v>1750836</v>
      </c>
      <c r="C71" s="28">
        <f t="shared" si="0"/>
        <v>8767215</v>
      </c>
      <c r="D71" s="28">
        <f t="shared" si="1"/>
        <v>130040</v>
      </c>
      <c r="E71" s="28">
        <f t="shared" si="2"/>
        <v>612103</v>
      </c>
      <c r="F71" s="28">
        <f t="shared" si="3"/>
        <v>1880876</v>
      </c>
      <c r="G71" s="28">
        <f t="shared" si="4"/>
        <v>9379318</v>
      </c>
      <c r="H71" s="29">
        <f>IFERROR((tblRevenuePerCost[[#This Row],[Total Revenue-I]]-tblRevenuePerCost[[#This Row],[Fuel Cost-I]])/tblRevenuePerCost[[#This Row],[Total Revenue-I]],"")</f>
        <v>0.8002973578268584</v>
      </c>
      <c r="I71" s="29">
        <f>IFERROR((tblRevenuePerCost[[#This Row],[Total Revenue-W]]-tblRevenuePerCost[[#This Row],[Fuel Cost-W]])/tblRevenuePerCost[[#This Row],[Total Revenue-W]],0)</f>
        <v>0.78755209499054901</v>
      </c>
      <c r="J71" s="29">
        <f>IFERROR((tblRevenuePerCost[[#This Row],[Grand Total Revenue]]-tblRevenuePerCost[[#This Row],[Grand Total Fuel Cost ]])/tblRevenuePerCost[[#This Row],[Grand Total Revenue]],NA())</f>
        <v>0.79946559014205509</v>
      </c>
    </row>
    <row r="72" spans="1:10" x14ac:dyDescent="0.35">
      <c r="A72" s="23" t="s">
        <v>158</v>
      </c>
      <c r="B72" s="28">
        <f>IFERROR(GETPIVOTDATA("Fuel Cost",$A$85,"Route_Scope","Intercity","Months",tblRevenuePerCost[[#This Row],[Months]]),NA())</f>
        <v>890773</v>
      </c>
      <c r="C72" s="28">
        <f t="shared" si="0"/>
        <v>4466189</v>
      </c>
      <c r="D72" s="28">
        <f t="shared" si="1"/>
        <v>218999</v>
      </c>
      <c r="E72" s="28">
        <f t="shared" si="2"/>
        <v>852414</v>
      </c>
      <c r="F72" s="28">
        <f t="shared" si="3"/>
        <v>1109772</v>
      </c>
      <c r="G72" s="28">
        <f t="shared" si="4"/>
        <v>5318603</v>
      </c>
      <c r="H72" s="29">
        <f>IFERROR((tblRevenuePerCost[[#This Row],[Total Revenue-I]]-tblRevenuePerCost[[#This Row],[Fuel Cost-I]])/tblRevenuePerCost[[#This Row],[Total Revenue-I]],"")</f>
        <v>0.80055187991372512</v>
      </c>
      <c r="I72" s="29">
        <f>IFERROR((tblRevenuePerCost[[#This Row],[Total Revenue-W]]-tblRevenuePerCost[[#This Row],[Fuel Cost-W]])/tblRevenuePerCost[[#This Row],[Total Revenue-W]],0)</f>
        <v>0.74308375976931396</v>
      </c>
      <c r="J72" s="29">
        <f>IFERROR((tblRevenuePerCost[[#This Row],[Grand Total Revenue]]-tblRevenuePerCost[[#This Row],[Grand Total Fuel Cost ]])/tblRevenuePerCost[[#This Row],[Grand Total Revenue]],NA())</f>
        <v>0.79134144812086937</v>
      </c>
    </row>
    <row r="73" spans="1:10" x14ac:dyDescent="0.35">
      <c r="A73" s="23" t="s">
        <v>149</v>
      </c>
      <c r="B73" s="28">
        <f>IFERROR(GETPIVOTDATA("Fuel Cost",$A$85,"Route_Scope","Intercity","Months",tblRevenuePerCost[[#This Row],[Months]]),NA())</f>
        <v>1985602</v>
      </c>
      <c r="C73" s="28">
        <f t="shared" si="0"/>
        <v>10228666</v>
      </c>
      <c r="D73" s="28">
        <f t="shared" si="1"/>
        <v>346002</v>
      </c>
      <c r="E73" s="28">
        <f t="shared" si="2"/>
        <v>1705505</v>
      </c>
      <c r="F73" s="28">
        <f t="shared" si="3"/>
        <v>2331604</v>
      </c>
      <c r="G73" s="28">
        <f t="shared" si="4"/>
        <v>11934171</v>
      </c>
      <c r="H73" s="29">
        <f>IFERROR((tblRevenuePerCost[[#This Row],[Total Revenue-I]]-tblRevenuePerCost[[#This Row],[Fuel Cost-I]])/tblRevenuePerCost[[#This Row],[Total Revenue-I]],"")</f>
        <v>0.80587869425006153</v>
      </c>
      <c r="I73" s="29">
        <f>IFERROR((tblRevenuePerCost[[#This Row],[Total Revenue-W]]-tblRevenuePerCost[[#This Row],[Fuel Cost-W]])/tblRevenuePerCost[[#This Row],[Total Revenue-W]],0)</f>
        <v>0.79712636433197204</v>
      </c>
      <c r="J73" s="29">
        <f>IFERROR((tblRevenuePerCost[[#This Row],[Grand Total Revenue]]-tblRevenuePerCost[[#This Row],[Grand Total Fuel Cost ]])/tblRevenuePerCost[[#This Row],[Grand Total Revenue]],NA())</f>
        <v>0.80462790419208841</v>
      </c>
    </row>
    <row r="74" spans="1:10" x14ac:dyDescent="0.35">
      <c r="A74" s="23" t="s">
        <v>159</v>
      </c>
      <c r="B74" s="28">
        <f>IFERROR(GETPIVOTDATA("Fuel Cost",$A$85,"Route_Scope","Intercity","Months",tblRevenuePerCost[[#This Row],[Months]]),NA())</f>
        <v>1877223</v>
      </c>
      <c r="C74" s="28">
        <f t="shared" si="0"/>
        <v>10337992</v>
      </c>
      <c r="D74" s="28">
        <f t="shared" si="1"/>
        <v>202650</v>
      </c>
      <c r="E74" s="28">
        <f t="shared" si="2"/>
        <v>1258483</v>
      </c>
      <c r="F74" s="28">
        <f t="shared" si="3"/>
        <v>2079873</v>
      </c>
      <c r="G74" s="28">
        <f t="shared" si="4"/>
        <v>11596475</v>
      </c>
      <c r="H74" s="29">
        <f>IFERROR((tblRevenuePerCost[[#This Row],[Total Revenue-I]]-tblRevenuePerCost[[#This Row],[Fuel Cost-I]])/tblRevenuePerCost[[#This Row],[Total Revenue-I]],"")</f>
        <v>0.81841512355590906</v>
      </c>
      <c r="I74" s="29">
        <f>IFERROR((tblRevenuePerCost[[#This Row],[Total Revenue-W]]-tblRevenuePerCost[[#This Row],[Fuel Cost-W]])/tblRevenuePerCost[[#This Row],[Total Revenue-W]],0)</f>
        <v>0.83897279502385014</v>
      </c>
      <c r="J74" s="29">
        <f>IFERROR((tblRevenuePerCost[[#This Row],[Grand Total Revenue]]-tblRevenuePerCost[[#This Row],[Grand Total Fuel Cost ]])/tblRevenuePerCost[[#This Row],[Grand Total Revenue]],NA())</f>
        <v>0.82064610150929485</v>
      </c>
    </row>
    <row r="75" spans="1:10" x14ac:dyDescent="0.35">
      <c r="A75" s="23" t="s">
        <v>160</v>
      </c>
      <c r="B75" s="28">
        <f>IFERROR(GETPIVOTDATA("Fuel Cost",$A$85,"Route_Scope","Intercity","Months",tblRevenuePerCost[[#This Row],[Months]]),NA())</f>
        <v>1392722</v>
      </c>
      <c r="C75" s="28">
        <f t="shared" si="0"/>
        <v>7221755</v>
      </c>
      <c r="D75" s="28">
        <f t="shared" si="1"/>
        <v>0</v>
      </c>
      <c r="E75" s="28">
        <f t="shared" si="2"/>
        <v>0</v>
      </c>
      <c r="F75" s="28">
        <f t="shared" si="3"/>
        <v>1392722</v>
      </c>
      <c r="G75" s="28">
        <f t="shared" si="4"/>
        <v>7221755</v>
      </c>
      <c r="H75" s="29">
        <f>IFERROR((tblRevenuePerCost[[#This Row],[Total Revenue-I]]-tblRevenuePerCost[[#This Row],[Fuel Cost-I]])/tblRevenuePerCost[[#This Row],[Total Revenue-I]],"")</f>
        <v>0.80714909326057172</v>
      </c>
      <c r="I75" s="29">
        <f>IFERROR((tblRevenuePerCost[[#This Row],[Total Revenue-W]]-tblRevenuePerCost[[#This Row],[Fuel Cost-W]])/tblRevenuePerCost[[#This Row],[Total Revenue-W]],0)</f>
        <v>0</v>
      </c>
      <c r="J75" s="29">
        <f>IFERROR((tblRevenuePerCost[[#This Row],[Grand Total Revenue]]-tblRevenuePerCost[[#This Row],[Grand Total Fuel Cost ]])/tblRevenuePerCost[[#This Row],[Grand Total Revenue]],NA())</f>
        <v>0.80714909326057172</v>
      </c>
    </row>
    <row r="76" spans="1:10" x14ac:dyDescent="0.35">
      <c r="A76" s="23" t="s">
        <v>161</v>
      </c>
      <c r="B76" s="28">
        <f>IFERROR(GETPIVOTDATA("Fuel Cost",$A$85,"Route_Scope","Intercity","Months",tblRevenuePerCost[[#This Row],[Months]]),NA())</f>
        <v>1277560</v>
      </c>
      <c r="C76" s="28">
        <f t="shared" si="0"/>
        <v>5764098</v>
      </c>
      <c r="D76" s="28">
        <f t="shared" si="1"/>
        <v>0</v>
      </c>
      <c r="E76" s="28">
        <f t="shared" si="2"/>
        <v>0</v>
      </c>
      <c r="F76" s="28">
        <f t="shared" si="3"/>
        <v>1277560</v>
      </c>
      <c r="G76" s="28">
        <f t="shared" si="4"/>
        <v>5764098</v>
      </c>
      <c r="H76" s="29">
        <f>IFERROR((tblRevenuePerCost[[#This Row],[Total Revenue-I]]-tblRevenuePerCost[[#This Row],[Fuel Cost-I]])/tblRevenuePerCost[[#This Row],[Total Revenue-I]],"")</f>
        <v>0.77835907717044361</v>
      </c>
      <c r="I76" s="29">
        <f>IFERROR((tblRevenuePerCost[[#This Row],[Total Revenue-W]]-tblRevenuePerCost[[#This Row],[Fuel Cost-W]])/tblRevenuePerCost[[#This Row],[Total Revenue-W]],0)</f>
        <v>0</v>
      </c>
      <c r="J76" s="29">
        <f>IFERROR((tblRevenuePerCost[[#This Row],[Grand Total Revenue]]-tblRevenuePerCost[[#This Row],[Grand Total Fuel Cost ]])/tblRevenuePerCost[[#This Row],[Grand Total Revenue]],NA())</f>
        <v>0.77835907717044361</v>
      </c>
    </row>
    <row r="77" spans="1:10" x14ac:dyDescent="0.35">
      <c r="A77" s="23" t="s">
        <v>162</v>
      </c>
      <c r="B77" s="28">
        <f>IFERROR(GETPIVOTDATA("Fuel Cost",$A$85,"Route_Scope","Intercity","Months",tblRevenuePerCost[[#This Row],[Months]]),NA())</f>
        <v>1169129</v>
      </c>
      <c r="C77" s="28">
        <f t="shared" si="0"/>
        <v>5949240</v>
      </c>
      <c r="D77" s="28">
        <f t="shared" si="1"/>
        <v>593362</v>
      </c>
      <c r="E77" s="28">
        <f t="shared" si="2"/>
        <v>2855201</v>
      </c>
      <c r="F77" s="28">
        <f t="shared" si="3"/>
        <v>1762491</v>
      </c>
      <c r="G77" s="28">
        <f t="shared" si="4"/>
        <v>8804441</v>
      </c>
      <c r="H77" s="29">
        <f>IFERROR((tblRevenuePerCost[[#This Row],[Total Revenue-I]]-tblRevenuePerCost[[#This Row],[Fuel Cost-I]])/tblRevenuePerCost[[#This Row],[Total Revenue-I]],"")</f>
        <v>0.80348262971404749</v>
      </c>
      <c r="I77" s="29">
        <f>IFERROR((tblRevenuePerCost[[#This Row],[Total Revenue-W]]-tblRevenuePerCost[[#This Row],[Fuel Cost-W]])/tblRevenuePerCost[[#This Row],[Total Revenue-W]],0)</f>
        <v>0.79218205653472384</v>
      </c>
      <c r="J77" s="29">
        <f>IFERROR((tblRevenuePerCost[[#This Row],[Grand Total Revenue]]-tblRevenuePerCost[[#This Row],[Grand Total Fuel Cost ]])/tblRevenuePerCost[[#This Row],[Grand Total Revenue]],NA())</f>
        <v>0.79981795550677215</v>
      </c>
    </row>
    <row r="78" spans="1:10" x14ac:dyDescent="0.35">
      <c r="A78" s="23" t="s">
        <v>163</v>
      </c>
      <c r="B78" s="28">
        <f>IFERROR(GETPIVOTDATA("Fuel Cost",$A$85,"Route_Scope","Intercity","Months",tblRevenuePerCost[[#This Row],[Months]]),NA())</f>
        <v>1929333</v>
      </c>
      <c r="C78" s="28">
        <f t="shared" si="0"/>
        <v>9417202</v>
      </c>
      <c r="D78" s="28">
        <f t="shared" si="1"/>
        <v>535287</v>
      </c>
      <c r="E78" s="28">
        <f t="shared" si="2"/>
        <v>2992533</v>
      </c>
      <c r="F78" s="28">
        <f t="shared" si="3"/>
        <v>2464620</v>
      </c>
      <c r="G78" s="28">
        <f t="shared" si="4"/>
        <v>12409735</v>
      </c>
      <c r="H78" s="29">
        <f>IFERROR((tblRevenuePerCost[[#This Row],[Total Revenue-I]]-tblRevenuePerCost[[#This Row],[Fuel Cost-I]])/tblRevenuePerCost[[#This Row],[Total Revenue-I]],"")</f>
        <v>0.79512672660095851</v>
      </c>
      <c r="I78" s="29">
        <f>IFERROR((tblRevenuePerCost[[#This Row],[Total Revenue-W]]-tblRevenuePerCost[[#This Row],[Fuel Cost-W]])/tblRevenuePerCost[[#This Row],[Total Revenue-W]],0)</f>
        <v>0.82112578207157616</v>
      </c>
      <c r="J78" s="29">
        <f>IFERROR((tblRevenuePerCost[[#This Row],[Grand Total Revenue]]-tblRevenuePerCost[[#This Row],[Grand Total Fuel Cost ]])/tblRevenuePerCost[[#This Row],[Grand Total Revenue]],NA())</f>
        <v>0.80139624254667807</v>
      </c>
    </row>
    <row r="79" spans="1:10" x14ac:dyDescent="0.35">
      <c r="A79" s="23" t="s">
        <v>164</v>
      </c>
      <c r="B79" s="28">
        <f>IFERROR(GETPIVOTDATA("Fuel Cost",$A$85,"Route_Scope","Intercity","Months",tblRevenuePerCost[[#This Row],[Months]]),NA())</f>
        <v>1015329</v>
      </c>
      <c r="C79" s="28">
        <f t="shared" si="0"/>
        <v>6211547</v>
      </c>
      <c r="D79" s="28">
        <f t="shared" si="1"/>
        <v>0</v>
      </c>
      <c r="E79" s="28">
        <f t="shared" si="2"/>
        <v>0</v>
      </c>
      <c r="F79" s="28">
        <f t="shared" si="3"/>
        <v>1015329</v>
      </c>
      <c r="G79" s="28">
        <f t="shared" si="4"/>
        <v>6211547</v>
      </c>
      <c r="H79" s="29">
        <f>IFERROR((tblRevenuePerCost[[#This Row],[Total Revenue-I]]-tblRevenuePerCost[[#This Row],[Fuel Cost-I]])/tblRevenuePerCost[[#This Row],[Total Revenue-I]],"")</f>
        <v>0.83654168599223344</v>
      </c>
      <c r="I79" s="29">
        <f>IFERROR((tblRevenuePerCost[[#This Row],[Total Revenue-W]]-tblRevenuePerCost[[#This Row],[Fuel Cost-W]])/tblRevenuePerCost[[#This Row],[Total Revenue-W]],0)</f>
        <v>0</v>
      </c>
      <c r="J79" s="29">
        <f>IFERROR((tblRevenuePerCost[[#This Row],[Grand Total Revenue]]-tblRevenuePerCost[[#This Row],[Grand Total Fuel Cost ]])/tblRevenuePerCost[[#This Row],[Grand Total Revenue]],NA())</f>
        <v>0.83654168599223344</v>
      </c>
    </row>
    <row r="80" spans="1:10" x14ac:dyDescent="0.35">
      <c r="A80" s="23" t="s">
        <v>165</v>
      </c>
      <c r="B80" s="28">
        <f>IFERROR(GETPIVOTDATA("Fuel Cost",$A$85,"Route_Scope","Intercity","Months",tblRevenuePerCost[[#This Row],[Months]]),NA())</f>
        <v>1666949</v>
      </c>
      <c r="C80" s="28">
        <f t="shared" si="0"/>
        <v>8134020</v>
      </c>
      <c r="D80" s="28">
        <f t="shared" si="1"/>
        <v>301552</v>
      </c>
      <c r="E80" s="28">
        <f t="shared" si="2"/>
        <v>1854924</v>
      </c>
      <c r="F80" s="28">
        <f t="shared" si="3"/>
        <v>1968501</v>
      </c>
      <c r="G80" s="28">
        <f t="shared" si="4"/>
        <v>9988944</v>
      </c>
      <c r="H80" s="29">
        <f>IFERROR((tblRevenuePerCost[[#This Row],[Total Revenue-I]]-tblRevenuePerCost[[#This Row],[Fuel Cost-I]])/tblRevenuePerCost[[#This Row],[Total Revenue-I]],"")</f>
        <v>0.795064556025188</v>
      </c>
      <c r="I80" s="29">
        <f>IFERROR((tblRevenuePerCost[[#This Row],[Total Revenue-W]]-tblRevenuePerCost[[#This Row],[Fuel Cost-W]])/tblRevenuePerCost[[#This Row],[Total Revenue-W]],0)</f>
        <v>0.83743161444889391</v>
      </c>
      <c r="J80" s="29">
        <f>IFERROR((tblRevenuePerCost[[#This Row],[Grand Total Revenue]]-tblRevenuePerCost[[#This Row],[Grand Total Fuel Cost ]])/tblRevenuePerCost[[#This Row],[Grand Total Revenue]],NA())</f>
        <v>0.8029320216431286</v>
      </c>
    </row>
    <row r="81" spans="1:13" x14ac:dyDescent="0.35">
      <c r="A81" s="30"/>
      <c r="B81" s="30">
        <f>SUBTOTAL(109,B69:B80)</f>
        <v>16931098</v>
      </c>
      <c r="C81" s="31">
        <f>SUBTOTAL(109,C69:C80)</f>
        <v>87485487</v>
      </c>
      <c r="D81" s="31">
        <f>SUBTOTAL(109,D69:D80)</f>
        <v>2327892</v>
      </c>
      <c r="E81" s="31">
        <f>SUBTOTAL(109,E69:E80)</f>
        <v>12131163</v>
      </c>
      <c r="F81" s="31">
        <f>SUBTOTAL(109,E69:E80)</f>
        <v>12131163</v>
      </c>
      <c r="G81" s="31">
        <f>SUBTOTAL(109,G69:G80)</f>
        <v>99616650</v>
      </c>
      <c r="H81" s="32"/>
      <c r="I81" s="42"/>
      <c r="J81" s="32"/>
    </row>
    <row r="82" spans="1:13" x14ac:dyDescent="0.35">
      <c r="A82" s="15"/>
      <c r="B82" s="15"/>
      <c r="C82" s="15"/>
      <c r="D82" s="15"/>
      <c r="E82" s="15"/>
      <c r="F82" s="15"/>
      <c r="G82" s="15"/>
      <c r="H82" s="15"/>
    </row>
    <row r="85" spans="1:13" x14ac:dyDescent="0.35">
      <c r="A85" s="85"/>
      <c r="B85" s="18" t="s">
        <v>157</v>
      </c>
      <c r="C85" s="85"/>
      <c r="D85" s="85"/>
      <c r="E85" s="85"/>
      <c r="F85" s="85"/>
      <c r="G85" s="85"/>
      <c r="L85" s="86"/>
      <c r="M85" s="86"/>
    </row>
    <row r="86" spans="1:13" x14ac:dyDescent="0.35">
      <c r="A86" s="85"/>
      <c r="B86" s="88" t="s">
        <v>155</v>
      </c>
      <c r="C86" s="89"/>
      <c r="D86" s="88" t="s">
        <v>154</v>
      </c>
      <c r="E86" s="89"/>
      <c r="F86" s="88" t="s">
        <v>166</v>
      </c>
      <c r="G86" s="88" t="s">
        <v>167</v>
      </c>
      <c r="L86" s="86"/>
      <c r="M86" s="86"/>
    </row>
    <row r="87" spans="1:13" x14ac:dyDescent="0.35">
      <c r="A87" s="18" t="s">
        <v>146</v>
      </c>
      <c r="B87" s="84" t="s">
        <v>151</v>
      </c>
      <c r="C87" s="84" t="s">
        <v>168</v>
      </c>
      <c r="D87" s="84" t="s">
        <v>151</v>
      </c>
      <c r="E87" s="84" t="s">
        <v>168</v>
      </c>
      <c r="F87" s="89"/>
      <c r="G87" s="89"/>
      <c r="L87" s="86"/>
      <c r="M87" s="86"/>
    </row>
    <row r="88" spans="1:13" x14ac:dyDescent="0.35">
      <c r="A88" s="4" t="s">
        <v>143</v>
      </c>
      <c r="B88" s="5">
        <v>1343186</v>
      </c>
      <c r="C88" s="5">
        <v>7878270</v>
      </c>
      <c r="D88" s="5">
        <v>0</v>
      </c>
      <c r="E88" s="5">
        <v>0</v>
      </c>
      <c r="F88" s="5">
        <v>1343186</v>
      </c>
      <c r="G88" s="5">
        <v>7878270</v>
      </c>
      <c r="H88" s="14"/>
      <c r="I88" s="14"/>
      <c r="J88" s="14"/>
      <c r="K88" s="14"/>
      <c r="L88" s="86"/>
      <c r="M88" s="86"/>
    </row>
    <row r="89" spans="1:13" x14ac:dyDescent="0.35">
      <c r="A89" s="4" t="s">
        <v>144</v>
      </c>
      <c r="B89" s="5">
        <v>632456</v>
      </c>
      <c r="C89" s="5">
        <v>3109293</v>
      </c>
      <c r="D89" s="5">
        <v>0</v>
      </c>
      <c r="E89" s="5">
        <v>0</v>
      </c>
      <c r="F89" s="5">
        <v>632456</v>
      </c>
      <c r="G89" s="5">
        <v>3109293</v>
      </c>
      <c r="H89" s="14"/>
      <c r="I89" s="14"/>
      <c r="J89" s="14"/>
      <c r="K89" s="14"/>
      <c r="L89" s="86"/>
      <c r="M89" s="86"/>
    </row>
    <row r="90" spans="1:13" x14ac:dyDescent="0.35">
      <c r="A90" s="4" t="s">
        <v>145</v>
      </c>
      <c r="B90" s="5">
        <v>1750836</v>
      </c>
      <c r="C90" s="5">
        <v>8767215</v>
      </c>
      <c r="D90" s="5">
        <v>130040</v>
      </c>
      <c r="E90" s="5">
        <v>612103</v>
      </c>
      <c r="F90" s="5">
        <v>1880876</v>
      </c>
      <c r="G90" s="5">
        <v>9379318</v>
      </c>
      <c r="H90" s="14"/>
      <c r="I90" s="14"/>
      <c r="J90" s="14"/>
      <c r="K90" s="14"/>
      <c r="L90" s="86"/>
      <c r="M90" s="86"/>
    </row>
    <row r="91" spans="1:13" x14ac:dyDescent="0.35">
      <c r="A91" s="4" t="s">
        <v>158</v>
      </c>
      <c r="B91" s="5">
        <v>890773</v>
      </c>
      <c r="C91" s="5">
        <v>4466189</v>
      </c>
      <c r="D91" s="5">
        <v>218999</v>
      </c>
      <c r="E91" s="5">
        <v>852414</v>
      </c>
      <c r="F91" s="5">
        <v>1109772</v>
      </c>
      <c r="G91" s="5">
        <v>5318603</v>
      </c>
      <c r="H91" s="14"/>
      <c r="I91" s="14"/>
      <c r="J91" s="14"/>
      <c r="K91" s="14"/>
      <c r="L91" s="86"/>
      <c r="M91" s="86"/>
    </row>
    <row r="92" spans="1:13" x14ac:dyDescent="0.35">
      <c r="A92" s="4" t="s">
        <v>149</v>
      </c>
      <c r="B92" s="5">
        <v>1985602</v>
      </c>
      <c r="C92" s="5">
        <v>10228666</v>
      </c>
      <c r="D92" s="5">
        <v>346002</v>
      </c>
      <c r="E92" s="5">
        <v>1705505</v>
      </c>
      <c r="F92" s="5">
        <v>2331604</v>
      </c>
      <c r="G92" s="5">
        <v>11934171</v>
      </c>
      <c r="H92" s="14"/>
      <c r="I92" s="14"/>
      <c r="J92" s="14"/>
      <c r="K92" s="14"/>
    </row>
    <row r="93" spans="1:13" x14ac:dyDescent="0.35">
      <c r="A93" s="4" t="s">
        <v>159</v>
      </c>
      <c r="B93" s="5">
        <v>1877223</v>
      </c>
      <c r="C93" s="5">
        <v>10337992</v>
      </c>
      <c r="D93" s="5">
        <v>202650</v>
      </c>
      <c r="E93" s="5">
        <v>1258483</v>
      </c>
      <c r="F93" s="5">
        <v>2079873</v>
      </c>
      <c r="G93" s="5">
        <v>11596475</v>
      </c>
      <c r="H93" s="14"/>
      <c r="I93" s="14"/>
      <c r="J93" s="14"/>
      <c r="K93" s="14"/>
    </row>
    <row r="94" spans="1:13" x14ac:dyDescent="0.35">
      <c r="A94" s="4" t="s">
        <v>160</v>
      </c>
      <c r="B94" s="5">
        <v>1392722</v>
      </c>
      <c r="C94" s="5">
        <v>7221755</v>
      </c>
      <c r="D94" s="5">
        <v>0</v>
      </c>
      <c r="E94" s="5">
        <v>0</v>
      </c>
      <c r="F94" s="5">
        <v>1392722</v>
      </c>
      <c r="G94" s="5">
        <v>7221755</v>
      </c>
      <c r="H94" s="14"/>
      <c r="I94" s="14"/>
      <c r="J94" s="14"/>
      <c r="K94" s="14"/>
    </row>
    <row r="95" spans="1:13" x14ac:dyDescent="0.35">
      <c r="A95" s="4" t="s">
        <v>161</v>
      </c>
      <c r="B95" s="5">
        <v>1277560</v>
      </c>
      <c r="C95" s="5">
        <v>5764098</v>
      </c>
      <c r="D95" s="5">
        <v>0</v>
      </c>
      <c r="E95" s="5">
        <v>0</v>
      </c>
      <c r="F95" s="5">
        <v>1277560</v>
      </c>
      <c r="G95" s="5">
        <v>5764098</v>
      </c>
    </row>
    <row r="96" spans="1:13" x14ac:dyDescent="0.35">
      <c r="A96" s="4" t="s">
        <v>162</v>
      </c>
      <c r="B96" s="5">
        <v>1169129</v>
      </c>
      <c r="C96" s="5">
        <v>5949240</v>
      </c>
      <c r="D96" s="5">
        <v>593362</v>
      </c>
      <c r="E96" s="5">
        <v>2855201</v>
      </c>
      <c r="F96" s="5">
        <v>1762491</v>
      </c>
      <c r="G96" s="5">
        <v>8804441</v>
      </c>
    </row>
    <row r="97" spans="1:9" x14ac:dyDescent="0.35">
      <c r="A97" s="4" t="s">
        <v>163</v>
      </c>
      <c r="B97" s="5">
        <v>1929333</v>
      </c>
      <c r="C97" s="5">
        <v>9417202</v>
      </c>
      <c r="D97" s="5">
        <v>535287</v>
      </c>
      <c r="E97" s="5">
        <v>2992533</v>
      </c>
      <c r="F97" s="5">
        <v>2464620</v>
      </c>
      <c r="G97" s="5">
        <v>12409735</v>
      </c>
    </row>
    <row r="98" spans="1:9" x14ac:dyDescent="0.35">
      <c r="A98" s="4" t="s">
        <v>164</v>
      </c>
      <c r="B98" s="5">
        <v>1015329</v>
      </c>
      <c r="C98" s="5">
        <v>6211547</v>
      </c>
      <c r="D98" s="5">
        <v>0</v>
      </c>
      <c r="E98" s="5">
        <v>0</v>
      </c>
      <c r="F98" s="5">
        <v>1015329</v>
      </c>
      <c r="G98" s="5">
        <v>6211547</v>
      </c>
    </row>
    <row r="99" spans="1:9" x14ac:dyDescent="0.35">
      <c r="A99" s="4" t="s">
        <v>165</v>
      </c>
      <c r="B99" s="5">
        <v>1666949</v>
      </c>
      <c r="C99" s="5">
        <v>8134020</v>
      </c>
      <c r="D99" s="5">
        <v>301552</v>
      </c>
      <c r="E99" s="5">
        <v>1854924</v>
      </c>
      <c r="F99" s="5">
        <v>1968501</v>
      </c>
      <c r="G99" s="5">
        <v>9988944</v>
      </c>
    </row>
    <row r="100" spans="1:9" x14ac:dyDescent="0.35">
      <c r="A100" s="4" t="s">
        <v>140</v>
      </c>
      <c r="B100" s="5">
        <v>16931098</v>
      </c>
      <c r="C100" s="5">
        <v>87485487</v>
      </c>
      <c r="D100" s="5">
        <v>2327892</v>
      </c>
      <c r="E100" s="5">
        <v>12131163</v>
      </c>
      <c r="F100" s="5">
        <v>19258990</v>
      </c>
      <c r="G100" s="5">
        <v>99616650</v>
      </c>
    </row>
    <row r="105" spans="1:9" x14ac:dyDescent="0.35">
      <c r="H105" s="33" t="s">
        <v>183</v>
      </c>
      <c r="I105" s="34" t="str">
        <f ca="1">OFFSET(G118,MATCH(MAX(G118:G124),G118:G124,0)-1,-6) &amp; " (" &amp; MAX(G118:G124) &amp; " km)"</f>
        <v>Rizal (624 km)</v>
      </c>
    </row>
    <row r="106" spans="1:9" x14ac:dyDescent="0.35">
      <c r="H106" s="35" t="s">
        <v>184</v>
      </c>
      <c r="I106" s="36" t="str">
        <f ca="1">OFFSET(F118,MATCH(MAX(F118:F124),F118:F124,0)-1,-5) &amp; " (" &amp; TEXT(MAX(F118:F124)*100, "0") &amp; "%)"</f>
        <v>Slamet (81%)</v>
      </c>
    </row>
    <row r="107" spans="1:9" x14ac:dyDescent="0.35">
      <c r="H107" s="37" t="s">
        <v>185</v>
      </c>
      <c r="I107" s="38" t="str">
        <f ca="1">OFFSET(E118,MATCH(MAX(E118:E124),E118:E124,0)-1,-4) &amp; " (" &amp; TEXT(MAX(E118:E124), "0") &amp; " orders)"</f>
        <v>Andi (18 orders)</v>
      </c>
    </row>
    <row r="114" spans="1:10" x14ac:dyDescent="0.35">
      <c r="H114" s="15"/>
    </row>
    <row r="117" spans="1:10" x14ac:dyDescent="0.35">
      <c r="A117" s="16" t="s">
        <v>179</v>
      </c>
      <c r="B117" s="16" t="s">
        <v>139</v>
      </c>
      <c r="C117" s="16" t="s">
        <v>138</v>
      </c>
      <c r="D117" s="16" t="s">
        <v>137</v>
      </c>
      <c r="E117" s="16" t="s">
        <v>182</v>
      </c>
      <c r="F117" s="16" t="s">
        <v>175</v>
      </c>
      <c r="G117" s="16" t="s">
        <v>180</v>
      </c>
      <c r="H117" s="16" t="s">
        <v>181</v>
      </c>
    </row>
    <row r="118" spans="1:10" ht="29.5" customHeight="1" x14ac:dyDescent="0.35">
      <c r="A118" s="23" t="str">
        <f t="shared" ref="A118:A124" si="5">A129</f>
        <v>Andi</v>
      </c>
      <c r="B118" s="24">
        <f t="shared" ref="B118:D124" si="6">IFERROR(GETPIVOTDATA("Status",$A$127,"Driver",$A118,"Status",B$117),0)</f>
        <v>1</v>
      </c>
      <c r="C118" s="24">
        <f t="shared" si="6"/>
        <v>7</v>
      </c>
      <c r="D118" s="24">
        <f t="shared" si="6"/>
        <v>10</v>
      </c>
      <c r="E118" s="25">
        <f>SUM(tbl_DrivPerf[[#This Row],[Cancelled]:[On-time]])</f>
        <v>18</v>
      </c>
      <c r="F118" s="26">
        <f>IFERROR((tbl_DrivPerf[[#This Row],[On-time]]*2-tbl_DrivPerf[[#This Row],[Late]]+tbl_DrivPerf[[#This Row],[Cancelled]]*0)/(tbl_DrivPerf[[#This Row],[Total Contribution]]*2),0)</f>
        <v>0.3611111111111111</v>
      </c>
      <c r="G118" s="27">
        <f>IFERROR(AVERAGEIF(df_Clean[Driver],tbl_DrivPerf[[#This Row],[Name]],df_Clean[Distance_km]),0)</f>
        <v>472.72222222222223</v>
      </c>
      <c r="H118" s="22" t="str" cm="1">
        <f t="array" ref="H118">_xlfn.IFNA(_xlfn.TEXTJOIN(" ; ",TRUE,INDEX(df_Clean[Route], _xlfn.MODE.MULT(IF(df_Clean[Driver]=tbl_DrivPerf[[#This Row],[Name]], MATCH(df_Clean[Route],df_Clean[Route],0))))), "No Spesific Route Mastery (or No Driver)")</f>
        <v>Surabaya - Surabaya</v>
      </c>
    </row>
    <row r="119" spans="1:10" ht="29.5" customHeight="1" x14ac:dyDescent="0.35">
      <c r="A119" s="23" t="str">
        <f t="shared" si="5"/>
        <v>Eko</v>
      </c>
      <c r="B119" s="24">
        <f t="shared" si="6"/>
        <v>0</v>
      </c>
      <c r="C119" s="24">
        <f t="shared" si="6"/>
        <v>3</v>
      </c>
      <c r="D119" s="24">
        <f t="shared" si="6"/>
        <v>14</v>
      </c>
      <c r="E119" s="25">
        <f>SUM(tbl_DrivPerf[[#This Row],[Cancelled]:[On-time]])</f>
        <v>17</v>
      </c>
      <c r="F119" s="26">
        <f>IFERROR((tbl_DrivPerf[[#This Row],[On-time]]*2-tbl_DrivPerf[[#This Row],[Late]]+tbl_DrivPerf[[#This Row],[Cancelled]]*0)/(tbl_DrivPerf[[#This Row],[Total Contribution]]*2),0)</f>
        <v>0.73529411764705888</v>
      </c>
      <c r="G119" s="27">
        <f>IFERROR(AVERAGEIF(df_Clean[Driver],tbl_DrivPerf[[#This Row],[Name]],df_Clean[Distance_km]),0)</f>
        <v>499.05882352941177</v>
      </c>
      <c r="H119" s="22" t="str" cm="1">
        <f t="array" ref="H119">_xlfn.IFNA(_xlfn.TEXTJOIN(" ; ",TRUE,INDEX(df_Clean[Route], _xlfn.MODE.MULT(IF(df_Clean[Driver]=tbl_DrivPerf[[#This Row],[Name]], MATCH(df_Clean[Route],df_Clean[Route],0))))), "No Spesific Route Mastery (or No Driver)")</f>
        <v>Surabaya - Palembang</v>
      </c>
    </row>
    <row r="120" spans="1:10" ht="29.5" customHeight="1" x14ac:dyDescent="0.35">
      <c r="A120" s="23" t="str">
        <f t="shared" si="5"/>
        <v>Rizal</v>
      </c>
      <c r="B120" s="24">
        <f t="shared" si="6"/>
        <v>1</v>
      </c>
      <c r="C120" s="24">
        <f t="shared" si="6"/>
        <v>3</v>
      </c>
      <c r="D120" s="24">
        <f t="shared" si="6"/>
        <v>12</v>
      </c>
      <c r="E120" s="25">
        <f>SUM(tbl_DrivPerf[[#This Row],[Cancelled]:[On-time]])</f>
        <v>16</v>
      </c>
      <c r="F120" s="26">
        <f>IFERROR((tbl_DrivPerf[[#This Row],[On-time]]*2-tbl_DrivPerf[[#This Row],[Late]]+tbl_DrivPerf[[#This Row],[Cancelled]]*0)/(tbl_DrivPerf[[#This Row],[Total Contribution]]*2),0)</f>
        <v>0.65625</v>
      </c>
      <c r="G120" s="27">
        <f>IFERROR(AVERAGEIF(df_Clean[Driver],tbl_DrivPerf[[#This Row],[Name]],df_Clean[Distance_km]),0)</f>
        <v>624</v>
      </c>
      <c r="H120" s="22" t="str" cm="1">
        <f t="array" ref="H120">_xlfn.IFNA(_xlfn.TEXTJOIN(" ; ",TRUE,INDEX(df_Clean[Route], _xlfn.MODE.MULT(IF(df_Clean[Driver]=tbl_DrivPerf[[#This Row],[Name]], MATCH(df_Clean[Route],df_Clean[Route],0))))), "No Spesific Route Mastery (or No Driver)")</f>
        <v>Semarang - Yogyakarta ; Surabaya - Surabaya</v>
      </c>
    </row>
    <row r="121" spans="1:10" ht="29.5" customHeight="1" x14ac:dyDescent="0.35">
      <c r="A121" s="23" t="str">
        <f t="shared" si="5"/>
        <v>Joko</v>
      </c>
      <c r="B121" s="24">
        <f t="shared" si="6"/>
        <v>0</v>
      </c>
      <c r="C121" s="24">
        <f t="shared" si="6"/>
        <v>4</v>
      </c>
      <c r="D121" s="24">
        <f t="shared" si="6"/>
        <v>12</v>
      </c>
      <c r="E121" s="25">
        <f>SUM(tbl_DrivPerf[[#This Row],[Cancelled]:[On-time]])</f>
        <v>16</v>
      </c>
      <c r="F121" s="26">
        <f>IFERROR((tbl_DrivPerf[[#This Row],[On-time]]*2-tbl_DrivPerf[[#This Row],[Late]]+tbl_DrivPerf[[#This Row],[Cancelled]]*0)/(tbl_DrivPerf[[#This Row],[Total Contribution]]*2),0)</f>
        <v>0.625</v>
      </c>
      <c r="G121" s="27">
        <f>IFERROR(AVERAGEIF(df_Clean[Driver],tbl_DrivPerf[[#This Row],[Name]],df_Clean[Distance_km]),0)</f>
        <v>418.875</v>
      </c>
      <c r="H121" s="22" t="str" cm="1">
        <f t="array" ref="H121">_xlfn.IFNA(_xlfn.TEXTJOIN(" ; ",TRUE,INDEX(df_Clean[Route], _xlfn.MODE.MULT(IF(df_Clean[Driver]=tbl_DrivPerf[[#This Row],[Name]], MATCH(df_Clean[Route],df_Clean[Route],0))))), "No Spesific Route Mastery (or No Driver)")</f>
        <v>Semarang - Bandung ; Medan - Jakarta</v>
      </c>
      <c r="J121" s="21"/>
    </row>
    <row r="122" spans="1:10" ht="29.5" customHeight="1" x14ac:dyDescent="0.35">
      <c r="A122" s="23" t="str">
        <f t="shared" si="5"/>
        <v>Slamet</v>
      </c>
      <c r="B122" s="24">
        <f t="shared" si="6"/>
        <v>1</v>
      </c>
      <c r="C122" s="24">
        <f t="shared" si="6"/>
        <v>1</v>
      </c>
      <c r="D122" s="24">
        <f t="shared" si="6"/>
        <v>11</v>
      </c>
      <c r="E122" s="25">
        <f>SUM(tbl_DrivPerf[[#This Row],[Cancelled]:[On-time]])</f>
        <v>13</v>
      </c>
      <c r="F122" s="26">
        <f>IFERROR((tbl_DrivPerf[[#This Row],[On-time]]*2-tbl_DrivPerf[[#This Row],[Late]]+tbl_DrivPerf[[#This Row],[Cancelled]]*0)/(tbl_DrivPerf[[#This Row],[Total Contribution]]*2),0)</f>
        <v>0.80769230769230771</v>
      </c>
      <c r="G122" s="27">
        <f>IFERROR(AVERAGEIF(df_Clean[Driver],tbl_DrivPerf[[#This Row],[Name]],df_Clean[Distance_km]),0)</f>
        <v>434.23076923076923</v>
      </c>
      <c r="H122" s="22" t="str" cm="1">
        <f t="array" ref="H122">_xlfn.IFNA(_xlfn.TEXTJOIN(" ; ",TRUE,INDEX(df_Clean[Route], _xlfn.MODE.MULT(IF(df_Clean[Driver]=tbl_DrivPerf[[#This Row],[Name]], MATCH(df_Clean[Route],df_Clean[Route],0))))), "No Spesific Route Mastery (or No Driver)")</f>
        <v>Makassar - Denpasar</v>
      </c>
    </row>
    <row r="123" spans="1:10" ht="29.5" customHeight="1" x14ac:dyDescent="0.35">
      <c r="A123" s="23" t="str">
        <f t="shared" si="5"/>
        <v>Budi</v>
      </c>
      <c r="B123" s="24">
        <f t="shared" si="6"/>
        <v>1</v>
      </c>
      <c r="C123" s="24">
        <f t="shared" si="6"/>
        <v>1</v>
      </c>
      <c r="D123" s="24">
        <f t="shared" si="6"/>
        <v>10</v>
      </c>
      <c r="E123" s="25">
        <f>SUM(tbl_DrivPerf[[#This Row],[Cancelled]:[On-time]])</f>
        <v>12</v>
      </c>
      <c r="F123" s="26">
        <f>IFERROR((tbl_DrivPerf[[#This Row],[On-time]]*2-tbl_DrivPerf[[#This Row],[Late]]+tbl_DrivPerf[[#This Row],[Cancelled]]*0)/(tbl_DrivPerf[[#This Row],[Total Contribution]]*2),0)</f>
        <v>0.79166666666666663</v>
      </c>
      <c r="G123" s="27">
        <f>IFERROR(AVERAGEIF(df_Clean[Driver],tbl_DrivPerf[[#This Row],[Name]],df_Clean[Distance_km]),0)</f>
        <v>558.25</v>
      </c>
      <c r="H123" s="22" t="str" cm="1">
        <f t="array" ref="H123">_xlfn.IFNA(_xlfn.TEXTJOIN(" ; ",TRUE,INDEX(df_Clean[Route], _xlfn.MODE.MULT(IF(df_Clean[Driver]=tbl_DrivPerf[[#This Row],[Name]], MATCH(df_Clean[Route],df_Clean[Route],0))))), "No Spesific Route Mastery (or No Driver)")</f>
        <v>Makassar - Denpasar</v>
      </c>
    </row>
    <row r="124" spans="1:10" ht="29.5" customHeight="1" x14ac:dyDescent="0.35">
      <c r="A124" s="71" t="str">
        <f t="shared" si="5"/>
        <v>Tono</v>
      </c>
      <c r="B124" s="72">
        <f t="shared" si="6"/>
        <v>0</v>
      </c>
      <c r="C124" s="72">
        <f t="shared" si="6"/>
        <v>2</v>
      </c>
      <c r="D124" s="72">
        <f t="shared" si="6"/>
        <v>6</v>
      </c>
      <c r="E124" s="73">
        <f>SUM(tbl_DrivPerf[[#This Row],[Cancelled]:[On-time]])</f>
        <v>8</v>
      </c>
      <c r="F124" s="74">
        <f>IFERROR((tbl_DrivPerf[[#This Row],[On-time]]*2-tbl_DrivPerf[[#This Row],[Late]]+tbl_DrivPerf[[#This Row],[Cancelled]]*0)/(tbl_DrivPerf[[#This Row],[Total Contribution]]*2),0)</f>
        <v>0.625</v>
      </c>
      <c r="G124" s="27">
        <f>IFERROR(AVERAGEIF(df_Clean[Driver],tbl_DrivPerf[[#This Row],[Name]],df_Clean[Distance_km]),0)</f>
        <v>450.625</v>
      </c>
      <c r="H124" s="75" t="str" cm="1">
        <f t="array" ref="H124">_xlfn.IFNA(_xlfn.TEXTJOIN(" ; ",TRUE,INDEX(df_Clean[Route], _xlfn.MODE.MULT(IF(df_Clean[Driver]=tbl_DrivPerf[[#This Row],[Name]], MATCH(df_Clean[Route],df_Clean[Route],0))))), "No Spesific Route Mastery (or No Driver)")</f>
        <v>No Spesific Route Mastery (or No Driver)</v>
      </c>
    </row>
    <row r="125" spans="1:10" x14ac:dyDescent="0.35">
      <c r="A125" s="17"/>
      <c r="B125" s="19">
        <f>SUM(B118:B122)</f>
        <v>3</v>
      </c>
      <c r="C125" s="19">
        <f>SUM(C118:C122)</f>
        <v>18</v>
      </c>
      <c r="D125" s="19">
        <f>SUM(D118:D122)</f>
        <v>59</v>
      </c>
      <c r="E125" s="17">
        <f>SUBTOTAL(109,E118:E122)</f>
        <v>80</v>
      </c>
      <c r="F125" s="17"/>
      <c r="G125" s="20"/>
      <c r="H125" s="17"/>
    </row>
    <row r="127" spans="1:10" x14ac:dyDescent="0.35">
      <c r="A127" s="3" t="s">
        <v>173</v>
      </c>
      <c r="B127" s="3" t="s">
        <v>9</v>
      </c>
      <c r="G127" t="s">
        <v>176</v>
      </c>
    </row>
    <row r="128" spans="1:10" x14ac:dyDescent="0.35">
      <c r="A128" s="3" t="s">
        <v>179</v>
      </c>
      <c r="B128" t="s">
        <v>139</v>
      </c>
      <c r="C128" t="s">
        <v>138</v>
      </c>
      <c r="D128" t="s">
        <v>137</v>
      </c>
      <c r="E128" t="s">
        <v>174</v>
      </c>
    </row>
    <row r="129" spans="1:5" x14ac:dyDescent="0.35">
      <c r="A129" s="4" t="s">
        <v>131</v>
      </c>
      <c r="B129" s="5">
        <v>1</v>
      </c>
      <c r="C129" s="5">
        <v>7</v>
      </c>
      <c r="D129" s="5">
        <v>10</v>
      </c>
      <c r="E129" s="5">
        <v>18</v>
      </c>
    </row>
    <row r="130" spans="1:5" x14ac:dyDescent="0.35">
      <c r="A130" s="4" t="s">
        <v>133</v>
      </c>
      <c r="B130" s="5">
        <v>0</v>
      </c>
      <c r="C130" s="5">
        <v>3</v>
      </c>
      <c r="D130" s="5">
        <v>14</v>
      </c>
      <c r="E130" s="5">
        <v>17</v>
      </c>
    </row>
    <row r="131" spans="1:5" x14ac:dyDescent="0.35">
      <c r="A131" s="4" t="s">
        <v>135</v>
      </c>
      <c r="B131" s="5">
        <v>1</v>
      </c>
      <c r="C131" s="5">
        <v>3</v>
      </c>
      <c r="D131" s="5">
        <v>12</v>
      </c>
      <c r="E131" s="5">
        <v>16</v>
      </c>
    </row>
    <row r="132" spans="1:5" x14ac:dyDescent="0.35">
      <c r="A132" s="4" t="s">
        <v>130</v>
      </c>
      <c r="B132" s="5">
        <v>0</v>
      </c>
      <c r="C132" s="5">
        <v>4</v>
      </c>
      <c r="D132" s="5">
        <v>12</v>
      </c>
      <c r="E132" s="5">
        <v>16</v>
      </c>
    </row>
    <row r="133" spans="1:5" x14ac:dyDescent="0.35">
      <c r="A133" s="4" t="s">
        <v>136</v>
      </c>
      <c r="B133" s="5">
        <v>1</v>
      </c>
      <c r="C133" s="5">
        <v>1</v>
      </c>
      <c r="D133" s="5">
        <v>11</v>
      </c>
      <c r="E133" s="5">
        <v>13</v>
      </c>
    </row>
    <row r="134" spans="1:5" x14ac:dyDescent="0.35">
      <c r="A134" s="4" t="s">
        <v>134</v>
      </c>
      <c r="B134" s="5">
        <v>1</v>
      </c>
      <c r="C134" s="5">
        <v>1</v>
      </c>
      <c r="D134" s="5">
        <v>10</v>
      </c>
      <c r="E134" s="5">
        <v>12</v>
      </c>
    </row>
    <row r="135" spans="1:5" x14ac:dyDescent="0.35">
      <c r="A135" s="4" t="s">
        <v>132</v>
      </c>
      <c r="B135" s="5">
        <v>0</v>
      </c>
      <c r="C135" s="5">
        <v>2</v>
      </c>
      <c r="D135" s="5">
        <v>6</v>
      </c>
      <c r="E135" s="5">
        <v>8</v>
      </c>
    </row>
    <row r="136" spans="1:5" x14ac:dyDescent="0.35">
      <c r="A136" s="4" t="s">
        <v>174</v>
      </c>
      <c r="B136" s="5">
        <v>4</v>
      </c>
      <c r="C136" s="5">
        <v>21</v>
      </c>
      <c r="D136" s="5">
        <v>75</v>
      </c>
      <c r="E136" s="5">
        <v>100</v>
      </c>
    </row>
  </sheetData>
  <dataConsolidate/>
  <mergeCells count="6">
    <mergeCell ref="B86:C86"/>
    <mergeCell ref="D86:E86"/>
    <mergeCell ref="F86:F87"/>
    <mergeCell ref="G86:G87"/>
    <mergeCell ref="G20:K26"/>
    <mergeCell ref="L85:M91"/>
  </mergeCells>
  <phoneticPr fontId="4" type="noConversion"/>
  <conditionalFormatting sqref="G118:G124">
    <cfRule type="dataBar" priority="5">
      <dataBar>
        <cfvo type="min"/>
        <cfvo type="max"/>
        <color theme="0" tint="-0.249977111117893"/>
      </dataBar>
      <extLst>
        <ext xmlns:x14="http://schemas.microsoft.com/office/spreadsheetml/2009/9/main" uri="{B025F937-C7B1-47D3-B67F-A62EFF666E3E}">
          <x14:id>{8CCE0F64-038A-42F6-B45E-D37E27CF70A9}</x14:id>
        </ext>
      </extLst>
    </cfRule>
  </conditionalFormatting>
  <conditionalFormatting sqref="F118:F124">
    <cfRule type="dataBar" priority="3">
      <dataBar>
        <cfvo type="min"/>
        <cfvo type="max"/>
        <color theme="0" tint="-0.14999847407452621"/>
      </dataBar>
      <extLst>
        <ext xmlns:x14="http://schemas.microsoft.com/office/spreadsheetml/2009/9/main" uri="{B025F937-C7B1-47D3-B67F-A62EFF666E3E}">
          <x14:id>{1F37F8BE-B869-4420-8E26-A897755C51A0}</x14:id>
        </ext>
      </extLst>
    </cfRule>
  </conditionalFormatting>
  <pageMargins left="0.7" right="0.7" top="0.75" bottom="0.75" header="0.3" footer="0.3"/>
  <pageSetup orientation="portrait" r:id="rId7"/>
  <ignoredErrors>
    <ignoredError sqref="B81" calculatedColumn="1"/>
  </ignoredErrors>
  <drawing r:id="rId8"/>
  <tableParts count="2">
    <tablePart r:id="rId9"/>
    <tablePart r:id="rId10"/>
  </tableParts>
  <extLst>
    <ext xmlns:x14="http://schemas.microsoft.com/office/spreadsheetml/2009/9/main" uri="{78C0D931-6437-407d-A8EE-F0AAD7539E65}">
      <x14:conditionalFormattings>
        <x14:conditionalFormatting xmlns:xm="http://schemas.microsoft.com/office/excel/2006/main">
          <x14:cfRule type="dataBar" id="{8CCE0F64-038A-42F6-B45E-D37E27CF70A9}">
            <x14:dataBar minLength="0" maxLength="100" gradient="0" direction="rightToLeft">
              <x14:cfvo type="autoMin"/>
              <x14:cfvo type="autoMax"/>
              <x14:negativeFillColor rgb="FFFF0000"/>
              <x14:axisColor rgb="FF000000"/>
            </x14:dataBar>
          </x14:cfRule>
          <xm:sqref>G118:G124</xm:sqref>
        </x14:conditionalFormatting>
        <x14:conditionalFormatting xmlns:xm="http://schemas.microsoft.com/office/excel/2006/main">
          <x14:cfRule type="dataBar" id="{1F37F8BE-B869-4420-8E26-A897755C51A0}">
            <x14:dataBar minLength="0" maxLength="100" gradient="0" direction="leftToRight">
              <x14:cfvo type="autoMin"/>
              <x14:cfvo type="autoMax"/>
              <x14:negativeFillColor rgb="FFFF0000"/>
              <x14:axisColor rgb="FF000000"/>
            </x14:dataBar>
          </x14:cfRule>
          <xm:sqref>F118:F124</xm:sqref>
        </x14:conditionalFormatting>
        <x14:conditionalFormatting xmlns:xm="http://schemas.microsoft.com/office/excel/2006/main">
          <x14:cfRule type="iconSet" priority="4" id="{D53C9B2F-EAD4-406D-B300-1BD3BF5EFB43}">
            <x14:iconSet iconSet="3Triangles">
              <x14:cfvo type="percent">
                <xm:f>0</xm:f>
              </x14:cfvo>
              <x14:cfvo type="percent">
                <xm:f>33</xm:f>
              </x14:cfvo>
              <x14:cfvo type="percent">
                <xm:f>67</xm:f>
              </x14:cfvo>
            </x14:iconSet>
          </x14:cfRule>
          <xm:sqref>J69:J80</xm:sqref>
        </x14:conditionalFormatting>
        <x14:conditionalFormatting xmlns:xm="http://schemas.microsoft.com/office/excel/2006/main">
          <x14:cfRule type="iconSet" priority="2" id="{7FBB376C-39B7-4A78-923E-DD62F963E18B}">
            <x14:iconSet iconSet="3Triangles">
              <x14:cfvo type="percent">
                <xm:f>0</xm:f>
              </x14:cfvo>
              <x14:cfvo type="percent">
                <xm:f>33</xm:f>
              </x14:cfvo>
              <x14:cfvo type="percent">
                <xm:f>67</xm:f>
              </x14:cfvo>
            </x14:iconSet>
          </x14:cfRule>
          <xm:sqref>H69:H80</xm:sqref>
        </x14:conditionalFormatting>
        <x14:conditionalFormatting xmlns:xm="http://schemas.microsoft.com/office/excel/2006/main">
          <x14:cfRule type="iconSet" priority="1" id="{6BFC6EC6-F230-48E4-8E76-94A76A754660}">
            <x14:iconSet iconSet="3Triangles">
              <x14:cfvo type="percent">
                <xm:f>0</xm:f>
              </x14:cfvo>
              <x14:cfvo type="percent">
                <xm:f>33</xm:f>
              </x14:cfvo>
              <x14:cfvo type="percent">
                <xm:f>67</xm:f>
              </x14:cfvo>
            </x14:iconSet>
          </x14:cfRule>
          <xm:sqref>I69:I80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1B45B-A743-44B7-B80C-D2400BE7FE2F}">
  <sheetPr codeName="Sheet4"/>
  <dimension ref="A16:Q88"/>
  <sheetViews>
    <sheetView showGridLines="0" zoomScale="115" zoomScaleNormal="115" workbookViewId="0">
      <selection activeCell="B80" sqref="B80"/>
    </sheetView>
  </sheetViews>
  <sheetFormatPr defaultRowHeight="14.5" x14ac:dyDescent="0.35"/>
  <cols>
    <col min="1" max="1" width="24.1796875" bestFit="1" customWidth="1"/>
    <col min="2" max="2" width="15.26953125" bestFit="1" customWidth="1"/>
    <col min="3" max="3" width="10.7265625" bestFit="1" customWidth="1"/>
    <col min="4" max="4" width="4.81640625" bestFit="1" customWidth="1"/>
    <col min="5" max="5" width="7.7265625" bestFit="1" customWidth="1"/>
    <col min="6" max="6" width="10.7265625" bestFit="1" customWidth="1"/>
    <col min="7" max="7" width="11.6328125" bestFit="1" customWidth="1"/>
    <col min="8" max="8" width="12.26953125" bestFit="1" customWidth="1"/>
    <col min="9" max="9" width="14.90625" bestFit="1" customWidth="1"/>
    <col min="10" max="10" width="10.7265625" bestFit="1" customWidth="1"/>
    <col min="11" max="11" width="13.36328125" bestFit="1" customWidth="1"/>
    <col min="12" max="12" width="12.26953125" bestFit="1" customWidth="1"/>
    <col min="13" max="13" width="7.7265625" bestFit="1" customWidth="1"/>
    <col min="14" max="14" width="14.90625" bestFit="1" customWidth="1"/>
    <col min="15" max="15" width="10.7265625" bestFit="1" customWidth="1"/>
    <col min="16" max="16" width="4.453125" bestFit="1" customWidth="1"/>
    <col min="17" max="17" width="7.7265625" bestFit="1" customWidth="1"/>
    <col min="18" max="18" width="13.36328125" bestFit="1" customWidth="1"/>
    <col min="19" max="19" width="12.453125" bestFit="1" customWidth="1"/>
    <col min="20" max="20" width="7.7265625" bestFit="1" customWidth="1"/>
    <col min="21" max="21" width="15" bestFit="1" customWidth="1"/>
    <col min="22" max="22" width="8.54296875" bestFit="1" customWidth="1"/>
    <col min="23" max="23" width="9" bestFit="1" customWidth="1"/>
    <col min="24" max="24" width="6.90625" bestFit="1" customWidth="1"/>
    <col min="25" max="25" width="10.26953125" bestFit="1" customWidth="1"/>
    <col min="26" max="26" width="8.6328125" bestFit="1" customWidth="1"/>
    <col min="27" max="27" width="10.36328125" bestFit="1" customWidth="1"/>
    <col min="28" max="28" width="11.6328125" bestFit="1" customWidth="1"/>
    <col min="29" max="29" width="10.90625" bestFit="1" customWidth="1"/>
    <col min="30" max="30" width="9" bestFit="1" customWidth="1"/>
    <col min="31" max="31" width="6.90625" bestFit="1" customWidth="1"/>
    <col min="32" max="32" width="10.26953125" bestFit="1" customWidth="1"/>
    <col min="33" max="33" width="8.6328125" bestFit="1" customWidth="1"/>
    <col min="34" max="34" width="10.36328125" bestFit="1" customWidth="1"/>
    <col min="35" max="35" width="14.08984375" bestFit="1" customWidth="1"/>
    <col min="36" max="36" width="10.36328125" bestFit="1" customWidth="1"/>
    <col min="37" max="37" width="9" bestFit="1" customWidth="1"/>
    <col min="38" max="38" width="6.90625" bestFit="1" customWidth="1"/>
    <col min="39" max="39" width="10.26953125" bestFit="1" customWidth="1"/>
    <col min="40" max="40" width="8.6328125" bestFit="1" customWidth="1"/>
    <col min="41" max="41" width="10.36328125" bestFit="1" customWidth="1"/>
    <col min="42" max="42" width="13.36328125" bestFit="1" customWidth="1"/>
    <col min="43" max="43" width="10.81640625" bestFit="1" customWidth="1"/>
  </cols>
  <sheetData>
    <row r="16" spans="1:9" x14ac:dyDescent="0.35">
      <c r="A16" s="16" t="s">
        <v>146</v>
      </c>
      <c r="B16" s="80" t="s">
        <v>139</v>
      </c>
      <c r="C16" s="16" t="s">
        <v>138</v>
      </c>
      <c r="D16" s="16" t="s">
        <v>137</v>
      </c>
      <c r="E16" s="16" t="s">
        <v>174</v>
      </c>
      <c r="F16" s="43" t="s">
        <v>195</v>
      </c>
      <c r="G16" s="43" t="s">
        <v>204</v>
      </c>
      <c r="H16" s="43" t="s">
        <v>205</v>
      </c>
      <c r="I16" s="43" t="s">
        <v>147</v>
      </c>
    </row>
    <row r="17" spans="1:9" x14ac:dyDescent="0.35">
      <c r="A17" s="40" t="s">
        <v>143</v>
      </c>
      <c r="B17" s="77">
        <f>IFERROR(GETPIVOTDATA("OrderID",$A$33,"Status",tblOTRate[[#Headers],[Cancelled]],"Months",tblOTRate[[#This Row],[Months]])/tblOTRate[[#This Row],[Total Order]],NA())</f>
        <v>0</v>
      </c>
      <c r="C17" s="77">
        <f>IFERROR(GETPIVOTDATA("OrderID",$A$33,"Status",tblOTRate[[#Headers],[Late]],"Months",tblOTRate[[#This Row],[Months]])/tblOTRate[[#This Row],[Total Order]],NA())</f>
        <v>0.3</v>
      </c>
      <c r="D17" s="77">
        <f>IFERROR(GETPIVOTDATA("OrderID",$A$33,"Status",tblOTRate[[#Headers],[On-time]],"Months",tblOTRate[[#This Row],[Months]])/tblOTRate[[#This Row],[Total Order]],NA())</f>
        <v>0.7</v>
      </c>
      <c r="E17" s="81">
        <f>IFERROR(GETPIVOTDATA("OrderID",$A$33,"Months",tblOTRate[[#This Row],[Months]]),NA())</f>
        <v>10</v>
      </c>
      <c r="F17" s="44">
        <f>1-tblOTRate[[#This Row],[On-time]]</f>
        <v>0.30000000000000004</v>
      </c>
      <c r="G17" s="44">
        <f>1-tblOTRate[[#This Row],[Late]]</f>
        <v>0.7</v>
      </c>
      <c r="H17" s="44">
        <f>1-tblOTRate[[#This Row],[Cancelled]]</f>
        <v>1</v>
      </c>
      <c r="I17" s="44">
        <v>1</v>
      </c>
    </row>
    <row r="18" spans="1:9" x14ac:dyDescent="0.35">
      <c r="A18" s="40" t="s">
        <v>144</v>
      </c>
      <c r="B18" s="77">
        <f>IFERROR(GETPIVOTDATA("OrderID",$A$33,"Status",tblOTRate[[#Headers],[Cancelled]],"Months",tblOTRate[[#This Row],[Months]])/tblOTRate[[#This Row],[Total Order]],NA())</f>
        <v>0</v>
      </c>
      <c r="C18" s="77">
        <f>IFERROR(GETPIVOTDATA("OrderID",$A$33,"Status",tblOTRate[[#Headers],[Late]],"Months",tblOTRate[[#This Row],[Months]])/tblOTRate[[#This Row],[Total Order]],NA())</f>
        <v>0</v>
      </c>
      <c r="D18" s="77">
        <f>IFERROR(GETPIVOTDATA("OrderID",$A$33,"Status",tblOTRate[[#Headers],[On-time]],"Months",tblOTRate[[#This Row],[Months]])/tblOTRate[[#This Row],[Total Order]],NA())</f>
        <v>1</v>
      </c>
      <c r="E18" s="81">
        <f>IFERROR(GETPIVOTDATA("OrderID",$A$33,"Months",tblOTRate[[#This Row],[Months]]),NA())</f>
        <v>4</v>
      </c>
      <c r="F18" s="44">
        <f>1-tblOTRate[[#This Row],[On-time]]</f>
        <v>0</v>
      </c>
      <c r="G18" s="44">
        <f>1-tblOTRate[[#This Row],[Late]]</f>
        <v>1</v>
      </c>
      <c r="H18" s="44">
        <f>1-tblOTRate[[#This Row],[Cancelled]]</f>
        <v>1</v>
      </c>
      <c r="I18" s="44">
        <v>1</v>
      </c>
    </row>
    <row r="19" spans="1:9" x14ac:dyDescent="0.35">
      <c r="A19" s="40" t="s">
        <v>145</v>
      </c>
      <c r="B19" s="77">
        <f>IFERROR(GETPIVOTDATA("OrderID",$A$33,"Status",tblOTRate[[#Headers],[Cancelled]],"Months",tblOTRate[[#This Row],[Months]])/tblOTRate[[#This Row],[Total Order]],NA())</f>
        <v>0</v>
      </c>
      <c r="C19" s="77">
        <f>IFERROR(GETPIVOTDATA("OrderID",$A$33,"Status",tblOTRate[[#Headers],[Late]],"Months",tblOTRate[[#This Row],[Months]])/tblOTRate[[#This Row],[Total Order]],NA())</f>
        <v>0.2</v>
      </c>
      <c r="D19" s="77">
        <f>IFERROR(GETPIVOTDATA("OrderID",$A$33,"Status",tblOTRate[[#Headers],[On-time]],"Months",tblOTRate[[#This Row],[Months]])/tblOTRate[[#This Row],[Total Order]],NA())</f>
        <v>0.8</v>
      </c>
      <c r="E19" s="81">
        <f>IFERROR(GETPIVOTDATA("OrderID",$A$33,"Months",tblOTRate[[#This Row],[Months]]),NA())</f>
        <v>10</v>
      </c>
      <c r="F19" s="44">
        <f>1-tblOTRate[[#This Row],[On-time]]</f>
        <v>0.19999999999999996</v>
      </c>
      <c r="G19" s="44">
        <f>1-tblOTRate[[#This Row],[Late]]</f>
        <v>0.8</v>
      </c>
      <c r="H19" s="44">
        <f>1-tblOTRate[[#This Row],[Cancelled]]</f>
        <v>1</v>
      </c>
      <c r="I19" s="44">
        <v>1</v>
      </c>
    </row>
    <row r="20" spans="1:9" x14ac:dyDescent="0.35">
      <c r="A20" s="40" t="s">
        <v>158</v>
      </c>
      <c r="B20" s="77">
        <f>IFERROR(GETPIVOTDATA("OrderID",$A$33,"Status",tblOTRate[[#Headers],[Cancelled]],"Months",tblOTRate[[#This Row],[Months]])/tblOTRate[[#This Row],[Total Order]],NA())</f>
        <v>0</v>
      </c>
      <c r="C20" s="77">
        <f>IFERROR(GETPIVOTDATA("OrderID",$A$33,"Status",tblOTRate[[#Headers],[Late]],"Months",tblOTRate[[#This Row],[Months]])/tblOTRate[[#This Row],[Total Order]],NA())</f>
        <v>0.33333333333333331</v>
      </c>
      <c r="D20" s="77">
        <f>IFERROR(GETPIVOTDATA("OrderID",$A$33,"Status",tblOTRate[[#Headers],[On-time]],"Months",tblOTRate[[#This Row],[Months]])/tblOTRate[[#This Row],[Total Order]],NA())</f>
        <v>0.66666666666666663</v>
      </c>
      <c r="E20" s="81">
        <f>IFERROR(GETPIVOTDATA("OrderID",$A$33,"Months",tblOTRate[[#This Row],[Months]]),NA())</f>
        <v>6</v>
      </c>
      <c r="F20" s="44">
        <f>1-tblOTRate[[#This Row],[On-time]]</f>
        <v>0.33333333333333337</v>
      </c>
      <c r="G20" s="44">
        <f>1-tblOTRate[[#This Row],[Late]]</f>
        <v>0.66666666666666674</v>
      </c>
      <c r="H20" s="44">
        <f>1-tblOTRate[[#This Row],[Cancelled]]</f>
        <v>1</v>
      </c>
      <c r="I20" s="44">
        <v>1</v>
      </c>
    </row>
    <row r="21" spans="1:9" x14ac:dyDescent="0.35">
      <c r="A21" s="40" t="s">
        <v>149</v>
      </c>
      <c r="B21" s="77">
        <f>IFERROR(GETPIVOTDATA("OrderID",$A$33,"Status",tblOTRate[[#Headers],[Cancelled]],"Months",tblOTRate[[#This Row],[Months]])/tblOTRate[[#This Row],[Total Order]],NA())</f>
        <v>0.16666666666666666</v>
      </c>
      <c r="C21" s="77">
        <f>IFERROR(GETPIVOTDATA("OrderID",$A$33,"Status",tblOTRate[[#Headers],[Late]],"Months",tblOTRate[[#This Row],[Months]])/tblOTRate[[#This Row],[Total Order]],NA())</f>
        <v>0</v>
      </c>
      <c r="D21" s="77">
        <f>IFERROR(GETPIVOTDATA("OrderID",$A$33,"Status",tblOTRate[[#Headers],[On-time]],"Months",tblOTRate[[#This Row],[Months]])/tblOTRate[[#This Row],[Total Order]],NA())</f>
        <v>0.83333333333333337</v>
      </c>
      <c r="E21" s="81">
        <f>IFERROR(GETPIVOTDATA("OrderID",$A$33,"Months",tblOTRate[[#This Row],[Months]]),NA())</f>
        <v>12</v>
      </c>
      <c r="F21" s="44">
        <f>1-tblOTRate[[#This Row],[On-time]]</f>
        <v>0.16666666666666663</v>
      </c>
      <c r="G21" s="44">
        <f>1-tblOTRate[[#This Row],[Late]]</f>
        <v>1</v>
      </c>
      <c r="H21" s="44">
        <f>1-tblOTRate[[#This Row],[Cancelled]]</f>
        <v>0.83333333333333337</v>
      </c>
      <c r="I21" s="44">
        <v>1</v>
      </c>
    </row>
    <row r="22" spans="1:9" x14ac:dyDescent="0.35">
      <c r="A22" s="40" t="s">
        <v>159</v>
      </c>
      <c r="B22" s="77">
        <f>IFERROR(GETPIVOTDATA("OrderID",$A$33,"Status",tblOTRate[[#Headers],[Cancelled]],"Months",tblOTRate[[#This Row],[Months]])/tblOTRate[[#This Row],[Total Order]],NA())</f>
        <v>0</v>
      </c>
      <c r="C22" s="77">
        <f>IFERROR(GETPIVOTDATA("OrderID",$A$33,"Status",tblOTRate[[#Headers],[Late]],"Months",tblOTRate[[#This Row],[Months]])/tblOTRate[[#This Row],[Total Order]],NA())</f>
        <v>0.22222222222222221</v>
      </c>
      <c r="D22" s="77">
        <f>IFERROR(GETPIVOTDATA("OrderID",$A$33,"Status",tblOTRate[[#Headers],[On-time]],"Months",tblOTRate[[#This Row],[Months]])/tblOTRate[[#This Row],[Total Order]],NA())</f>
        <v>0.77777777777777779</v>
      </c>
      <c r="E22" s="81">
        <f>IFERROR(GETPIVOTDATA("OrderID",$A$33,"Months",tblOTRate[[#This Row],[Months]]),NA())</f>
        <v>9</v>
      </c>
      <c r="F22" s="44">
        <f>1-tblOTRate[[#This Row],[On-time]]</f>
        <v>0.22222222222222221</v>
      </c>
      <c r="G22" s="44">
        <f>1-tblOTRate[[#This Row],[Late]]</f>
        <v>0.77777777777777779</v>
      </c>
      <c r="H22" s="44">
        <f>1-tblOTRate[[#This Row],[Cancelled]]</f>
        <v>1</v>
      </c>
      <c r="I22" s="44">
        <v>1</v>
      </c>
    </row>
    <row r="23" spans="1:9" x14ac:dyDescent="0.35">
      <c r="A23" s="40" t="s">
        <v>160</v>
      </c>
      <c r="B23" s="77">
        <f>IFERROR(GETPIVOTDATA("OrderID",$A$33,"Status",tblOTRate[[#Headers],[Cancelled]],"Months",tblOTRate[[#This Row],[Months]])/tblOTRate[[#This Row],[Total Order]],NA())</f>
        <v>0</v>
      </c>
      <c r="C23" s="77">
        <f>IFERROR(GETPIVOTDATA("OrderID",$A$33,"Status",tblOTRate[[#Headers],[Late]],"Months",tblOTRate[[#This Row],[Months]])/tblOTRate[[#This Row],[Total Order]],NA())</f>
        <v>0.2857142857142857</v>
      </c>
      <c r="D23" s="77">
        <f>IFERROR(GETPIVOTDATA("OrderID",$A$33,"Status",tblOTRate[[#Headers],[On-time]],"Months",tblOTRate[[#This Row],[Months]])/tblOTRate[[#This Row],[Total Order]],NA())</f>
        <v>0.7142857142857143</v>
      </c>
      <c r="E23" s="81">
        <f>IFERROR(GETPIVOTDATA("OrderID",$A$33,"Months",tblOTRate[[#This Row],[Months]]),NA())</f>
        <v>7</v>
      </c>
      <c r="F23" s="44">
        <f>1-tblOTRate[[#This Row],[On-time]]</f>
        <v>0.2857142857142857</v>
      </c>
      <c r="G23" s="44">
        <f>1-tblOTRate[[#This Row],[Late]]</f>
        <v>0.7142857142857143</v>
      </c>
      <c r="H23" s="44">
        <f>1-tblOTRate[[#This Row],[Cancelled]]</f>
        <v>1</v>
      </c>
      <c r="I23" s="44">
        <v>1</v>
      </c>
    </row>
    <row r="24" spans="1:9" x14ac:dyDescent="0.35">
      <c r="A24" s="40" t="s">
        <v>161</v>
      </c>
      <c r="B24" s="77">
        <f>IFERROR(GETPIVOTDATA("OrderID",$A$33,"Status",tblOTRate[[#Headers],[Cancelled]],"Months",tblOTRate[[#This Row],[Months]])/tblOTRate[[#This Row],[Total Order]],NA())</f>
        <v>0.14285714285714285</v>
      </c>
      <c r="C24" s="77">
        <f>IFERROR(GETPIVOTDATA("OrderID",$A$33,"Status",tblOTRate[[#Headers],[Late]],"Months",tblOTRate[[#This Row],[Months]])/tblOTRate[[#This Row],[Total Order]],NA())</f>
        <v>0.14285714285714285</v>
      </c>
      <c r="D24" s="77">
        <f>IFERROR(GETPIVOTDATA("OrderID",$A$33,"Status",tblOTRate[[#Headers],[On-time]],"Months",tblOTRate[[#This Row],[Months]])/tblOTRate[[#This Row],[Total Order]],NA())</f>
        <v>0.7142857142857143</v>
      </c>
      <c r="E24" s="81">
        <f>IFERROR(GETPIVOTDATA("OrderID",$A$33,"Months",tblOTRate[[#This Row],[Months]]),NA())</f>
        <v>7</v>
      </c>
      <c r="F24" s="44">
        <f>1-tblOTRate[[#This Row],[On-time]]</f>
        <v>0.2857142857142857</v>
      </c>
      <c r="G24" s="44">
        <f>1-tblOTRate[[#This Row],[Late]]</f>
        <v>0.85714285714285721</v>
      </c>
      <c r="H24" s="44">
        <f>1-tblOTRate[[#This Row],[Cancelled]]</f>
        <v>0.85714285714285721</v>
      </c>
      <c r="I24" s="44">
        <v>1</v>
      </c>
    </row>
    <row r="25" spans="1:9" x14ac:dyDescent="0.35">
      <c r="A25" s="40" t="s">
        <v>162</v>
      </c>
      <c r="B25" s="77">
        <f>IFERROR(GETPIVOTDATA("OrderID",$A$33,"Status",tblOTRate[[#Headers],[Cancelled]],"Months",tblOTRate[[#This Row],[Months]])/tblOTRate[[#This Row],[Total Order]],NA())</f>
        <v>0.1111111111111111</v>
      </c>
      <c r="C25" s="77">
        <f>IFERROR(GETPIVOTDATA("OrderID",$A$33,"Status",tblOTRate[[#Headers],[Late]],"Months",tblOTRate[[#This Row],[Months]])/tblOTRate[[#This Row],[Total Order]],NA())</f>
        <v>0.22222222222222221</v>
      </c>
      <c r="D25" s="77">
        <f>IFERROR(GETPIVOTDATA("OrderID",$A$33,"Status",tblOTRate[[#Headers],[On-time]],"Months",tblOTRate[[#This Row],[Months]])/tblOTRate[[#This Row],[Total Order]],NA())</f>
        <v>0.66666666666666663</v>
      </c>
      <c r="E25" s="81">
        <f>IFERROR(GETPIVOTDATA("OrderID",$A$33,"Months",tblOTRate[[#This Row],[Months]]),NA())</f>
        <v>9</v>
      </c>
      <c r="F25" s="44">
        <f>1-tblOTRate[[#This Row],[On-time]]</f>
        <v>0.33333333333333337</v>
      </c>
      <c r="G25" s="44">
        <f>1-tblOTRate[[#This Row],[Late]]</f>
        <v>0.77777777777777779</v>
      </c>
      <c r="H25" s="44">
        <f>1-tblOTRate[[#This Row],[Cancelled]]</f>
        <v>0.88888888888888884</v>
      </c>
      <c r="I25" s="44">
        <v>1</v>
      </c>
    </row>
    <row r="26" spans="1:9" x14ac:dyDescent="0.35">
      <c r="A26" s="40" t="s">
        <v>163</v>
      </c>
      <c r="B26" s="77">
        <f>IFERROR(GETPIVOTDATA("OrderID",$A$33,"Status",tblOTRate[[#Headers],[Cancelled]],"Months",tblOTRate[[#This Row],[Months]])/tblOTRate[[#This Row],[Total Order]],NA())</f>
        <v>0</v>
      </c>
      <c r="C26" s="77">
        <f>IFERROR(GETPIVOTDATA("OrderID",$A$33,"Status",tblOTRate[[#Headers],[Late]],"Months",tblOTRate[[#This Row],[Months]])/tblOTRate[[#This Row],[Total Order]],NA())</f>
        <v>0.16666666666666666</v>
      </c>
      <c r="D26" s="77">
        <f>IFERROR(GETPIVOTDATA("OrderID",$A$33,"Status",tblOTRate[[#Headers],[On-time]],"Months",tblOTRate[[#This Row],[Months]])/tblOTRate[[#This Row],[Total Order]],NA())</f>
        <v>0.83333333333333337</v>
      </c>
      <c r="E26" s="81">
        <f>IFERROR(GETPIVOTDATA("OrderID",$A$33,"Months",tblOTRate[[#This Row],[Months]]),NA())</f>
        <v>12</v>
      </c>
      <c r="F26" s="44">
        <f>1-tblOTRate[[#This Row],[On-time]]</f>
        <v>0.16666666666666663</v>
      </c>
      <c r="G26" s="44">
        <f>1-tblOTRate[[#This Row],[Late]]</f>
        <v>0.83333333333333337</v>
      </c>
      <c r="H26" s="44">
        <f>1-tblOTRate[[#This Row],[Cancelled]]</f>
        <v>1</v>
      </c>
      <c r="I26" s="44">
        <v>1</v>
      </c>
    </row>
    <row r="27" spans="1:9" x14ac:dyDescent="0.35">
      <c r="A27" s="40" t="s">
        <v>164</v>
      </c>
      <c r="B27" s="77">
        <f>IFERROR(GETPIVOTDATA("OrderID",$A$33,"Status",tblOTRate[[#Headers],[Cancelled]],"Months",tblOTRate[[#This Row],[Months]])/tblOTRate[[#This Row],[Total Order]],NA())</f>
        <v>0</v>
      </c>
      <c r="C27" s="77">
        <f>IFERROR(GETPIVOTDATA("OrderID",$A$33,"Status",tblOTRate[[#Headers],[Late]],"Months",tblOTRate[[#This Row],[Months]])/tblOTRate[[#This Row],[Total Order]],NA())</f>
        <v>0.4</v>
      </c>
      <c r="D27" s="77">
        <f>IFERROR(GETPIVOTDATA("OrderID",$A$33,"Status",tblOTRate[[#Headers],[On-time]],"Months",tblOTRate[[#This Row],[Months]])/tblOTRate[[#This Row],[Total Order]],NA())</f>
        <v>0.6</v>
      </c>
      <c r="E27" s="81">
        <f>IFERROR(GETPIVOTDATA("OrderID",$A$33,"Months",tblOTRate[[#This Row],[Months]]),NA())</f>
        <v>5</v>
      </c>
      <c r="F27" s="44">
        <f>1-tblOTRate[[#This Row],[On-time]]</f>
        <v>0.4</v>
      </c>
      <c r="G27" s="44">
        <f>1-tblOTRate[[#This Row],[Late]]</f>
        <v>0.6</v>
      </c>
      <c r="H27" s="44">
        <f>1-tblOTRate[[#This Row],[Cancelled]]</f>
        <v>1</v>
      </c>
      <c r="I27" s="44">
        <v>1</v>
      </c>
    </row>
    <row r="28" spans="1:9" x14ac:dyDescent="0.35">
      <c r="A28" s="40" t="s">
        <v>165</v>
      </c>
      <c r="B28" s="77">
        <f>IFERROR(GETPIVOTDATA("OrderID",$A$33,"Status",tblOTRate[[#Headers],[Cancelled]],"Months",tblOTRate[[#This Row],[Months]])/tblOTRate[[#This Row],[Total Order]],NA())</f>
        <v>0</v>
      </c>
      <c r="C28" s="77">
        <f>IFERROR(GETPIVOTDATA("OrderID",$A$33,"Status",tblOTRate[[#Headers],[Late]],"Months",tblOTRate[[#This Row],[Months]])/tblOTRate[[#This Row],[Total Order]],NA())</f>
        <v>0.33333333333333331</v>
      </c>
      <c r="D28" s="77">
        <f>IFERROR(GETPIVOTDATA("OrderID",$A$33,"Status",tblOTRate[[#Headers],[On-time]],"Months",tblOTRate[[#This Row],[Months]])/tblOTRate[[#This Row],[Total Order]],NA())</f>
        <v>0.66666666666666663</v>
      </c>
      <c r="E28" s="81">
        <f>IFERROR(GETPIVOTDATA("OrderID",$A$33,"Months",tblOTRate[[#This Row],[Months]]),NA())</f>
        <v>9</v>
      </c>
      <c r="F28" s="44">
        <f>1-tblOTRate[[#This Row],[On-time]]</f>
        <v>0.33333333333333337</v>
      </c>
      <c r="G28" s="44">
        <f>1-tblOTRate[[#This Row],[Late]]</f>
        <v>0.66666666666666674</v>
      </c>
      <c r="H28" s="44">
        <f>1-tblOTRate[[#This Row],[Cancelled]]</f>
        <v>1</v>
      </c>
      <c r="I28" s="44">
        <v>1</v>
      </c>
    </row>
    <row r="29" spans="1:9" x14ac:dyDescent="0.35">
      <c r="A29" s="39" t="s">
        <v>147</v>
      </c>
      <c r="B29" s="78">
        <f t="shared" ref="B29:C29" si="0">AVERAGEIF(B17:B28,"&lt;&gt;#N/A")</f>
        <v>3.5052910052910051E-2</v>
      </c>
      <c r="C29" s="78">
        <f t="shared" si="0"/>
        <v>0.21719576719576719</v>
      </c>
      <c r="D29" s="78">
        <f>AVERAGEIF(D17:D28,"&lt;&gt;#N/A")</f>
        <v>0.74775132275132272</v>
      </c>
      <c r="E29" s="41">
        <f>SUMIF(E17:E22,"&lt;&gt;#N/A")</f>
        <v>51</v>
      </c>
      <c r="F29" s="45">
        <f>1-tblOTRate[[#This Row],[On-time]]</f>
        <v>0.25224867724867728</v>
      </c>
      <c r="G29" s="45">
        <f>1-tblOTRate[[#This Row],[Late]]</f>
        <v>0.78280423280423284</v>
      </c>
      <c r="H29" s="45">
        <f>1-tblOTRate[[#This Row],[Cancelled]]</f>
        <v>0.96494708994709</v>
      </c>
      <c r="I29" s="45">
        <f>tblOTRate[[#This Row],[On-time]]+tblOTRate[[#This Row],[Rest]]</f>
        <v>1</v>
      </c>
    </row>
    <row r="30" spans="1:9" x14ac:dyDescent="0.35">
      <c r="D30" s="76"/>
    </row>
    <row r="33" spans="1:7" x14ac:dyDescent="0.35">
      <c r="A33" s="18" t="s">
        <v>150</v>
      </c>
      <c r="B33" s="18" t="s">
        <v>9</v>
      </c>
      <c r="C33" s="85"/>
      <c r="D33" s="85"/>
      <c r="E33" s="85"/>
    </row>
    <row r="34" spans="1:7" x14ac:dyDescent="0.35">
      <c r="A34" s="18" t="s">
        <v>1</v>
      </c>
      <c r="B34" s="84" t="s">
        <v>139</v>
      </c>
      <c r="C34" s="84" t="s">
        <v>138</v>
      </c>
      <c r="D34" s="84" t="s">
        <v>137</v>
      </c>
      <c r="E34" s="84" t="s">
        <v>174</v>
      </c>
      <c r="G34" s="79"/>
    </row>
    <row r="35" spans="1:7" x14ac:dyDescent="0.35">
      <c r="A35" s="4" t="s">
        <v>143</v>
      </c>
      <c r="B35" s="5">
        <v>0</v>
      </c>
      <c r="C35" s="5">
        <v>3</v>
      </c>
      <c r="D35" s="5">
        <v>7</v>
      </c>
      <c r="E35" s="5">
        <v>10</v>
      </c>
    </row>
    <row r="36" spans="1:7" x14ac:dyDescent="0.35">
      <c r="A36" s="4" t="s">
        <v>144</v>
      </c>
      <c r="B36" s="5">
        <v>0</v>
      </c>
      <c r="C36" s="5">
        <v>0</v>
      </c>
      <c r="D36" s="5">
        <v>4</v>
      </c>
      <c r="E36" s="5">
        <v>4</v>
      </c>
    </row>
    <row r="37" spans="1:7" x14ac:dyDescent="0.35">
      <c r="A37" s="4" t="s">
        <v>145</v>
      </c>
      <c r="B37" s="5">
        <v>0</v>
      </c>
      <c r="C37" s="5">
        <v>2</v>
      </c>
      <c r="D37" s="5">
        <v>8</v>
      </c>
      <c r="E37" s="5">
        <v>10</v>
      </c>
    </row>
    <row r="38" spans="1:7" x14ac:dyDescent="0.35">
      <c r="A38" s="4" t="s">
        <v>158</v>
      </c>
      <c r="B38" s="5">
        <v>0</v>
      </c>
      <c r="C38" s="5">
        <v>2</v>
      </c>
      <c r="D38" s="5">
        <v>4</v>
      </c>
      <c r="E38" s="5">
        <v>6</v>
      </c>
    </row>
    <row r="39" spans="1:7" x14ac:dyDescent="0.35">
      <c r="A39" s="4" t="s">
        <v>149</v>
      </c>
      <c r="B39" s="5">
        <v>2</v>
      </c>
      <c r="C39" s="5">
        <v>0</v>
      </c>
      <c r="D39" s="5">
        <v>10</v>
      </c>
      <c r="E39" s="5">
        <v>12</v>
      </c>
    </row>
    <row r="40" spans="1:7" x14ac:dyDescent="0.35">
      <c r="A40" s="4" t="s">
        <v>159</v>
      </c>
      <c r="B40" s="5">
        <v>0</v>
      </c>
      <c r="C40" s="5">
        <v>2</v>
      </c>
      <c r="D40" s="5">
        <v>7</v>
      </c>
      <c r="E40" s="5">
        <v>9</v>
      </c>
    </row>
    <row r="41" spans="1:7" x14ac:dyDescent="0.35">
      <c r="A41" s="4" t="s">
        <v>160</v>
      </c>
      <c r="B41" s="5">
        <v>0</v>
      </c>
      <c r="C41" s="5">
        <v>2</v>
      </c>
      <c r="D41" s="5">
        <v>5</v>
      </c>
      <c r="E41" s="5">
        <v>7</v>
      </c>
    </row>
    <row r="42" spans="1:7" x14ac:dyDescent="0.35">
      <c r="A42" s="4" t="s">
        <v>161</v>
      </c>
      <c r="B42" s="5">
        <v>1</v>
      </c>
      <c r="C42" s="5">
        <v>1</v>
      </c>
      <c r="D42" s="5">
        <v>5</v>
      </c>
      <c r="E42" s="5">
        <v>7</v>
      </c>
    </row>
    <row r="43" spans="1:7" x14ac:dyDescent="0.35">
      <c r="A43" s="4" t="s">
        <v>162</v>
      </c>
      <c r="B43" s="5">
        <v>1</v>
      </c>
      <c r="C43" s="5">
        <v>2</v>
      </c>
      <c r="D43" s="5">
        <v>6</v>
      </c>
      <c r="E43" s="5">
        <v>9</v>
      </c>
    </row>
    <row r="44" spans="1:7" x14ac:dyDescent="0.35">
      <c r="A44" s="4" t="s">
        <v>163</v>
      </c>
      <c r="B44" s="5">
        <v>0</v>
      </c>
      <c r="C44" s="5">
        <v>2</v>
      </c>
      <c r="D44" s="5">
        <v>10</v>
      </c>
      <c r="E44" s="5">
        <v>12</v>
      </c>
    </row>
    <row r="45" spans="1:7" x14ac:dyDescent="0.35">
      <c r="A45" s="4" t="s">
        <v>164</v>
      </c>
      <c r="B45" s="5">
        <v>0</v>
      </c>
      <c r="C45" s="5">
        <v>2</v>
      </c>
      <c r="D45" s="5">
        <v>3</v>
      </c>
      <c r="E45" s="5">
        <v>5</v>
      </c>
    </row>
    <row r="46" spans="1:7" x14ac:dyDescent="0.35">
      <c r="A46" s="4" t="s">
        <v>165</v>
      </c>
      <c r="B46" s="5">
        <v>0</v>
      </c>
      <c r="C46" s="5">
        <v>3</v>
      </c>
      <c r="D46" s="5">
        <v>6</v>
      </c>
      <c r="E46" s="5">
        <v>9</v>
      </c>
    </row>
    <row r="47" spans="1:7" x14ac:dyDescent="0.35">
      <c r="A47" s="4" t="s">
        <v>174</v>
      </c>
      <c r="B47" s="5">
        <v>4</v>
      </c>
      <c r="C47" s="5">
        <v>21</v>
      </c>
      <c r="D47" s="5">
        <v>75</v>
      </c>
      <c r="E47" s="5">
        <v>100</v>
      </c>
    </row>
    <row r="48" spans="1:7" x14ac:dyDescent="0.35">
      <c r="A48" s="4"/>
      <c r="B48" s="5">
        <f>IFERROR(GETPIVOTDATA("OrderID",$A$33,"Status","Cancelled"), 0)</f>
        <v>4</v>
      </c>
      <c r="C48" s="5">
        <f>GETPIVOTDATA("OrderID",$A$33,"Status","Late")</f>
        <v>21</v>
      </c>
      <c r="D48" s="5">
        <f>GETPIVOTDATA("OrderID",$A$33,"Status","On-time")</f>
        <v>75</v>
      </c>
      <c r="E48" s="5">
        <f>GETPIVOTDATA("OrderID",$A$33)</f>
        <v>100</v>
      </c>
    </row>
    <row r="49" spans="1:7" x14ac:dyDescent="0.35">
      <c r="A49" s="4"/>
      <c r="B49" s="5" t="str">
        <f>"Total: " &amp; B48</f>
        <v>Total: 4</v>
      </c>
      <c r="C49" s="5" t="str">
        <f>"Total: " &amp; C48</f>
        <v>Total: 21</v>
      </c>
      <c r="D49" s="5" t="str">
        <f>"Total: " &amp; D48</f>
        <v>Total: 75</v>
      </c>
      <c r="E49" s="5">
        <f>E48</f>
        <v>100</v>
      </c>
    </row>
    <row r="50" spans="1:7" ht="21" customHeight="1" x14ac:dyDescent="0.35"/>
    <row r="52" spans="1:7" x14ac:dyDescent="0.35">
      <c r="A52" s="18" t="s">
        <v>206</v>
      </c>
      <c r="B52" s="18" t="s">
        <v>194</v>
      </c>
      <c r="C52" s="85"/>
      <c r="D52" s="85"/>
      <c r="E52" s="85"/>
      <c r="F52" s="85"/>
      <c r="G52" s="85"/>
    </row>
    <row r="53" spans="1:7" x14ac:dyDescent="0.35">
      <c r="A53" s="18" t="s">
        <v>152</v>
      </c>
      <c r="B53" s="84" t="s">
        <v>118</v>
      </c>
      <c r="C53" s="84" t="s">
        <v>123</v>
      </c>
      <c r="D53" s="84" t="s">
        <v>117</v>
      </c>
      <c r="E53" s="84" t="s">
        <v>125</v>
      </c>
      <c r="F53" s="84" t="s">
        <v>120</v>
      </c>
      <c r="G53" s="84" t="s">
        <v>124</v>
      </c>
    </row>
    <row r="54" spans="1:7" x14ac:dyDescent="0.35">
      <c r="A54" s="4" t="s">
        <v>118</v>
      </c>
      <c r="B54" s="5">
        <v>0</v>
      </c>
      <c r="C54" s="5">
        <v>2</v>
      </c>
      <c r="D54" s="5">
        <v>0</v>
      </c>
      <c r="E54" s="5">
        <v>0</v>
      </c>
      <c r="F54" s="5">
        <v>0</v>
      </c>
      <c r="G54" s="5">
        <v>0</v>
      </c>
    </row>
    <row r="55" spans="1:7" x14ac:dyDescent="0.35">
      <c r="A55" s="4" t="s">
        <v>117</v>
      </c>
      <c r="B55" s="5">
        <v>2</v>
      </c>
      <c r="C55" s="5">
        <v>1</v>
      </c>
      <c r="D55" s="5">
        <v>0</v>
      </c>
      <c r="E55" s="5">
        <v>0</v>
      </c>
      <c r="F55" s="5">
        <v>0</v>
      </c>
      <c r="G55" s="5">
        <v>0</v>
      </c>
    </row>
    <row r="56" spans="1:7" x14ac:dyDescent="0.35">
      <c r="A56" s="4" t="s">
        <v>122</v>
      </c>
      <c r="B56" s="5">
        <v>0</v>
      </c>
      <c r="C56" s="5">
        <v>1</v>
      </c>
      <c r="D56" s="5">
        <v>1</v>
      </c>
      <c r="E56" s="5">
        <v>0</v>
      </c>
      <c r="F56" s="5">
        <v>0</v>
      </c>
      <c r="G56" s="5"/>
    </row>
    <row r="57" spans="1:7" x14ac:dyDescent="0.35">
      <c r="A57" s="4" t="s">
        <v>119</v>
      </c>
      <c r="B57" s="5">
        <v>2</v>
      </c>
      <c r="C57" s="5">
        <v>0</v>
      </c>
      <c r="D57" s="5">
        <v>2</v>
      </c>
      <c r="E57" s="5">
        <v>0</v>
      </c>
      <c r="F57" s="5">
        <v>0</v>
      </c>
      <c r="G57" s="5">
        <v>0</v>
      </c>
    </row>
    <row r="58" spans="1:7" x14ac:dyDescent="0.35">
      <c r="A58" s="4" t="s">
        <v>121</v>
      </c>
      <c r="B58" s="5">
        <v>3</v>
      </c>
      <c r="C58" s="5">
        <v>0</v>
      </c>
      <c r="D58" s="5">
        <v>2</v>
      </c>
      <c r="E58" s="5">
        <v>1</v>
      </c>
      <c r="F58" s="5">
        <v>1</v>
      </c>
      <c r="G58" s="5">
        <v>0</v>
      </c>
    </row>
    <row r="59" spans="1:7" x14ac:dyDescent="0.35">
      <c r="A59" s="4" t="s">
        <v>120</v>
      </c>
      <c r="B59" s="5">
        <v>0</v>
      </c>
      <c r="C59" s="5">
        <v>0</v>
      </c>
      <c r="D59" s="5">
        <v>0</v>
      </c>
      <c r="E59" s="5">
        <v>0</v>
      </c>
      <c r="F59" s="5">
        <v>3</v>
      </c>
      <c r="G59" s="5">
        <v>0</v>
      </c>
    </row>
    <row r="60" spans="1:7" x14ac:dyDescent="0.35">
      <c r="A60" s="4" t="s">
        <v>140</v>
      </c>
      <c r="B60" s="5">
        <v>7</v>
      </c>
      <c r="C60" s="5">
        <v>4</v>
      </c>
      <c r="D60" s="5">
        <v>5</v>
      </c>
      <c r="E60" s="5">
        <v>1</v>
      </c>
      <c r="F60" s="5">
        <v>4</v>
      </c>
      <c r="G60" s="5">
        <v>0</v>
      </c>
    </row>
    <row r="62" spans="1:7" x14ac:dyDescent="0.35">
      <c r="A62" s="3" t="s">
        <v>150</v>
      </c>
      <c r="B62" s="3" t="s">
        <v>194</v>
      </c>
    </row>
    <row r="63" spans="1:7" x14ac:dyDescent="0.35">
      <c r="A63" s="3" t="s">
        <v>193</v>
      </c>
      <c r="B63" t="s">
        <v>139</v>
      </c>
    </row>
    <row r="64" spans="1:7" x14ac:dyDescent="0.35">
      <c r="A64" s="4" t="s">
        <v>114</v>
      </c>
      <c r="B64" s="5">
        <v>2</v>
      </c>
    </row>
    <row r="65" spans="1:17" x14ac:dyDescent="0.35">
      <c r="A65" s="4" t="s">
        <v>111</v>
      </c>
      <c r="B65" s="5">
        <v>1</v>
      </c>
    </row>
    <row r="66" spans="1:17" x14ac:dyDescent="0.35">
      <c r="A66" s="4" t="s">
        <v>115</v>
      </c>
      <c r="B66" s="5">
        <v>1</v>
      </c>
    </row>
    <row r="67" spans="1:17" x14ac:dyDescent="0.35">
      <c r="A67" s="4" t="s">
        <v>140</v>
      </c>
      <c r="B67" s="5">
        <v>4</v>
      </c>
    </row>
    <row r="69" spans="1:17" x14ac:dyDescent="0.35">
      <c r="A69" t="s">
        <v>141</v>
      </c>
      <c r="B69" t="s">
        <v>208</v>
      </c>
      <c r="N69" s="48"/>
      <c r="O69" s="48"/>
      <c r="P69" s="48"/>
      <c r="Q69" s="48"/>
    </row>
    <row r="70" spans="1:17" x14ac:dyDescent="0.35">
      <c r="A70" s="11">
        <v>99616650</v>
      </c>
      <c r="B70" s="11">
        <v>3736902</v>
      </c>
      <c r="N70" s="48"/>
      <c r="O70" s="48"/>
      <c r="P70" s="48"/>
      <c r="Q70" s="48"/>
    </row>
    <row r="71" spans="1:17" x14ac:dyDescent="0.35">
      <c r="A71" s="62">
        <f>GETPIVOTDATA("Sum of Revenue",$A$69)</f>
        <v>99616650</v>
      </c>
      <c r="B71" s="62">
        <f>GETPIVOTDATA("Sum of Potentian_Lost",$A$69)</f>
        <v>3736902</v>
      </c>
      <c r="N71" s="48"/>
      <c r="O71" s="48"/>
      <c r="P71" s="48"/>
      <c r="Q71" s="48"/>
    </row>
    <row r="72" spans="1:17" x14ac:dyDescent="0.35">
      <c r="A72" s="62">
        <f>A71</f>
        <v>99616650</v>
      </c>
      <c r="B72" s="62">
        <f>-B71</f>
        <v>-3736902</v>
      </c>
      <c r="N72" s="48"/>
      <c r="O72" s="48"/>
      <c r="P72" s="48"/>
      <c r="Q72" s="48"/>
    </row>
    <row r="73" spans="1:17" x14ac:dyDescent="0.35">
      <c r="A73" t="s">
        <v>209</v>
      </c>
      <c r="B73" s="67">
        <f>GETPIVOTDATA("Sum of Potentian_Lost",$A$69)/GETPIVOTDATA("Sum of Revenue",$A$69)</f>
        <v>3.7512825416233131E-2</v>
      </c>
      <c r="C73" t="s">
        <v>214</v>
      </c>
      <c r="N73" s="48"/>
      <c r="O73" s="48"/>
      <c r="P73" s="48"/>
      <c r="Q73" s="48"/>
    </row>
    <row r="74" spans="1:17" x14ac:dyDescent="0.35">
      <c r="A74" s="44" t="s">
        <v>195</v>
      </c>
      <c r="B74" s="44">
        <f>1-B73</f>
        <v>0.96248717458376687</v>
      </c>
      <c r="N74" s="48"/>
      <c r="O74" s="48"/>
      <c r="P74" s="48"/>
      <c r="Q74" s="48"/>
    </row>
    <row r="75" spans="1:17" x14ac:dyDescent="0.35">
      <c r="A75" s="44"/>
      <c r="B75" s="44"/>
    </row>
    <row r="76" spans="1:17" x14ac:dyDescent="0.35">
      <c r="A76" s="3" t="s">
        <v>150</v>
      </c>
      <c r="B76" s="3" t="s">
        <v>194</v>
      </c>
    </row>
    <row r="77" spans="1:17" x14ac:dyDescent="0.35">
      <c r="A77" s="3" t="s">
        <v>193</v>
      </c>
      <c r="B77" t="s">
        <v>139</v>
      </c>
    </row>
    <row r="78" spans="1:17" x14ac:dyDescent="0.35">
      <c r="A78" s="4" t="s">
        <v>126</v>
      </c>
      <c r="B78" s="5">
        <v>2</v>
      </c>
    </row>
    <row r="79" spans="1:17" x14ac:dyDescent="0.35">
      <c r="A79" s="82" t="s">
        <v>211</v>
      </c>
      <c r="B79" s="5">
        <v>1</v>
      </c>
    </row>
    <row r="80" spans="1:17" x14ac:dyDescent="0.35">
      <c r="A80" s="83" t="s">
        <v>114</v>
      </c>
      <c r="B80" s="5">
        <v>1</v>
      </c>
    </row>
    <row r="81" spans="1:2" x14ac:dyDescent="0.35">
      <c r="A81" s="82" t="s">
        <v>212</v>
      </c>
      <c r="B81" s="5">
        <v>1</v>
      </c>
    </row>
    <row r="82" spans="1:2" x14ac:dyDescent="0.35">
      <c r="A82" s="83" t="s">
        <v>114</v>
      </c>
      <c r="B82" s="5">
        <v>1</v>
      </c>
    </row>
    <row r="83" spans="1:2" x14ac:dyDescent="0.35">
      <c r="A83" s="4" t="s">
        <v>127</v>
      </c>
      <c r="B83" s="5">
        <v>2</v>
      </c>
    </row>
    <row r="84" spans="1:2" x14ac:dyDescent="0.35">
      <c r="A84" s="82" t="s">
        <v>210</v>
      </c>
      <c r="B84" s="5">
        <v>1</v>
      </c>
    </row>
    <row r="85" spans="1:2" x14ac:dyDescent="0.35">
      <c r="A85" s="83" t="s">
        <v>115</v>
      </c>
      <c r="B85" s="5">
        <v>1</v>
      </c>
    </row>
    <row r="86" spans="1:2" x14ac:dyDescent="0.35">
      <c r="A86" s="82" t="s">
        <v>213</v>
      </c>
      <c r="B86" s="5">
        <v>1</v>
      </c>
    </row>
    <row r="87" spans="1:2" x14ac:dyDescent="0.35">
      <c r="A87" s="83" t="s">
        <v>111</v>
      </c>
      <c r="B87" s="5">
        <v>1</v>
      </c>
    </row>
    <row r="88" spans="1:2" x14ac:dyDescent="0.35">
      <c r="A88" s="4" t="s">
        <v>140</v>
      </c>
      <c r="B88" s="5">
        <v>4</v>
      </c>
    </row>
  </sheetData>
  <sortState xmlns:xlrd2="http://schemas.microsoft.com/office/spreadsheetml/2017/richdata2" ref="L69:L74">
    <sortCondition ref="L69:L74"/>
  </sortState>
  <dataConsolidate/>
  <phoneticPr fontId="4" type="noConversion"/>
  <conditionalFormatting pivot="1">
    <cfRule type="colorScale" priority="1">
      <colorScale>
        <cfvo type="min"/>
        <cfvo type="max"/>
        <color rgb="FFFCFCFF"/>
        <color rgb="FFF8696B"/>
      </colorScale>
    </cfRule>
  </conditionalFormatting>
  <pageMargins left="0.7" right="0.7" top="0.75" bottom="0.75" header="0.3" footer="0.3"/>
  <pageSetup orientation="portrait" r:id="rId6"/>
  <drawing r:id="rId7"/>
  <tableParts count="1">
    <tablePart r:id="rId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102"/>
  <sheetViews>
    <sheetView topLeftCell="G1" workbookViewId="0">
      <selection activeCell="J24" sqref="J24"/>
    </sheetView>
  </sheetViews>
  <sheetFormatPr defaultRowHeight="14.5" x14ac:dyDescent="0.35"/>
  <cols>
    <col min="1" max="1" width="9.54296875" customWidth="1"/>
    <col min="2" max="2" width="17.453125" bestFit="1" customWidth="1"/>
    <col min="3" max="3" width="9.08984375" bestFit="1" customWidth="1"/>
    <col min="4" max="4" width="12.54296875" customWidth="1"/>
    <col min="5" max="5" width="20" bestFit="1" customWidth="1"/>
    <col min="6" max="6" width="20" customWidth="1"/>
    <col min="7" max="7" width="11.453125" customWidth="1"/>
    <col min="8" max="8" width="13.6328125" customWidth="1"/>
    <col min="9" max="10" width="17.453125" customWidth="1"/>
    <col min="11" max="11" width="7.90625" customWidth="1"/>
    <col min="12" max="12" width="17.81640625" bestFit="1" customWidth="1"/>
    <col min="13" max="13" width="8.81640625" bestFit="1" customWidth="1"/>
    <col min="14" max="14" width="17.6328125" bestFit="1" customWidth="1"/>
    <col min="15" max="15" width="8.81640625" customWidth="1"/>
    <col min="16" max="17" width="11.6328125" customWidth="1"/>
    <col min="18" max="18" width="10" customWidth="1"/>
  </cols>
  <sheetData>
    <row r="1" spans="1:18" x14ac:dyDescent="0.35">
      <c r="A1" s="2" t="s">
        <v>0</v>
      </c>
      <c r="B1" s="2" t="s">
        <v>1</v>
      </c>
      <c r="C1" s="2" t="s">
        <v>2</v>
      </c>
      <c r="D1" s="2" t="s">
        <v>3</v>
      </c>
      <c r="E1" s="12" t="s">
        <v>152</v>
      </c>
      <c r="F1" s="12" t="s">
        <v>153</v>
      </c>
      <c r="G1" s="2" t="s">
        <v>4</v>
      </c>
      <c r="H1" s="2" t="s">
        <v>5</v>
      </c>
      <c r="I1" s="2" t="s">
        <v>6</v>
      </c>
      <c r="J1" s="12" t="s">
        <v>156</v>
      </c>
      <c r="K1" s="2" t="s">
        <v>7</v>
      </c>
      <c r="L1" s="2" t="s">
        <v>8</v>
      </c>
      <c r="M1" s="2" t="s">
        <v>9</v>
      </c>
      <c r="N1" s="12" t="s">
        <v>207</v>
      </c>
      <c r="O1" s="12" t="s">
        <v>138</v>
      </c>
      <c r="P1" s="12" t="s">
        <v>177</v>
      </c>
      <c r="Q1" s="12" t="s">
        <v>178</v>
      </c>
      <c r="R1" s="2" t="s">
        <v>10</v>
      </c>
    </row>
    <row r="2" spans="1:18" x14ac:dyDescent="0.35">
      <c r="A2" t="s">
        <v>11</v>
      </c>
      <c r="B2" t="s">
        <v>111</v>
      </c>
      <c r="C2" t="s">
        <v>117</v>
      </c>
      <c r="D2" t="s">
        <v>123</v>
      </c>
      <c r="E2" t="str">
        <f>CONCATENATE(df_Clean[[#This Row],[Origin]]," - ",df_Clean[[#This Row],[Destination]])</f>
        <v>Jakarta - Denpasar</v>
      </c>
      <c r="F2" t="str">
        <f>IF(df_Clean[[#This Row],[Origin]]=df_Clean[[#This Row],[Destination]],"Within City","Intercity")</f>
        <v>Intercity</v>
      </c>
      <c r="G2" t="s">
        <v>126</v>
      </c>
      <c r="H2">
        <v>152</v>
      </c>
      <c r="I2">
        <v>484</v>
      </c>
      <c r="J2">
        <f>df_Clean[[#This Row],[FuelCost_per_km]]*df_Clean[[#This Row],[Distance_km]]</f>
        <v>73568</v>
      </c>
      <c r="K2" t="s">
        <v>130</v>
      </c>
      <c r="L2" s="1">
        <v>45295</v>
      </c>
      <c r="M2" t="s">
        <v>137</v>
      </c>
      <c r="N2">
        <f>IF(df_Clean[[#This Row],[Status]]="Cancelled",df_Clean[[#This Row],[Revenue]],0)</f>
        <v>0</v>
      </c>
      <c r="O2">
        <f>IF(df_Clean[[#This Row],[Status]]="Late",1,0)</f>
        <v>0</v>
      </c>
      <c r="P2" cm="1">
        <f t="array" ref="P2">_xlfn.SWITCH(df_Clean[[#This Row],[Status]],"On-time",2,"Late",-1,"Cancelled",0)</f>
        <v>2</v>
      </c>
      <c r="Q2">
        <v>2</v>
      </c>
      <c r="R2">
        <v>264792</v>
      </c>
    </row>
    <row r="3" spans="1:18" x14ac:dyDescent="0.35">
      <c r="A3" t="s">
        <v>12</v>
      </c>
      <c r="B3" t="s">
        <v>112</v>
      </c>
      <c r="C3" t="s">
        <v>118</v>
      </c>
      <c r="D3" t="s">
        <v>123</v>
      </c>
      <c r="E3" t="str">
        <f>CONCATENATE(df_Clean[[#This Row],[Origin]]," - ",df_Clean[[#This Row],[Destination]])</f>
        <v>Bandung - Denpasar</v>
      </c>
      <c r="F3" t="str">
        <f>IF(df_Clean[[#This Row],[Origin]]=df_Clean[[#This Row],[Destination]],"Within City","Intercity")</f>
        <v>Intercity</v>
      </c>
      <c r="G3" t="s">
        <v>127</v>
      </c>
      <c r="H3">
        <v>485</v>
      </c>
      <c r="I3">
        <v>318</v>
      </c>
      <c r="J3">
        <f>df_Clean[[#This Row],[FuelCost_per_km]]*df_Clean[[#This Row],[Distance_km]]</f>
        <v>154230</v>
      </c>
      <c r="K3" t="s">
        <v>131</v>
      </c>
      <c r="L3" s="1">
        <v>45298</v>
      </c>
      <c r="M3" t="s">
        <v>138</v>
      </c>
      <c r="N3">
        <f>IF(df_Clean[[#This Row],[Status]]="Cancelled",df_Clean[[#This Row],[Revenue]],0)</f>
        <v>0</v>
      </c>
      <c r="O3">
        <f>IF(df_Clean[[#This Row],[Status]]="Late",1,0)</f>
        <v>1</v>
      </c>
      <c r="P3" cm="1">
        <f t="array" ref="P3">_xlfn.SWITCH(df_Clean[[#This Row],[Status]],"On-time",2,"Late",-1,"Cancelled",0)</f>
        <v>-1</v>
      </c>
      <c r="Q3">
        <v>2</v>
      </c>
      <c r="R3">
        <v>1053486</v>
      </c>
    </row>
    <row r="4" spans="1:18" x14ac:dyDescent="0.35">
      <c r="A4" t="s">
        <v>13</v>
      </c>
      <c r="B4" t="s">
        <v>113</v>
      </c>
      <c r="C4" t="s">
        <v>118</v>
      </c>
      <c r="D4" t="s">
        <v>123</v>
      </c>
      <c r="E4" t="str">
        <f>CONCATENATE(df_Clean[[#This Row],[Origin]]," - ",df_Clean[[#This Row],[Destination]])</f>
        <v>Bandung - Denpasar</v>
      </c>
      <c r="F4" t="str">
        <f>IF(df_Clean[[#This Row],[Origin]]=df_Clean[[#This Row],[Destination]],"Within City","Intercity")</f>
        <v>Intercity</v>
      </c>
      <c r="G4" t="s">
        <v>126</v>
      </c>
      <c r="H4">
        <v>910</v>
      </c>
      <c r="I4">
        <v>339</v>
      </c>
      <c r="J4">
        <f>df_Clean[[#This Row],[FuelCost_per_km]]*df_Clean[[#This Row],[Distance_km]]</f>
        <v>308490</v>
      </c>
      <c r="K4" t="s">
        <v>130</v>
      </c>
      <c r="L4" s="1">
        <v>45302</v>
      </c>
      <c r="M4" t="s">
        <v>137</v>
      </c>
      <c r="N4">
        <f>IF(df_Clean[[#This Row],[Status]]="Cancelled",df_Clean[[#This Row],[Revenue]],0)</f>
        <v>0</v>
      </c>
      <c r="O4">
        <f>IF(df_Clean[[#This Row],[Status]]="Late",1,0)</f>
        <v>0</v>
      </c>
      <c r="P4" cm="1">
        <f t="array" ref="P4">_xlfn.SWITCH(df_Clean[[#This Row],[Status]],"On-time",2,"Late",-1,"Cancelled",0)</f>
        <v>2</v>
      </c>
      <c r="Q4">
        <v>2</v>
      </c>
      <c r="R4">
        <v>2058074</v>
      </c>
    </row>
    <row r="5" spans="1:18" x14ac:dyDescent="0.35">
      <c r="A5" t="s">
        <v>14</v>
      </c>
      <c r="B5" t="s">
        <v>113</v>
      </c>
      <c r="C5" t="s">
        <v>119</v>
      </c>
      <c r="D5" t="s">
        <v>118</v>
      </c>
      <c r="E5" t="str">
        <f>CONCATENATE(df_Clean[[#This Row],[Origin]]," - ",df_Clean[[#This Row],[Destination]])</f>
        <v>Medan - Bandung</v>
      </c>
      <c r="F5" t="str">
        <f>IF(df_Clean[[#This Row],[Origin]]=df_Clean[[#This Row],[Destination]],"Within City","Intercity")</f>
        <v>Intercity</v>
      </c>
      <c r="G5" t="s">
        <v>127</v>
      </c>
      <c r="H5">
        <v>320</v>
      </c>
      <c r="I5">
        <v>309</v>
      </c>
      <c r="J5">
        <f>df_Clean[[#This Row],[FuelCost_per_km]]*df_Clean[[#This Row],[Distance_km]]</f>
        <v>98880</v>
      </c>
      <c r="K5" t="s">
        <v>132</v>
      </c>
      <c r="L5" s="1">
        <v>45303</v>
      </c>
      <c r="M5" t="s">
        <v>138</v>
      </c>
      <c r="N5">
        <f>IF(df_Clean[[#This Row],[Status]]="Cancelled",df_Clean[[#This Row],[Revenue]],0)</f>
        <v>0</v>
      </c>
      <c r="O5">
        <f>IF(df_Clean[[#This Row],[Status]]="Late",1,0)</f>
        <v>1</v>
      </c>
      <c r="P5" cm="1">
        <f t="array" ref="P5">_xlfn.SWITCH(df_Clean[[#This Row],[Status]],"On-time",2,"Late",-1,"Cancelled",0)</f>
        <v>-1</v>
      </c>
      <c r="Q5">
        <v>2</v>
      </c>
      <c r="R5">
        <v>556044</v>
      </c>
    </row>
    <row r="6" spans="1:18" x14ac:dyDescent="0.35">
      <c r="A6" t="s">
        <v>15</v>
      </c>
      <c r="B6" t="s">
        <v>114</v>
      </c>
      <c r="C6" t="s">
        <v>120</v>
      </c>
      <c r="D6" t="s">
        <v>124</v>
      </c>
      <c r="E6" t="str">
        <f>CONCATENATE(df_Clean[[#This Row],[Origin]]," - ",df_Clean[[#This Row],[Destination]])</f>
        <v>Surabaya - Yogyakarta</v>
      </c>
      <c r="F6" t="str">
        <f>IF(df_Clean[[#This Row],[Origin]]=df_Clean[[#This Row],[Destination]],"Within City","Intercity")</f>
        <v>Intercity</v>
      </c>
      <c r="G6" t="s">
        <v>128</v>
      </c>
      <c r="H6">
        <v>156</v>
      </c>
      <c r="I6">
        <v>365</v>
      </c>
      <c r="J6">
        <f>df_Clean[[#This Row],[FuelCost_per_km]]*df_Clean[[#This Row],[Distance_km]]</f>
        <v>56940</v>
      </c>
      <c r="K6" t="s">
        <v>133</v>
      </c>
      <c r="L6" s="1">
        <v>45309</v>
      </c>
      <c r="M6" t="s">
        <v>137</v>
      </c>
      <c r="N6">
        <f>IF(df_Clean[[#This Row],[Status]]="Cancelled",df_Clean[[#This Row],[Revenue]],0)</f>
        <v>0</v>
      </c>
      <c r="O6">
        <f>IF(df_Clean[[#This Row],[Status]]="Late",1,0)</f>
        <v>0</v>
      </c>
      <c r="P6" cm="1">
        <f t="array" ref="P6">_xlfn.SWITCH(df_Clean[[#This Row],[Status]],"On-time",2,"Late",-1,"Cancelled",0)</f>
        <v>2</v>
      </c>
      <c r="Q6">
        <v>2</v>
      </c>
      <c r="R6">
        <v>347602</v>
      </c>
    </row>
    <row r="7" spans="1:18" x14ac:dyDescent="0.35">
      <c r="A7" t="s">
        <v>16</v>
      </c>
      <c r="B7" t="s">
        <v>114</v>
      </c>
      <c r="C7" t="s">
        <v>119</v>
      </c>
      <c r="D7" t="s">
        <v>117</v>
      </c>
      <c r="E7" t="str">
        <f>CONCATENATE(df_Clean[[#This Row],[Origin]]," - ",df_Clean[[#This Row],[Destination]])</f>
        <v>Medan - Jakarta</v>
      </c>
      <c r="F7" t="str">
        <f>IF(df_Clean[[#This Row],[Origin]]=df_Clean[[#This Row],[Destination]],"Within City","Intercity")</f>
        <v>Intercity</v>
      </c>
      <c r="G7" t="s">
        <v>128</v>
      </c>
      <c r="H7">
        <v>121</v>
      </c>
      <c r="I7">
        <v>378</v>
      </c>
      <c r="J7">
        <f>df_Clean[[#This Row],[FuelCost_per_km]]*df_Clean[[#This Row],[Distance_km]]</f>
        <v>45738</v>
      </c>
      <c r="K7" t="s">
        <v>131</v>
      </c>
      <c r="L7" s="1">
        <v>45310</v>
      </c>
      <c r="M7" t="s">
        <v>137</v>
      </c>
      <c r="N7">
        <f>IF(df_Clean[[#This Row],[Status]]="Cancelled",df_Clean[[#This Row],[Revenue]],0)</f>
        <v>0</v>
      </c>
      <c r="O7">
        <f>IF(df_Clean[[#This Row],[Status]]="Late",1,0)</f>
        <v>0</v>
      </c>
      <c r="P7" cm="1">
        <f t="array" ref="P7">_xlfn.SWITCH(df_Clean[[#This Row],[Status]],"On-time",2,"Late",-1,"Cancelled",0)</f>
        <v>2</v>
      </c>
      <c r="Q7">
        <v>2</v>
      </c>
      <c r="R7">
        <v>226002</v>
      </c>
    </row>
    <row r="8" spans="1:18" x14ac:dyDescent="0.35">
      <c r="A8" t="s">
        <v>17</v>
      </c>
      <c r="B8" t="s">
        <v>115</v>
      </c>
      <c r="C8" t="s">
        <v>117</v>
      </c>
      <c r="D8" t="s">
        <v>124</v>
      </c>
      <c r="E8" t="str">
        <f>CONCATENATE(df_Clean[[#This Row],[Origin]]," - ",df_Clean[[#This Row],[Destination]])</f>
        <v>Jakarta - Yogyakarta</v>
      </c>
      <c r="F8" t="str">
        <f>IF(df_Clean[[#This Row],[Origin]]=df_Clean[[#This Row],[Destination]],"Within City","Intercity")</f>
        <v>Intercity</v>
      </c>
      <c r="G8" t="s">
        <v>129</v>
      </c>
      <c r="H8">
        <v>750</v>
      </c>
      <c r="I8">
        <v>354</v>
      </c>
      <c r="J8">
        <f>df_Clean[[#This Row],[FuelCost_per_km]]*df_Clean[[#This Row],[Distance_km]]</f>
        <v>265500</v>
      </c>
      <c r="K8" t="s">
        <v>134</v>
      </c>
      <c r="L8" s="1">
        <v>45313</v>
      </c>
      <c r="M8" t="s">
        <v>137</v>
      </c>
      <c r="N8">
        <f>IF(df_Clean[[#This Row],[Status]]="Cancelled",df_Clean[[#This Row],[Revenue]],0)</f>
        <v>0</v>
      </c>
      <c r="O8">
        <f>IF(df_Clean[[#This Row],[Status]]="Late",1,0)</f>
        <v>0</v>
      </c>
      <c r="P8" cm="1">
        <f t="array" ref="P8">_xlfn.SWITCH(df_Clean[[#This Row],[Status]],"On-time",2,"Late",-1,"Cancelled",0)</f>
        <v>2</v>
      </c>
      <c r="Q8">
        <v>2</v>
      </c>
      <c r="R8">
        <v>1599229</v>
      </c>
    </row>
    <row r="9" spans="1:18" x14ac:dyDescent="0.35">
      <c r="A9" t="s">
        <v>18</v>
      </c>
      <c r="B9" t="s">
        <v>112</v>
      </c>
      <c r="C9" t="s">
        <v>121</v>
      </c>
      <c r="D9" t="s">
        <v>118</v>
      </c>
      <c r="E9" t="str">
        <f>CONCATENATE(df_Clean[[#This Row],[Origin]]," - ",df_Clean[[#This Row],[Destination]])</f>
        <v>Semarang - Bandung</v>
      </c>
      <c r="F9" t="str">
        <f>IF(df_Clean[[#This Row],[Origin]]=df_Clean[[#This Row],[Destination]],"Within City","Intercity")</f>
        <v>Intercity</v>
      </c>
      <c r="G9" t="s">
        <v>126</v>
      </c>
      <c r="H9">
        <v>70</v>
      </c>
      <c r="I9">
        <v>466</v>
      </c>
      <c r="J9">
        <f>df_Clean[[#This Row],[FuelCost_per_km]]*df_Clean[[#This Row],[Distance_km]]</f>
        <v>32620</v>
      </c>
      <c r="K9" t="s">
        <v>130</v>
      </c>
      <c r="L9" s="1">
        <v>45314</v>
      </c>
      <c r="M9" t="s">
        <v>138</v>
      </c>
      <c r="N9">
        <f>IF(df_Clean[[#This Row],[Status]]="Cancelled",df_Clean[[#This Row],[Revenue]],0)</f>
        <v>0</v>
      </c>
      <c r="O9">
        <f>IF(df_Clean[[#This Row],[Status]]="Late",1,0)</f>
        <v>1</v>
      </c>
      <c r="P9" cm="1">
        <f t="array" ref="P9">_xlfn.SWITCH(df_Clean[[#This Row],[Status]],"On-time",2,"Late",-1,"Cancelled",0)</f>
        <v>-1</v>
      </c>
      <c r="Q9">
        <v>2</v>
      </c>
      <c r="R9">
        <v>149347</v>
      </c>
    </row>
    <row r="10" spans="1:18" x14ac:dyDescent="0.35">
      <c r="A10" t="s">
        <v>19</v>
      </c>
      <c r="B10" t="s">
        <v>116</v>
      </c>
      <c r="C10" t="s">
        <v>121</v>
      </c>
      <c r="D10" t="s">
        <v>124</v>
      </c>
      <c r="E10" t="str">
        <f>CONCATENATE(df_Clean[[#This Row],[Origin]]," - ",df_Clean[[#This Row],[Destination]])</f>
        <v>Semarang - Yogyakarta</v>
      </c>
      <c r="F10" t="str">
        <f>IF(df_Clean[[#This Row],[Origin]]=df_Clean[[#This Row],[Destination]],"Within City","Intercity")</f>
        <v>Intercity</v>
      </c>
      <c r="G10" t="s">
        <v>126</v>
      </c>
      <c r="H10">
        <v>664</v>
      </c>
      <c r="I10">
        <v>371</v>
      </c>
      <c r="J10">
        <f>df_Clean[[#This Row],[FuelCost_per_km]]*df_Clean[[#This Row],[Distance_km]]</f>
        <v>246344</v>
      </c>
      <c r="K10" t="s">
        <v>135</v>
      </c>
      <c r="L10" s="1">
        <v>45317</v>
      </c>
      <c r="M10" t="s">
        <v>137</v>
      </c>
      <c r="N10">
        <f>IF(df_Clean[[#This Row],[Status]]="Cancelled",df_Clean[[#This Row],[Revenue]],0)</f>
        <v>0</v>
      </c>
      <c r="O10">
        <f>IF(df_Clean[[#This Row],[Status]]="Late",1,0)</f>
        <v>0</v>
      </c>
      <c r="P10" cm="1">
        <f t="array" ref="P10">_xlfn.SWITCH(df_Clean[[#This Row],[Status]],"On-time",2,"Late",-1,"Cancelled",0)</f>
        <v>2</v>
      </c>
      <c r="Q10">
        <v>2</v>
      </c>
      <c r="R10">
        <v>1351754</v>
      </c>
    </row>
    <row r="11" spans="1:18" x14ac:dyDescent="0.35">
      <c r="A11" t="s">
        <v>20</v>
      </c>
      <c r="B11" t="s">
        <v>112</v>
      </c>
      <c r="C11" t="s">
        <v>122</v>
      </c>
      <c r="D11" t="s">
        <v>123</v>
      </c>
      <c r="E11" t="str">
        <f>CONCATENATE(df_Clean[[#This Row],[Origin]]," - ",df_Clean[[#This Row],[Destination]])</f>
        <v>Makassar - Denpasar</v>
      </c>
      <c r="F11" t="str">
        <f>IF(df_Clean[[#This Row],[Origin]]=df_Clean[[#This Row],[Destination]],"Within City","Intercity")</f>
        <v>Intercity</v>
      </c>
      <c r="G11" t="s">
        <v>126</v>
      </c>
      <c r="H11">
        <v>171</v>
      </c>
      <c r="I11">
        <v>356</v>
      </c>
      <c r="J11">
        <f>df_Clean[[#This Row],[FuelCost_per_km]]*df_Clean[[#This Row],[Distance_km]]</f>
        <v>60876</v>
      </c>
      <c r="K11" t="s">
        <v>136</v>
      </c>
      <c r="L11" s="1">
        <v>45318</v>
      </c>
      <c r="M11" t="s">
        <v>137</v>
      </c>
      <c r="N11">
        <f>IF(df_Clean[[#This Row],[Status]]="Cancelled",df_Clean[[#This Row],[Revenue]],0)</f>
        <v>0</v>
      </c>
      <c r="O11">
        <f>IF(df_Clean[[#This Row],[Status]]="Late",1,0)</f>
        <v>0</v>
      </c>
      <c r="P11" cm="1">
        <f t="array" ref="P11">_xlfn.SWITCH(df_Clean[[#This Row],[Status]],"On-time",2,"Late",-1,"Cancelled",0)</f>
        <v>2</v>
      </c>
      <c r="Q11">
        <v>2</v>
      </c>
      <c r="R11">
        <v>271940</v>
      </c>
    </row>
    <row r="12" spans="1:18" x14ac:dyDescent="0.35">
      <c r="A12" t="s">
        <v>21</v>
      </c>
      <c r="B12" t="s">
        <v>113</v>
      </c>
      <c r="C12" t="s">
        <v>122</v>
      </c>
      <c r="D12" t="s">
        <v>117</v>
      </c>
      <c r="E12" t="str">
        <f>CONCATENATE(df_Clean[[#This Row],[Origin]]," - ",df_Clean[[#This Row],[Destination]])</f>
        <v>Makassar - Jakarta</v>
      </c>
      <c r="F12" t="str">
        <f>IF(df_Clean[[#This Row],[Origin]]=df_Clean[[#This Row],[Destination]],"Within City","Intercity")</f>
        <v>Intercity</v>
      </c>
      <c r="G12" t="s">
        <v>126</v>
      </c>
      <c r="H12">
        <v>516</v>
      </c>
      <c r="I12">
        <v>409</v>
      </c>
      <c r="J12">
        <f>df_Clean[[#This Row],[FuelCost_per_km]]*df_Clean[[#This Row],[Distance_km]]</f>
        <v>211044</v>
      </c>
      <c r="K12" t="s">
        <v>133</v>
      </c>
      <c r="L12" s="1">
        <v>45329</v>
      </c>
      <c r="M12" t="s">
        <v>137</v>
      </c>
      <c r="N12">
        <f>IF(df_Clean[[#This Row],[Status]]="Cancelled",df_Clean[[#This Row],[Revenue]],0)</f>
        <v>0</v>
      </c>
      <c r="O12">
        <f>IF(df_Clean[[#This Row],[Status]]="Late",1,0)</f>
        <v>0</v>
      </c>
      <c r="P12" cm="1">
        <f t="array" ref="P12">_xlfn.SWITCH(df_Clean[[#This Row],[Status]],"On-time",2,"Late",-1,"Cancelled",0)</f>
        <v>2</v>
      </c>
      <c r="Q12">
        <v>2</v>
      </c>
      <c r="R12">
        <v>1205016</v>
      </c>
    </row>
    <row r="13" spans="1:18" x14ac:dyDescent="0.35">
      <c r="A13" t="s">
        <v>22</v>
      </c>
      <c r="B13" t="s">
        <v>111</v>
      </c>
      <c r="C13" t="s">
        <v>120</v>
      </c>
      <c r="D13" t="s">
        <v>125</v>
      </c>
      <c r="E13" t="str">
        <f>CONCATENATE(df_Clean[[#This Row],[Origin]]," - ",df_Clean[[#This Row],[Destination]])</f>
        <v>Surabaya - Palembang</v>
      </c>
      <c r="F13" t="str">
        <f>IF(df_Clean[[#This Row],[Origin]]=df_Clean[[#This Row],[Destination]],"Within City","Intercity")</f>
        <v>Intercity</v>
      </c>
      <c r="G13" t="s">
        <v>128</v>
      </c>
      <c r="H13">
        <v>264</v>
      </c>
      <c r="I13">
        <v>328</v>
      </c>
      <c r="J13">
        <f>df_Clean[[#This Row],[FuelCost_per_km]]*df_Clean[[#This Row],[Distance_km]]</f>
        <v>86592</v>
      </c>
      <c r="K13" t="s">
        <v>133</v>
      </c>
      <c r="L13" s="1">
        <v>45335</v>
      </c>
      <c r="M13" t="s">
        <v>137</v>
      </c>
      <c r="N13">
        <f>IF(df_Clean[[#This Row],[Status]]="Cancelled",df_Clean[[#This Row],[Revenue]],0)</f>
        <v>0</v>
      </c>
      <c r="O13">
        <f>IF(df_Clean[[#This Row],[Status]]="Late",1,0)</f>
        <v>0</v>
      </c>
      <c r="P13" cm="1">
        <f t="array" ref="P13">_xlfn.SWITCH(df_Clean[[#This Row],[Status]],"On-time",2,"Late",-1,"Cancelled",0)</f>
        <v>2</v>
      </c>
      <c r="Q13">
        <v>2</v>
      </c>
      <c r="R13">
        <v>480686</v>
      </c>
    </row>
    <row r="14" spans="1:18" x14ac:dyDescent="0.35">
      <c r="A14" t="s">
        <v>23</v>
      </c>
      <c r="B14" t="s">
        <v>112</v>
      </c>
      <c r="C14" t="s">
        <v>119</v>
      </c>
      <c r="D14" t="s">
        <v>124</v>
      </c>
      <c r="E14" t="str">
        <f>CONCATENATE(df_Clean[[#This Row],[Origin]]," - ",df_Clean[[#This Row],[Destination]])</f>
        <v>Medan - Yogyakarta</v>
      </c>
      <c r="F14" t="str">
        <f>IF(df_Clean[[#This Row],[Origin]]=df_Clean[[#This Row],[Destination]],"Within City","Intercity")</f>
        <v>Intercity</v>
      </c>
      <c r="G14" t="s">
        <v>128</v>
      </c>
      <c r="H14">
        <v>380</v>
      </c>
      <c r="I14">
        <v>460</v>
      </c>
      <c r="J14">
        <f>df_Clean[[#This Row],[FuelCost_per_km]]*df_Clean[[#This Row],[Distance_km]]</f>
        <v>174800</v>
      </c>
      <c r="K14" t="s">
        <v>135</v>
      </c>
      <c r="L14" s="1">
        <v>45346</v>
      </c>
      <c r="M14" t="s">
        <v>137</v>
      </c>
      <c r="N14">
        <f>IF(df_Clean[[#This Row],[Status]]="Cancelled",df_Clean[[#This Row],[Revenue]],0)</f>
        <v>0</v>
      </c>
      <c r="O14">
        <f>IF(df_Clean[[#This Row],[Status]]="Late",1,0)</f>
        <v>0</v>
      </c>
      <c r="P14" cm="1">
        <f t="array" ref="P14">_xlfn.SWITCH(df_Clean[[#This Row],[Status]],"On-time",2,"Late",-1,"Cancelled",0)</f>
        <v>2</v>
      </c>
      <c r="Q14">
        <v>2</v>
      </c>
      <c r="R14">
        <v>640877</v>
      </c>
    </row>
    <row r="15" spans="1:18" x14ac:dyDescent="0.35">
      <c r="A15" t="s">
        <v>24</v>
      </c>
      <c r="B15" t="s">
        <v>113</v>
      </c>
      <c r="C15" t="s">
        <v>120</v>
      </c>
      <c r="D15" t="s">
        <v>124</v>
      </c>
      <c r="E15" t="str">
        <f>CONCATENATE(df_Clean[[#This Row],[Origin]]," - ",df_Clean[[#This Row],[Destination]])</f>
        <v>Surabaya - Yogyakarta</v>
      </c>
      <c r="F15" t="str">
        <f>IF(df_Clean[[#This Row],[Origin]]=df_Clean[[#This Row],[Destination]],"Within City","Intercity")</f>
        <v>Intercity</v>
      </c>
      <c r="G15" t="s">
        <v>128</v>
      </c>
      <c r="H15">
        <v>508</v>
      </c>
      <c r="I15">
        <v>315</v>
      </c>
      <c r="J15">
        <f>df_Clean[[#This Row],[FuelCost_per_km]]*df_Clean[[#This Row],[Distance_km]]</f>
        <v>160020</v>
      </c>
      <c r="K15" t="s">
        <v>131</v>
      </c>
      <c r="L15" s="1">
        <v>45351</v>
      </c>
      <c r="M15" t="s">
        <v>137</v>
      </c>
      <c r="N15">
        <f>IF(df_Clean[[#This Row],[Status]]="Cancelled",df_Clean[[#This Row],[Revenue]],0)</f>
        <v>0</v>
      </c>
      <c r="O15">
        <f>IF(df_Clean[[#This Row],[Status]]="Late",1,0)</f>
        <v>0</v>
      </c>
      <c r="P15" cm="1">
        <f t="array" ref="P15">_xlfn.SWITCH(df_Clean[[#This Row],[Status]],"On-time",2,"Late",-1,"Cancelled",0)</f>
        <v>2</v>
      </c>
      <c r="Q15">
        <v>2</v>
      </c>
      <c r="R15">
        <v>782714</v>
      </c>
    </row>
    <row r="16" spans="1:18" x14ac:dyDescent="0.35">
      <c r="A16" t="s">
        <v>25</v>
      </c>
      <c r="B16" t="s">
        <v>111</v>
      </c>
      <c r="C16" t="s">
        <v>122</v>
      </c>
      <c r="D16" t="s">
        <v>123</v>
      </c>
      <c r="E16" t="str">
        <f>CONCATENATE(df_Clean[[#This Row],[Origin]]," - ",df_Clean[[#This Row],[Destination]])</f>
        <v>Makassar - Denpasar</v>
      </c>
      <c r="F16" t="str">
        <f>IF(df_Clean[[#This Row],[Origin]]=df_Clean[[#This Row],[Destination]],"Within City","Intercity")</f>
        <v>Intercity</v>
      </c>
      <c r="G16" t="s">
        <v>126</v>
      </c>
      <c r="H16">
        <v>137</v>
      </c>
      <c r="I16">
        <v>497</v>
      </c>
      <c r="J16">
        <f>df_Clean[[#This Row],[FuelCost_per_km]]*df_Clean[[#This Row],[Distance_km]]</f>
        <v>68089</v>
      </c>
      <c r="K16" t="s">
        <v>131</v>
      </c>
      <c r="L16" s="1">
        <v>45352</v>
      </c>
      <c r="M16" t="s">
        <v>137</v>
      </c>
      <c r="N16">
        <f>IF(df_Clean[[#This Row],[Status]]="Cancelled",df_Clean[[#This Row],[Revenue]],0)</f>
        <v>0</v>
      </c>
      <c r="O16">
        <f>IF(df_Clean[[#This Row],[Status]]="Late",1,0)</f>
        <v>0</v>
      </c>
      <c r="P16" cm="1">
        <f t="array" ref="P16">_xlfn.SWITCH(df_Clean[[#This Row],[Status]],"On-time",2,"Late",-1,"Cancelled",0)</f>
        <v>2</v>
      </c>
      <c r="Q16">
        <v>2</v>
      </c>
      <c r="R16">
        <v>286452</v>
      </c>
    </row>
    <row r="17" spans="1:18" x14ac:dyDescent="0.35">
      <c r="A17" t="s">
        <v>26</v>
      </c>
      <c r="B17" t="s">
        <v>111</v>
      </c>
      <c r="C17" t="s">
        <v>122</v>
      </c>
      <c r="D17" t="s">
        <v>123</v>
      </c>
      <c r="E17" t="str">
        <f>CONCATENATE(df_Clean[[#This Row],[Origin]]," - ",df_Clean[[#This Row],[Destination]])</f>
        <v>Makassar - Denpasar</v>
      </c>
      <c r="F17" t="str">
        <f>IF(df_Clean[[#This Row],[Origin]]=df_Clean[[#This Row],[Destination]],"Within City","Intercity")</f>
        <v>Intercity</v>
      </c>
      <c r="G17" t="s">
        <v>126</v>
      </c>
      <c r="H17">
        <v>422</v>
      </c>
      <c r="I17">
        <v>454</v>
      </c>
      <c r="J17">
        <f>df_Clean[[#This Row],[FuelCost_per_km]]*df_Clean[[#This Row],[Distance_km]]</f>
        <v>191588</v>
      </c>
      <c r="K17" t="s">
        <v>134</v>
      </c>
      <c r="L17" s="1">
        <v>45353</v>
      </c>
      <c r="M17" t="s">
        <v>137</v>
      </c>
      <c r="N17">
        <f>IF(df_Clean[[#This Row],[Status]]="Cancelled",df_Clean[[#This Row],[Revenue]],0)</f>
        <v>0</v>
      </c>
      <c r="O17">
        <f>IF(df_Clean[[#This Row],[Status]]="Late",1,0)</f>
        <v>0</v>
      </c>
      <c r="P17" cm="1">
        <f t="array" ref="P17">_xlfn.SWITCH(df_Clean[[#This Row],[Status]],"On-time",2,"Late",-1,"Cancelled",0)</f>
        <v>2</v>
      </c>
      <c r="Q17">
        <v>2</v>
      </c>
      <c r="R17">
        <v>918932</v>
      </c>
    </row>
    <row r="18" spans="1:18" x14ac:dyDescent="0.35">
      <c r="A18" t="s">
        <v>27</v>
      </c>
      <c r="B18" t="s">
        <v>113</v>
      </c>
      <c r="C18" t="s">
        <v>120</v>
      </c>
      <c r="D18" t="s">
        <v>120</v>
      </c>
      <c r="E18" t="str">
        <f>CONCATENATE(df_Clean[[#This Row],[Origin]]," - ",df_Clean[[#This Row],[Destination]])</f>
        <v>Surabaya - Surabaya</v>
      </c>
      <c r="F18" t="str">
        <f>IF(df_Clean[[#This Row],[Origin]]=df_Clean[[#This Row],[Destination]],"Within City","Intercity")</f>
        <v>Within City</v>
      </c>
      <c r="G18" t="s">
        <v>129</v>
      </c>
      <c r="H18">
        <v>149</v>
      </c>
      <c r="I18">
        <v>340</v>
      </c>
      <c r="J18">
        <f>df_Clean[[#This Row],[FuelCost_per_km]]*df_Clean[[#This Row],[Distance_km]]</f>
        <v>50660</v>
      </c>
      <c r="K18" t="s">
        <v>131</v>
      </c>
      <c r="L18" s="1">
        <v>45359</v>
      </c>
      <c r="M18" t="s">
        <v>138</v>
      </c>
      <c r="N18">
        <f>IF(df_Clean[[#This Row],[Status]]="Cancelled",df_Clean[[#This Row],[Revenue]],0)</f>
        <v>0</v>
      </c>
      <c r="O18">
        <f>IF(df_Clean[[#This Row],[Status]]="Late",1,0)</f>
        <v>1</v>
      </c>
      <c r="P18" cm="1">
        <f t="array" ref="P18">_xlfn.SWITCH(df_Clean[[#This Row],[Status]],"On-time",2,"Late",-1,"Cancelled",0)</f>
        <v>-1</v>
      </c>
      <c r="Q18">
        <v>2</v>
      </c>
      <c r="R18">
        <v>225972</v>
      </c>
    </row>
    <row r="19" spans="1:18" x14ac:dyDescent="0.35">
      <c r="A19" t="s">
        <v>28</v>
      </c>
      <c r="B19" t="s">
        <v>111</v>
      </c>
      <c r="C19" t="s">
        <v>119</v>
      </c>
      <c r="D19" t="s">
        <v>125</v>
      </c>
      <c r="E19" t="str">
        <f>CONCATENATE(df_Clean[[#This Row],[Origin]]," - ",df_Clean[[#This Row],[Destination]])</f>
        <v>Medan - Palembang</v>
      </c>
      <c r="F19" t="str">
        <f>IF(df_Clean[[#This Row],[Origin]]=df_Clean[[#This Row],[Destination]],"Within City","Intercity")</f>
        <v>Intercity</v>
      </c>
      <c r="G19" t="s">
        <v>127</v>
      </c>
      <c r="H19">
        <v>921</v>
      </c>
      <c r="I19">
        <v>301</v>
      </c>
      <c r="J19">
        <f>df_Clean[[#This Row],[FuelCost_per_km]]*df_Clean[[#This Row],[Distance_km]]</f>
        <v>277221</v>
      </c>
      <c r="K19" t="s">
        <v>130</v>
      </c>
      <c r="L19" s="1">
        <v>45360</v>
      </c>
      <c r="M19" t="s">
        <v>137</v>
      </c>
      <c r="N19">
        <f>IF(df_Clean[[#This Row],[Status]]="Cancelled",df_Clean[[#This Row],[Revenue]],0)</f>
        <v>0</v>
      </c>
      <c r="O19">
        <f>IF(df_Clean[[#This Row],[Status]]="Late",1,0)</f>
        <v>0</v>
      </c>
      <c r="P19" cm="1">
        <f t="array" ref="P19">_xlfn.SWITCH(df_Clean[[#This Row],[Status]],"On-time",2,"Late",-1,"Cancelled",0)</f>
        <v>2</v>
      </c>
      <c r="Q19">
        <v>2</v>
      </c>
      <c r="R19">
        <v>1853138</v>
      </c>
    </row>
    <row r="20" spans="1:18" x14ac:dyDescent="0.35">
      <c r="A20" t="s">
        <v>29</v>
      </c>
      <c r="B20" t="s">
        <v>114</v>
      </c>
      <c r="C20" t="s">
        <v>119</v>
      </c>
      <c r="D20" t="s">
        <v>118</v>
      </c>
      <c r="E20" t="str">
        <f>CONCATENATE(df_Clean[[#This Row],[Origin]]," - ",df_Clean[[#This Row],[Destination]])</f>
        <v>Medan - Bandung</v>
      </c>
      <c r="F20" t="str">
        <f>IF(df_Clean[[#This Row],[Origin]]=df_Clean[[#This Row],[Destination]],"Within City","Intercity")</f>
        <v>Intercity</v>
      </c>
      <c r="G20" t="s">
        <v>128</v>
      </c>
      <c r="H20">
        <v>713</v>
      </c>
      <c r="I20">
        <v>463</v>
      </c>
      <c r="J20">
        <f>df_Clean[[#This Row],[FuelCost_per_km]]*df_Clean[[#This Row],[Distance_km]]</f>
        <v>330119</v>
      </c>
      <c r="K20" t="s">
        <v>133</v>
      </c>
      <c r="L20" s="1">
        <v>45364</v>
      </c>
      <c r="M20" t="s">
        <v>138</v>
      </c>
      <c r="N20">
        <f>IF(df_Clean[[#This Row],[Status]]="Cancelled",df_Clean[[#This Row],[Revenue]],0)</f>
        <v>0</v>
      </c>
      <c r="O20">
        <f>IF(df_Clean[[#This Row],[Status]]="Late",1,0)</f>
        <v>1</v>
      </c>
      <c r="P20" cm="1">
        <f t="array" ref="P20">_xlfn.SWITCH(df_Clean[[#This Row],[Status]],"On-time",2,"Late",-1,"Cancelled",0)</f>
        <v>-1</v>
      </c>
      <c r="Q20">
        <v>2</v>
      </c>
      <c r="R20">
        <v>1230991</v>
      </c>
    </row>
    <row r="21" spans="1:18" x14ac:dyDescent="0.35">
      <c r="A21" t="s">
        <v>30</v>
      </c>
      <c r="B21" t="s">
        <v>112</v>
      </c>
      <c r="C21" t="s">
        <v>117</v>
      </c>
      <c r="D21" t="s">
        <v>117</v>
      </c>
      <c r="E21" t="str">
        <f>CONCATENATE(df_Clean[[#This Row],[Origin]]," - ",df_Clean[[#This Row],[Destination]])</f>
        <v>Jakarta - Jakarta</v>
      </c>
      <c r="F21" t="str">
        <f>IF(df_Clean[[#This Row],[Origin]]=df_Clean[[#This Row],[Destination]],"Within City","Intercity")</f>
        <v>Within City</v>
      </c>
      <c r="G21" t="s">
        <v>126</v>
      </c>
      <c r="H21">
        <v>180</v>
      </c>
      <c r="I21">
        <v>441</v>
      </c>
      <c r="J21">
        <f>df_Clean[[#This Row],[FuelCost_per_km]]*df_Clean[[#This Row],[Distance_km]]</f>
        <v>79380</v>
      </c>
      <c r="K21" t="s">
        <v>134</v>
      </c>
      <c r="L21" s="1">
        <v>45370</v>
      </c>
      <c r="M21" t="s">
        <v>137</v>
      </c>
      <c r="N21">
        <f>IF(df_Clean[[#This Row],[Status]]="Cancelled",df_Clean[[#This Row],[Revenue]],0)</f>
        <v>0</v>
      </c>
      <c r="O21">
        <f>IF(df_Clean[[#This Row],[Status]]="Late",1,0)</f>
        <v>0</v>
      </c>
      <c r="P21" cm="1">
        <f t="array" ref="P21">_xlfn.SWITCH(df_Clean[[#This Row],[Status]],"On-time",2,"Late",-1,"Cancelled",0)</f>
        <v>2</v>
      </c>
      <c r="Q21">
        <v>2</v>
      </c>
      <c r="R21">
        <v>386131</v>
      </c>
    </row>
    <row r="22" spans="1:18" x14ac:dyDescent="0.35">
      <c r="A22" t="s">
        <v>31</v>
      </c>
      <c r="B22" t="s">
        <v>114</v>
      </c>
      <c r="C22" t="s">
        <v>118</v>
      </c>
      <c r="D22" t="s">
        <v>123</v>
      </c>
      <c r="E22" t="str">
        <f>CONCATENATE(df_Clean[[#This Row],[Origin]]," - ",df_Clean[[#This Row],[Destination]])</f>
        <v>Bandung - Denpasar</v>
      </c>
      <c r="F22" t="str">
        <f>IF(df_Clean[[#This Row],[Origin]]=df_Clean[[#This Row],[Destination]],"Within City","Intercity")</f>
        <v>Intercity</v>
      </c>
      <c r="G22" t="s">
        <v>126</v>
      </c>
      <c r="H22">
        <v>711</v>
      </c>
      <c r="I22">
        <v>446</v>
      </c>
      <c r="J22">
        <f>df_Clean[[#This Row],[FuelCost_per_km]]*df_Clean[[#This Row],[Distance_km]]</f>
        <v>317106</v>
      </c>
      <c r="K22" t="s">
        <v>136</v>
      </c>
      <c r="L22" s="1">
        <v>45371</v>
      </c>
      <c r="M22" t="s">
        <v>137</v>
      </c>
      <c r="N22">
        <f>IF(df_Clean[[#This Row],[Status]]="Cancelled",df_Clean[[#This Row],[Revenue]],0)</f>
        <v>0</v>
      </c>
      <c r="O22">
        <f>IF(df_Clean[[#This Row],[Status]]="Late",1,0)</f>
        <v>0</v>
      </c>
      <c r="P22" cm="1">
        <f t="array" ref="P22">_xlfn.SWITCH(df_Clean[[#This Row],[Status]],"On-time",2,"Late",-1,"Cancelled",0)</f>
        <v>2</v>
      </c>
      <c r="Q22">
        <v>2</v>
      </c>
      <c r="R22">
        <v>1190475</v>
      </c>
    </row>
    <row r="23" spans="1:18" x14ac:dyDescent="0.35">
      <c r="A23" t="s">
        <v>32</v>
      </c>
      <c r="B23" t="s">
        <v>114</v>
      </c>
      <c r="C23" t="s">
        <v>119</v>
      </c>
      <c r="D23" t="s">
        <v>120</v>
      </c>
      <c r="E23" t="str">
        <f>CONCATENATE(df_Clean[[#This Row],[Origin]]," - ",df_Clean[[#This Row],[Destination]])</f>
        <v>Medan - Surabaya</v>
      </c>
      <c r="F23" t="str">
        <f>IF(df_Clean[[#This Row],[Origin]]=df_Clean[[#This Row],[Destination]],"Within City","Intercity")</f>
        <v>Intercity</v>
      </c>
      <c r="G23" t="s">
        <v>126</v>
      </c>
      <c r="H23">
        <v>358</v>
      </c>
      <c r="I23">
        <v>454</v>
      </c>
      <c r="J23">
        <f>df_Clean[[#This Row],[FuelCost_per_km]]*df_Clean[[#This Row],[Distance_km]]</f>
        <v>162532</v>
      </c>
      <c r="K23" t="s">
        <v>135</v>
      </c>
      <c r="L23" s="1">
        <v>45373</v>
      </c>
      <c r="M23" t="s">
        <v>137</v>
      </c>
      <c r="N23">
        <f>IF(df_Clean[[#This Row],[Status]]="Cancelled",df_Clean[[#This Row],[Revenue]],0)</f>
        <v>0</v>
      </c>
      <c r="O23">
        <f>IF(df_Clean[[#This Row],[Status]]="Late",1,0)</f>
        <v>0</v>
      </c>
      <c r="P23" cm="1">
        <f t="array" ref="P23">_xlfn.SWITCH(df_Clean[[#This Row],[Status]],"On-time",2,"Late",-1,"Cancelled",0)</f>
        <v>2</v>
      </c>
      <c r="Q23">
        <v>2</v>
      </c>
      <c r="R23">
        <v>784356</v>
      </c>
    </row>
    <row r="24" spans="1:18" x14ac:dyDescent="0.35">
      <c r="A24" t="s">
        <v>33</v>
      </c>
      <c r="B24" t="s">
        <v>116</v>
      </c>
      <c r="C24" t="s">
        <v>118</v>
      </c>
      <c r="D24" t="s">
        <v>120</v>
      </c>
      <c r="E24" t="str">
        <f>CONCATENATE(df_Clean[[#This Row],[Origin]]," - ",df_Clean[[#This Row],[Destination]])</f>
        <v>Bandung - Surabaya</v>
      </c>
      <c r="F24" t="str">
        <f>IF(df_Clean[[#This Row],[Origin]]=df_Clean[[#This Row],[Destination]],"Within City","Intercity")</f>
        <v>Intercity</v>
      </c>
      <c r="G24" t="s">
        <v>126</v>
      </c>
      <c r="H24">
        <v>819</v>
      </c>
      <c r="I24">
        <v>315</v>
      </c>
      <c r="J24">
        <f>df_Clean[[#This Row],[FuelCost_per_km]]*df_Clean[[#This Row],[Distance_km]]</f>
        <v>257985</v>
      </c>
      <c r="K24" t="s">
        <v>131</v>
      </c>
      <c r="L24" s="1">
        <v>45376</v>
      </c>
      <c r="M24" t="s">
        <v>137</v>
      </c>
      <c r="N24">
        <f>IF(df_Clean[[#This Row],[Status]]="Cancelled",df_Clean[[#This Row],[Revenue]],0)</f>
        <v>0</v>
      </c>
      <c r="O24">
        <f>IF(df_Clean[[#This Row],[Status]]="Late",1,0)</f>
        <v>0</v>
      </c>
      <c r="P24" cm="1">
        <f t="array" ref="P24">_xlfn.SWITCH(df_Clean[[#This Row],[Status]],"On-time",2,"Late",-1,"Cancelled",0)</f>
        <v>2</v>
      </c>
      <c r="Q24">
        <v>2</v>
      </c>
      <c r="R24">
        <v>1545236</v>
      </c>
    </row>
    <row r="25" spans="1:18" x14ac:dyDescent="0.35">
      <c r="A25" t="s">
        <v>34</v>
      </c>
      <c r="B25" t="s">
        <v>112</v>
      </c>
      <c r="C25" t="s">
        <v>119</v>
      </c>
      <c r="D25" t="s">
        <v>125</v>
      </c>
      <c r="E25" t="str">
        <f>CONCATENATE(df_Clean[[#This Row],[Origin]]," - ",df_Clean[[#This Row],[Destination]])</f>
        <v>Medan - Palembang</v>
      </c>
      <c r="F25" t="str">
        <f>IF(df_Clean[[#This Row],[Origin]]=df_Clean[[#This Row],[Destination]],"Within City","Intercity")</f>
        <v>Intercity</v>
      </c>
      <c r="G25" t="s">
        <v>126</v>
      </c>
      <c r="H25">
        <v>393</v>
      </c>
      <c r="I25">
        <v>372</v>
      </c>
      <c r="J25">
        <f>df_Clean[[#This Row],[FuelCost_per_km]]*df_Clean[[#This Row],[Distance_km]]</f>
        <v>146196</v>
      </c>
      <c r="K25" t="s">
        <v>135</v>
      </c>
      <c r="L25" s="1">
        <v>45379</v>
      </c>
      <c r="M25" t="s">
        <v>137</v>
      </c>
      <c r="N25">
        <f>IF(df_Clean[[#This Row],[Status]]="Cancelled",df_Clean[[#This Row],[Revenue]],0)</f>
        <v>0</v>
      </c>
      <c r="O25">
        <f>IF(df_Clean[[#This Row],[Status]]="Late",1,0)</f>
        <v>0</v>
      </c>
      <c r="P25" cm="1">
        <f t="array" ref="P25">_xlfn.SWITCH(df_Clean[[#This Row],[Status]],"On-time",2,"Late",-1,"Cancelled",0)</f>
        <v>2</v>
      </c>
      <c r="Q25">
        <v>2</v>
      </c>
      <c r="R25">
        <v>957635</v>
      </c>
    </row>
    <row r="26" spans="1:18" x14ac:dyDescent="0.35">
      <c r="A26" t="s">
        <v>35</v>
      </c>
      <c r="B26" t="s">
        <v>115</v>
      </c>
      <c r="C26" t="s">
        <v>117</v>
      </c>
      <c r="D26" t="s">
        <v>118</v>
      </c>
      <c r="E26" t="str">
        <f>CONCATENATE(df_Clean[[#This Row],[Origin]]," - ",df_Clean[[#This Row],[Destination]])</f>
        <v>Jakarta - Bandung</v>
      </c>
      <c r="F26" t="str">
        <f>IF(df_Clean[[#This Row],[Origin]]=df_Clean[[#This Row],[Destination]],"Within City","Intercity")</f>
        <v>Intercity</v>
      </c>
      <c r="G26" t="s">
        <v>128</v>
      </c>
      <c r="H26">
        <v>541</v>
      </c>
      <c r="I26">
        <v>323</v>
      </c>
      <c r="J26">
        <f>df_Clean[[#This Row],[FuelCost_per_km]]*df_Clean[[#This Row],[Distance_km]]</f>
        <v>174743</v>
      </c>
      <c r="K26" t="s">
        <v>130</v>
      </c>
      <c r="L26" s="1">
        <v>45386</v>
      </c>
      <c r="M26" t="s">
        <v>137</v>
      </c>
      <c r="N26">
        <f>IF(df_Clean[[#This Row],[Status]]="Cancelled",df_Clean[[#This Row],[Revenue]],0)</f>
        <v>0</v>
      </c>
      <c r="O26">
        <f>IF(df_Clean[[#This Row],[Status]]="Late",1,0)</f>
        <v>0</v>
      </c>
      <c r="P26" cm="1">
        <f t="array" ref="P26">_xlfn.SWITCH(df_Clean[[#This Row],[Status]],"On-time",2,"Late",-1,"Cancelled",0)</f>
        <v>2</v>
      </c>
      <c r="Q26">
        <v>2</v>
      </c>
      <c r="R26">
        <v>885899</v>
      </c>
    </row>
    <row r="27" spans="1:18" x14ac:dyDescent="0.35">
      <c r="A27" t="s">
        <v>36</v>
      </c>
      <c r="B27" t="s">
        <v>116</v>
      </c>
      <c r="C27" t="s">
        <v>120</v>
      </c>
      <c r="D27" t="s">
        <v>120</v>
      </c>
      <c r="E27" t="str">
        <f>CONCATENATE(df_Clean[[#This Row],[Origin]]," - ",df_Clean[[#This Row],[Destination]])</f>
        <v>Surabaya - Surabaya</v>
      </c>
      <c r="F27" t="str">
        <f>IF(df_Clean[[#This Row],[Origin]]=df_Clean[[#This Row],[Destination]],"Within City","Intercity")</f>
        <v>Within City</v>
      </c>
      <c r="G27" t="s">
        <v>127</v>
      </c>
      <c r="H27">
        <v>463</v>
      </c>
      <c r="I27">
        <v>473</v>
      </c>
      <c r="J27">
        <f>df_Clean[[#This Row],[FuelCost_per_km]]*df_Clean[[#This Row],[Distance_km]]</f>
        <v>218999</v>
      </c>
      <c r="K27" t="s">
        <v>131</v>
      </c>
      <c r="L27" s="1">
        <v>45389</v>
      </c>
      <c r="M27" t="s">
        <v>138</v>
      </c>
      <c r="N27">
        <f>IF(df_Clean[[#This Row],[Status]]="Cancelled",df_Clean[[#This Row],[Revenue]],0)</f>
        <v>0</v>
      </c>
      <c r="O27">
        <f>IF(df_Clean[[#This Row],[Status]]="Late",1,0)</f>
        <v>1</v>
      </c>
      <c r="P27" cm="1">
        <f t="array" ref="P27">_xlfn.SWITCH(df_Clean[[#This Row],[Status]],"On-time",2,"Late",-1,"Cancelled",0)</f>
        <v>-1</v>
      </c>
      <c r="Q27">
        <v>2</v>
      </c>
      <c r="R27">
        <v>852414</v>
      </c>
    </row>
    <row r="28" spans="1:18" x14ac:dyDescent="0.35">
      <c r="A28" t="s">
        <v>37</v>
      </c>
      <c r="B28" t="s">
        <v>112</v>
      </c>
      <c r="C28" t="s">
        <v>117</v>
      </c>
      <c r="D28" t="s">
        <v>120</v>
      </c>
      <c r="E28" t="str">
        <f>CONCATENATE(df_Clean[[#This Row],[Origin]]," - ",df_Clean[[#This Row],[Destination]])</f>
        <v>Jakarta - Surabaya</v>
      </c>
      <c r="F28" t="str">
        <f>IF(df_Clean[[#This Row],[Origin]]=df_Clean[[#This Row],[Destination]],"Within City","Intercity")</f>
        <v>Intercity</v>
      </c>
      <c r="G28" t="s">
        <v>129</v>
      </c>
      <c r="H28">
        <v>855</v>
      </c>
      <c r="I28">
        <v>425</v>
      </c>
      <c r="J28">
        <f>df_Clean[[#This Row],[FuelCost_per_km]]*df_Clean[[#This Row],[Distance_km]]</f>
        <v>363375</v>
      </c>
      <c r="K28" t="s">
        <v>135</v>
      </c>
      <c r="L28" s="1">
        <v>45393</v>
      </c>
      <c r="M28" t="s">
        <v>137</v>
      </c>
      <c r="N28">
        <f>IF(df_Clean[[#This Row],[Status]]="Cancelled",df_Clean[[#This Row],[Revenue]],0)</f>
        <v>0</v>
      </c>
      <c r="O28">
        <f>IF(df_Clean[[#This Row],[Status]]="Late",1,0)</f>
        <v>0</v>
      </c>
      <c r="P28" cm="1">
        <f t="array" ref="P28">_xlfn.SWITCH(df_Clean[[#This Row],[Status]],"On-time",2,"Late",-1,"Cancelled",0)</f>
        <v>2</v>
      </c>
      <c r="Q28">
        <v>2</v>
      </c>
      <c r="R28">
        <v>1379520</v>
      </c>
    </row>
    <row r="29" spans="1:18" x14ac:dyDescent="0.35">
      <c r="A29" t="s">
        <v>38</v>
      </c>
      <c r="B29" t="s">
        <v>112</v>
      </c>
      <c r="C29" t="s">
        <v>122</v>
      </c>
      <c r="D29" t="s">
        <v>123</v>
      </c>
      <c r="E29" t="str">
        <f>CONCATENATE(df_Clean[[#This Row],[Origin]]," - ",df_Clean[[#This Row],[Destination]])</f>
        <v>Makassar - Denpasar</v>
      </c>
      <c r="F29" t="str">
        <f>IF(df_Clean[[#This Row],[Origin]]=df_Clean[[#This Row],[Destination]],"Within City","Intercity")</f>
        <v>Intercity</v>
      </c>
      <c r="G29" t="s">
        <v>126</v>
      </c>
      <c r="H29">
        <v>435</v>
      </c>
      <c r="I29">
        <v>366</v>
      </c>
      <c r="J29">
        <f>df_Clean[[#This Row],[FuelCost_per_km]]*df_Clean[[#This Row],[Distance_km]]</f>
        <v>159210</v>
      </c>
      <c r="K29" t="s">
        <v>134</v>
      </c>
      <c r="L29" s="1">
        <v>45395</v>
      </c>
      <c r="M29" t="s">
        <v>137</v>
      </c>
      <c r="N29">
        <f>IF(df_Clean[[#This Row],[Status]]="Cancelled",df_Clean[[#This Row],[Revenue]],0)</f>
        <v>0</v>
      </c>
      <c r="O29">
        <f>IF(df_Clean[[#This Row],[Status]]="Late",1,0)</f>
        <v>0</v>
      </c>
      <c r="P29" cm="1">
        <f t="array" ref="P29">_xlfn.SWITCH(df_Clean[[#This Row],[Status]],"On-time",2,"Late",-1,"Cancelled",0)</f>
        <v>2</v>
      </c>
      <c r="Q29">
        <v>2</v>
      </c>
      <c r="R29">
        <v>1054742</v>
      </c>
    </row>
    <row r="30" spans="1:18" x14ac:dyDescent="0.35">
      <c r="A30" t="s">
        <v>39</v>
      </c>
      <c r="B30" t="s">
        <v>115</v>
      </c>
      <c r="C30" t="s">
        <v>122</v>
      </c>
      <c r="D30" t="s">
        <v>118</v>
      </c>
      <c r="E30" t="str">
        <f>CONCATENATE(df_Clean[[#This Row],[Origin]]," - ",df_Clean[[#This Row],[Destination]])</f>
        <v>Makassar - Bandung</v>
      </c>
      <c r="F30" t="str">
        <f>IF(df_Clean[[#This Row],[Origin]]=df_Clean[[#This Row],[Destination]],"Within City","Intercity")</f>
        <v>Intercity</v>
      </c>
      <c r="G30" t="s">
        <v>126</v>
      </c>
      <c r="H30">
        <v>241</v>
      </c>
      <c r="I30">
        <v>313</v>
      </c>
      <c r="J30">
        <f>df_Clean[[#This Row],[FuelCost_per_km]]*df_Clean[[#This Row],[Distance_km]]</f>
        <v>75433</v>
      </c>
      <c r="K30" t="s">
        <v>133</v>
      </c>
      <c r="L30" s="1">
        <v>45403</v>
      </c>
      <c r="M30" t="s">
        <v>137</v>
      </c>
      <c r="N30">
        <f>IF(df_Clean[[#This Row],[Status]]="Cancelled",df_Clean[[#This Row],[Revenue]],0)</f>
        <v>0</v>
      </c>
      <c r="O30">
        <f>IF(df_Clean[[#This Row],[Status]]="Late",1,0)</f>
        <v>0</v>
      </c>
      <c r="P30" cm="1">
        <f t="array" ref="P30">_xlfn.SWITCH(df_Clean[[#This Row],[Status]],"On-time",2,"Late",-1,"Cancelled",0)</f>
        <v>2</v>
      </c>
      <c r="Q30">
        <v>2</v>
      </c>
      <c r="R30">
        <v>572939</v>
      </c>
    </row>
    <row r="31" spans="1:18" x14ac:dyDescent="0.35">
      <c r="A31" t="s">
        <v>40</v>
      </c>
      <c r="B31" t="s">
        <v>111</v>
      </c>
      <c r="C31" t="s">
        <v>118</v>
      </c>
      <c r="D31" t="s">
        <v>123</v>
      </c>
      <c r="E31" t="str">
        <f>CONCATENATE(df_Clean[[#This Row],[Origin]]," - ",df_Clean[[#This Row],[Destination]])</f>
        <v>Bandung - Denpasar</v>
      </c>
      <c r="F31" t="str">
        <f>IF(df_Clean[[#This Row],[Origin]]=df_Clean[[#This Row],[Destination]],"Within City","Intercity")</f>
        <v>Intercity</v>
      </c>
      <c r="G31" t="s">
        <v>126</v>
      </c>
      <c r="H31">
        <v>326</v>
      </c>
      <c r="I31">
        <v>362</v>
      </c>
      <c r="J31">
        <f>df_Clean[[#This Row],[FuelCost_per_km]]*df_Clean[[#This Row],[Distance_km]]</f>
        <v>118012</v>
      </c>
      <c r="K31" t="s">
        <v>133</v>
      </c>
      <c r="L31" s="1">
        <v>45404</v>
      </c>
      <c r="M31" t="s">
        <v>138</v>
      </c>
      <c r="N31">
        <f>IF(df_Clean[[#This Row],[Status]]="Cancelled",df_Clean[[#This Row],[Revenue]],0)</f>
        <v>0</v>
      </c>
      <c r="O31">
        <f>IF(df_Clean[[#This Row],[Status]]="Late",1,0)</f>
        <v>1</v>
      </c>
      <c r="P31" cm="1">
        <f t="array" ref="P31">_xlfn.SWITCH(df_Clean[[#This Row],[Status]],"On-time",2,"Late",-1,"Cancelled",0)</f>
        <v>-1</v>
      </c>
      <c r="Q31">
        <v>2</v>
      </c>
      <c r="R31">
        <v>573089</v>
      </c>
    </row>
    <row r="32" spans="1:18" x14ac:dyDescent="0.35">
      <c r="A32" t="s">
        <v>41</v>
      </c>
      <c r="B32" t="s">
        <v>114</v>
      </c>
      <c r="C32" t="s">
        <v>120</v>
      </c>
      <c r="D32" t="s">
        <v>118</v>
      </c>
      <c r="E32" t="str">
        <f>CONCATENATE(df_Clean[[#This Row],[Origin]]," - ",df_Clean[[#This Row],[Destination]])</f>
        <v>Surabaya - Bandung</v>
      </c>
      <c r="F32" t="str">
        <f>IF(df_Clean[[#This Row],[Origin]]=df_Clean[[#This Row],[Destination]],"Within City","Intercity")</f>
        <v>Intercity</v>
      </c>
      <c r="G32" t="s">
        <v>126</v>
      </c>
      <c r="H32">
        <v>210</v>
      </c>
      <c r="I32">
        <v>365</v>
      </c>
      <c r="J32">
        <f>df_Clean[[#This Row],[FuelCost_per_km]]*df_Clean[[#This Row],[Distance_km]]</f>
        <v>76650</v>
      </c>
      <c r="K32" t="s">
        <v>134</v>
      </c>
      <c r="L32" s="1">
        <v>45415</v>
      </c>
      <c r="M32" t="s">
        <v>139</v>
      </c>
      <c r="N32">
        <f>IF(df_Clean[[#This Row],[Status]]="Cancelled",df_Clean[[#This Row],[Revenue]],0)</f>
        <v>453597</v>
      </c>
      <c r="O32">
        <f>IF(df_Clean[[#This Row],[Status]]="Late",1,0)</f>
        <v>0</v>
      </c>
      <c r="P32" cm="1">
        <f t="array" ref="P32">_xlfn.SWITCH(df_Clean[[#This Row],[Status]],"On-time",2,"Late",-1,"Cancelled",0)</f>
        <v>0</v>
      </c>
      <c r="Q32">
        <v>2</v>
      </c>
      <c r="R32">
        <v>453597</v>
      </c>
    </row>
    <row r="33" spans="1:18" x14ac:dyDescent="0.35">
      <c r="A33" t="s">
        <v>42</v>
      </c>
      <c r="B33" t="s">
        <v>114</v>
      </c>
      <c r="C33" t="s">
        <v>117</v>
      </c>
      <c r="D33" t="s">
        <v>117</v>
      </c>
      <c r="E33" t="str">
        <f>CONCATENATE(df_Clean[[#This Row],[Origin]]," - ",df_Clean[[#This Row],[Destination]])</f>
        <v>Jakarta - Jakarta</v>
      </c>
      <c r="F33" t="str">
        <f>IF(df_Clean[[#This Row],[Origin]]=df_Clean[[#This Row],[Destination]],"Within City","Intercity")</f>
        <v>Within City</v>
      </c>
      <c r="G33" t="s">
        <v>129</v>
      </c>
      <c r="H33">
        <v>509</v>
      </c>
      <c r="I33">
        <v>446</v>
      </c>
      <c r="J33">
        <f>df_Clean[[#This Row],[FuelCost_per_km]]*df_Clean[[#This Row],[Distance_km]]</f>
        <v>227014</v>
      </c>
      <c r="K33" t="s">
        <v>136</v>
      </c>
      <c r="L33" s="1">
        <v>45416</v>
      </c>
      <c r="M33" t="s">
        <v>137</v>
      </c>
      <c r="N33">
        <f>IF(df_Clean[[#This Row],[Status]]="Cancelled",df_Clean[[#This Row],[Revenue]],0)</f>
        <v>0</v>
      </c>
      <c r="O33">
        <f>IF(df_Clean[[#This Row],[Status]]="Late",1,0)</f>
        <v>0</v>
      </c>
      <c r="P33" cm="1">
        <f t="array" ref="P33">_xlfn.SWITCH(df_Clean[[#This Row],[Status]],"On-time",2,"Late",-1,"Cancelled",0)</f>
        <v>2</v>
      </c>
      <c r="Q33">
        <v>2</v>
      </c>
      <c r="R33">
        <v>1179466</v>
      </c>
    </row>
    <row r="34" spans="1:18" x14ac:dyDescent="0.35">
      <c r="A34" t="s">
        <v>43</v>
      </c>
      <c r="B34" t="s">
        <v>111</v>
      </c>
      <c r="C34" t="s">
        <v>122</v>
      </c>
      <c r="D34" t="s">
        <v>120</v>
      </c>
      <c r="E34" t="str">
        <f>CONCATENATE(df_Clean[[#This Row],[Origin]]," - ",df_Clean[[#This Row],[Destination]])</f>
        <v>Makassar - Surabaya</v>
      </c>
      <c r="F34" t="str">
        <f>IF(df_Clean[[#This Row],[Origin]]=df_Clean[[#This Row],[Destination]],"Within City","Intercity")</f>
        <v>Intercity</v>
      </c>
      <c r="G34" t="s">
        <v>126</v>
      </c>
      <c r="H34">
        <v>363</v>
      </c>
      <c r="I34">
        <v>428</v>
      </c>
      <c r="J34">
        <f>df_Clean[[#This Row],[FuelCost_per_km]]*df_Clean[[#This Row],[Distance_km]]</f>
        <v>155364</v>
      </c>
      <c r="K34" t="s">
        <v>131</v>
      </c>
      <c r="L34" s="1">
        <v>45424</v>
      </c>
      <c r="M34" t="s">
        <v>137</v>
      </c>
      <c r="N34">
        <f>IF(df_Clean[[#This Row],[Status]]="Cancelled",df_Clean[[#This Row],[Revenue]],0)</f>
        <v>0</v>
      </c>
      <c r="O34">
        <f>IF(df_Clean[[#This Row],[Status]]="Late",1,0)</f>
        <v>0</v>
      </c>
      <c r="P34" cm="1">
        <f t="array" ref="P34">_xlfn.SWITCH(df_Clean[[#This Row],[Status]],"On-time",2,"Late",-1,"Cancelled",0)</f>
        <v>2</v>
      </c>
      <c r="Q34">
        <v>2</v>
      </c>
      <c r="R34">
        <v>746038</v>
      </c>
    </row>
    <row r="35" spans="1:18" x14ac:dyDescent="0.35">
      <c r="A35" t="s">
        <v>44</v>
      </c>
      <c r="B35" t="s">
        <v>115</v>
      </c>
      <c r="C35" t="s">
        <v>122</v>
      </c>
      <c r="D35" t="s">
        <v>125</v>
      </c>
      <c r="E35" t="str">
        <f>CONCATENATE(df_Clean[[#This Row],[Origin]]," - ",df_Clean[[#This Row],[Destination]])</f>
        <v>Makassar - Palembang</v>
      </c>
      <c r="F35" t="str">
        <f>IF(df_Clean[[#This Row],[Origin]]=df_Clean[[#This Row],[Destination]],"Within City","Intercity")</f>
        <v>Intercity</v>
      </c>
      <c r="G35" t="s">
        <v>128</v>
      </c>
      <c r="H35">
        <v>71</v>
      </c>
      <c r="I35">
        <v>477</v>
      </c>
      <c r="J35">
        <f>df_Clean[[#This Row],[FuelCost_per_km]]*df_Clean[[#This Row],[Distance_km]]</f>
        <v>33867</v>
      </c>
      <c r="K35" t="s">
        <v>132</v>
      </c>
      <c r="L35" s="1">
        <v>45425</v>
      </c>
      <c r="M35" t="s">
        <v>137</v>
      </c>
      <c r="N35">
        <f>IF(df_Clean[[#This Row],[Status]]="Cancelled",df_Clean[[#This Row],[Revenue]],0)</f>
        <v>0</v>
      </c>
      <c r="O35">
        <f>IF(df_Clean[[#This Row],[Status]]="Late",1,0)</f>
        <v>0</v>
      </c>
      <c r="P35" cm="1">
        <f t="array" ref="P35">_xlfn.SWITCH(df_Clean[[#This Row],[Status]],"On-time",2,"Late",-1,"Cancelled",0)</f>
        <v>2</v>
      </c>
      <c r="Q35">
        <v>2</v>
      </c>
      <c r="R35">
        <v>144105</v>
      </c>
    </row>
    <row r="36" spans="1:18" x14ac:dyDescent="0.35">
      <c r="A36" t="s">
        <v>45</v>
      </c>
      <c r="B36" t="s">
        <v>116</v>
      </c>
      <c r="C36" t="s">
        <v>117</v>
      </c>
      <c r="D36" t="s">
        <v>117</v>
      </c>
      <c r="E36" t="str">
        <f>CONCATENATE(df_Clean[[#This Row],[Origin]]," - ",df_Clean[[#This Row],[Destination]])</f>
        <v>Jakarta - Jakarta</v>
      </c>
      <c r="F36" t="str">
        <f>IF(df_Clean[[#This Row],[Origin]]=df_Clean[[#This Row],[Destination]],"Within City","Intercity")</f>
        <v>Within City</v>
      </c>
      <c r="G36" t="s">
        <v>126</v>
      </c>
      <c r="H36">
        <v>302</v>
      </c>
      <c r="I36">
        <v>394</v>
      </c>
      <c r="J36">
        <f>df_Clean[[#This Row],[FuelCost_per_km]]*df_Clean[[#This Row],[Distance_km]]</f>
        <v>118988</v>
      </c>
      <c r="K36" t="s">
        <v>130</v>
      </c>
      <c r="L36" s="1">
        <v>45428</v>
      </c>
      <c r="M36" t="s">
        <v>137</v>
      </c>
      <c r="N36">
        <f>IF(df_Clean[[#This Row],[Status]]="Cancelled",df_Clean[[#This Row],[Revenue]],0)</f>
        <v>0</v>
      </c>
      <c r="O36">
        <f>IF(df_Clean[[#This Row],[Status]]="Late",1,0)</f>
        <v>0</v>
      </c>
      <c r="P36" cm="1">
        <f t="array" ref="P36">_xlfn.SWITCH(df_Clean[[#This Row],[Status]],"On-time",2,"Late",-1,"Cancelled",0)</f>
        <v>2</v>
      </c>
      <c r="Q36">
        <v>2</v>
      </c>
      <c r="R36">
        <v>526039</v>
      </c>
    </row>
    <row r="37" spans="1:18" x14ac:dyDescent="0.35">
      <c r="A37" t="s">
        <v>46</v>
      </c>
      <c r="B37" t="s">
        <v>111</v>
      </c>
      <c r="C37" t="s">
        <v>121</v>
      </c>
      <c r="D37" t="s">
        <v>118</v>
      </c>
      <c r="E37" t="str">
        <f>CONCATENATE(df_Clean[[#This Row],[Origin]]," - ",df_Clean[[#This Row],[Destination]])</f>
        <v>Semarang - Bandung</v>
      </c>
      <c r="F37" t="str">
        <f>IF(df_Clean[[#This Row],[Origin]]=df_Clean[[#This Row],[Destination]],"Within City","Intercity")</f>
        <v>Intercity</v>
      </c>
      <c r="G37" t="s">
        <v>126</v>
      </c>
      <c r="H37">
        <v>797</v>
      </c>
      <c r="I37">
        <v>324</v>
      </c>
      <c r="J37">
        <f>df_Clean[[#This Row],[FuelCost_per_km]]*df_Clean[[#This Row],[Distance_km]]</f>
        <v>258228</v>
      </c>
      <c r="K37" t="s">
        <v>134</v>
      </c>
      <c r="L37" s="1">
        <v>45430</v>
      </c>
      <c r="M37" t="s">
        <v>137</v>
      </c>
      <c r="N37">
        <f>IF(df_Clean[[#This Row],[Status]]="Cancelled",df_Clean[[#This Row],[Revenue]],0)</f>
        <v>0</v>
      </c>
      <c r="O37">
        <f>IF(df_Clean[[#This Row],[Status]]="Late",1,0)</f>
        <v>0</v>
      </c>
      <c r="P37" cm="1">
        <f t="array" ref="P37">_xlfn.SWITCH(df_Clean[[#This Row],[Status]],"On-time",2,"Late",-1,"Cancelled",0)</f>
        <v>2</v>
      </c>
      <c r="Q37">
        <v>2</v>
      </c>
      <c r="R37">
        <v>1269703</v>
      </c>
    </row>
    <row r="38" spans="1:18" x14ac:dyDescent="0.35">
      <c r="A38" t="s">
        <v>47</v>
      </c>
      <c r="B38" t="s">
        <v>114</v>
      </c>
      <c r="C38" t="s">
        <v>117</v>
      </c>
      <c r="D38" t="s">
        <v>123</v>
      </c>
      <c r="E38" t="str">
        <f>CONCATENATE(df_Clean[[#This Row],[Origin]]," - ",df_Clean[[#This Row],[Destination]])</f>
        <v>Jakarta - Denpasar</v>
      </c>
      <c r="F38" t="str">
        <f>IF(df_Clean[[#This Row],[Origin]]=df_Clean[[#This Row],[Destination]],"Within City","Intercity")</f>
        <v>Intercity</v>
      </c>
      <c r="G38" t="s">
        <v>128</v>
      </c>
      <c r="H38">
        <v>906</v>
      </c>
      <c r="I38">
        <v>443</v>
      </c>
      <c r="J38">
        <f>df_Clean[[#This Row],[FuelCost_per_km]]*df_Clean[[#This Row],[Distance_km]]</f>
        <v>401358</v>
      </c>
      <c r="K38" t="s">
        <v>131</v>
      </c>
      <c r="L38" s="1">
        <v>45432</v>
      </c>
      <c r="M38" t="s">
        <v>137</v>
      </c>
      <c r="N38">
        <f>IF(df_Clean[[#This Row],[Status]]="Cancelled",df_Clean[[#This Row],[Revenue]],0)</f>
        <v>0</v>
      </c>
      <c r="O38">
        <f>IF(df_Clean[[#This Row],[Status]]="Late",1,0)</f>
        <v>0</v>
      </c>
      <c r="P38" cm="1">
        <f t="array" ref="P38">_xlfn.SWITCH(df_Clean[[#This Row],[Status]],"On-time",2,"Late",-1,"Cancelled",0)</f>
        <v>2</v>
      </c>
      <c r="Q38">
        <v>2</v>
      </c>
      <c r="R38">
        <v>2171877</v>
      </c>
    </row>
    <row r="39" spans="1:18" x14ac:dyDescent="0.35">
      <c r="A39" t="s">
        <v>48</v>
      </c>
      <c r="B39" t="s">
        <v>111</v>
      </c>
      <c r="C39" t="s">
        <v>118</v>
      </c>
      <c r="D39" t="s">
        <v>117</v>
      </c>
      <c r="E39" t="str">
        <f>CONCATENATE(df_Clean[[#This Row],[Origin]]," - ",df_Clean[[#This Row],[Destination]])</f>
        <v>Bandung - Jakarta</v>
      </c>
      <c r="F39" t="str">
        <f>IF(df_Clean[[#This Row],[Origin]]=df_Clean[[#This Row],[Destination]],"Within City","Intercity")</f>
        <v>Intercity</v>
      </c>
      <c r="G39" t="s">
        <v>126</v>
      </c>
      <c r="H39">
        <v>610</v>
      </c>
      <c r="I39">
        <v>452</v>
      </c>
      <c r="J39">
        <f>df_Clean[[#This Row],[FuelCost_per_km]]*df_Clean[[#This Row],[Distance_km]]</f>
        <v>275720</v>
      </c>
      <c r="K39" t="s">
        <v>133</v>
      </c>
      <c r="L39" s="1">
        <v>45434</v>
      </c>
      <c r="M39" t="s">
        <v>137</v>
      </c>
      <c r="N39">
        <f>IF(df_Clean[[#This Row],[Status]]="Cancelled",df_Clean[[#This Row],[Revenue]],0)</f>
        <v>0</v>
      </c>
      <c r="O39">
        <f>IF(df_Clean[[#This Row],[Status]]="Late",1,0)</f>
        <v>0</v>
      </c>
      <c r="P39" cm="1">
        <f t="array" ref="P39">_xlfn.SWITCH(df_Clean[[#This Row],[Status]],"On-time",2,"Late",-1,"Cancelled",0)</f>
        <v>2</v>
      </c>
      <c r="Q39">
        <v>2</v>
      </c>
      <c r="R39">
        <v>1464255</v>
      </c>
    </row>
    <row r="40" spans="1:18" x14ac:dyDescent="0.35">
      <c r="A40" t="s">
        <v>49</v>
      </c>
      <c r="B40" t="s">
        <v>115</v>
      </c>
      <c r="C40" t="s">
        <v>118</v>
      </c>
      <c r="D40" t="s">
        <v>120</v>
      </c>
      <c r="E40" t="str">
        <f>CONCATENATE(df_Clean[[#This Row],[Origin]]," - ",df_Clean[[#This Row],[Destination]])</f>
        <v>Bandung - Surabaya</v>
      </c>
      <c r="F40" t="str">
        <f>IF(df_Clean[[#This Row],[Origin]]=df_Clean[[#This Row],[Destination]],"Within City","Intercity")</f>
        <v>Intercity</v>
      </c>
      <c r="G40" t="s">
        <v>129</v>
      </c>
      <c r="H40">
        <v>524</v>
      </c>
      <c r="I40">
        <v>412</v>
      </c>
      <c r="J40">
        <f>df_Clean[[#This Row],[FuelCost_per_km]]*df_Clean[[#This Row],[Distance_km]]</f>
        <v>215888</v>
      </c>
      <c r="K40" t="s">
        <v>130</v>
      </c>
      <c r="L40" s="1">
        <v>45435</v>
      </c>
      <c r="M40" t="s">
        <v>137</v>
      </c>
      <c r="N40">
        <f>IF(df_Clean[[#This Row],[Status]]="Cancelled",df_Clean[[#This Row],[Revenue]],0)</f>
        <v>0</v>
      </c>
      <c r="O40">
        <f>IF(df_Clean[[#This Row],[Status]]="Late",1,0)</f>
        <v>0</v>
      </c>
      <c r="P40" cm="1">
        <f t="array" ref="P40">_xlfn.SWITCH(df_Clean[[#This Row],[Status]],"On-time",2,"Late",-1,"Cancelled",0)</f>
        <v>2</v>
      </c>
      <c r="Q40">
        <v>2</v>
      </c>
      <c r="R40">
        <v>1117745</v>
      </c>
    </row>
    <row r="41" spans="1:18" x14ac:dyDescent="0.35">
      <c r="A41" t="s">
        <v>50</v>
      </c>
      <c r="B41" t="s">
        <v>111</v>
      </c>
      <c r="C41" t="s">
        <v>117</v>
      </c>
      <c r="D41" t="s">
        <v>120</v>
      </c>
      <c r="E41" t="str">
        <f>CONCATENATE(df_Clean[[#This Row],[Origin]]," - ",df_Clean[[#This Row],[Destination]])</f>
        <v>Jakarta - Surabaya</v>
      </c>
      <c r="F41" t="str">
        <f>IF(df_Clean[[#This Row],[Origin]]=df_Clean[[#This Row],[Destination]],"Within City","Intercity")</f>
        <v>Intercity</v>
      </c>
      <c r="G41" t="s">
        <v>129</v>
      </c>
      <c r="H41">
        <v>108</v>
      </c>
      <c r="I41">
        <v>454</v>
      </c>
      <c r="J41">
        <f>df_Clean[[#This Row],[FuelCost_per_km]]*df_Clean[[#This Row],[Distance_km]]</f>
        <v>49032</v>
      </c>
      <c r="K41" t="s">
        <v>133</v>
      </c>
      <c r="L41" s="1">
        <v>45436</v>
      </c>
      <c r="M41" t="s">
        <v>137</v>
      </c>
      <c r="N41">
        <f>IF(df_Clean[[#This Row],[Status]]="Cancelled",df_Clean[[#This Row],[Revenue]],0)</f>
        <v>0</v>
      </c>
      <c r="O41">
        <f>IF(df_Clean[[#This Row],[Status]]="Late",1,0)</f>
        <v>0</v>
      </c>
      <c r="P41" cm="1">
        <f t="array" ref="P41">_xlfn.SWITCH(df_Clean[[#This Row],[Status]],"On-time",2,"Late",-1,"Cancelled",0)</f>
        <v>2</v>
      </c>
      <c r="Q41">
        <v>2</v>
      </c>
      <c r="R41">
        <v>198615</v>
      </c>
    </row>
    <row r="42" spans="1:18" x14ac:dyDescent="0.35">
      <c r="A42" t="s">
        <v>51</v>
      </c>
      <c r="B42" t="s">
        <v>114</v>
      </c>
      <c r="C42" t="s">
        <v>121</v>
      </c>
      <c r="D42" t="s">
        <v>124</v>
      </c>
      <c r="E42" t="str">
        <f>CONCATENATE(df_Clean[[#This Row],[Origin]]," - ",df_Clean[[#This Row],[Destination]])</f>
        <v>Semarang - Yogyakarta</v>
      </c>
      <c r="F42" t="str">
        <f>IF(df_Clean[[#This Row],[Origin]]=df_Clean[[#This Row],[Destination]],"Within City","Intercity")</f>
        <v>Intercity</v>
      </c>
      <c r="G42" t="s">
        <v>126</v>
      </c>
      <c r="H42">
        <v>560</v>
      </c>
      <c r="I42">
        <v>399</v>
      </c>
      <c r="J42">
        <f>df_Clean[[#This Row],[FuelCost_per_km]]*df_Clean[[#This Row],[Distance_km]]</f>
        <v>223440</v>
      </c>
      <c r="K42" t="s">
        <v>135</v>
      </c>
      <c r="L42" s="1">
        <v>45437</v>
      </c>
      <c r="M42" t="s">
        <v>139</v>
      </c>
      <c r="N42">
        <f>IF(df_Clean[[#This Row],[Status]]="Cancelled",df_Clean[[#This Row],[Revenue]],0)</f>
        <v>1035557</v>
      </c>
      <c r="O42">
        <f>IF(df_Clean[[#This Row],[Status]]="Late",1,0)</f>
        <v>0</v>
      </c>
      <c r="P42" cm="1">
        <f t="array" ref="P42">_xlfn.SWITCH(df_Clean[[#This Row],[Status]],"On-time",2,"Late",-1,"Cancelled",0)</f>
        <v>0</v>
      </c>
      <c r="Q42">
        <v>2</v>
      </c>
      <c r="R42">
        <v>1035557</v>
      </c>
    </row>
    <row r="43" spans="1:18" x14ac:dyDescent="0.35">
      <c r="A43" t="s">
        <v>52</v>
      </c>
      <c r="B43" t="s">
        <v>112</v>
      </c>
      <c r="C43" t="s">
        <v>119</v>
      </c>
      <c r="D43" t="s">
        <v>120</v>
      </c>
      <c r="E43" t="str">
        <f>CONCATENATE(df_Clean[[#This Row],[Origin]]," - ",df_Clean[[#This Row],[Destination]])</f>
        <v>Medan - Surabaya</v>
      </c>
      <c r="F43" t="str">
        <f>IF(df_Clean[[#This Row],[Origin]]=df_Clean[[#This Row],[Destination]],"Within City","Intercity")</f>
        <v>Intercity</v>
      </c>
      <c r="G43" t="s">
        <v>128</v>
      </c>
      <c r="H43">
        <v>731</v>
      </c>
      <c r="I43">
        <v>405</v>
      </c>
      <c r="J43">
        <f>df_Clean[[#This Row],[FuelCost_per_km]]*df_Clean[[#This Row],[Distance_km]]</f>
        <v>296055</v>
      </c>
      <c r="K43" t="s">
        <v>132</v>
      </c>
      <c r="L43" s="1">
        <v>45442</v>
      </c>
      <c r="M43" t="s">
        <v>137</v>
      </c>
      <c r="N43">
        <f>IF(df_Clean[[#This Row],[Status]]="Cancelled",df_Clean[[#This Row],[Revenue]],0)</f>
        <v>0</v>
      </c>
      <c r="O43">
        <f>IF(df_Clean[[#This Row],[Status]]="Late",1,0)</f>
        <v>0</v>
      </c>
      <c r="P43" cm="1">
        <f t="array" ref="P43">_xlfn.SWITCH(df_Clean[[#This Row],[Status]],"On-time",2,"Late",-1,"Cancelled",0)</f>
        <v>2</v>
      </c>
      <c r="Q43">
        <v>2</v>
      </c>
      <c r="R43">
        <v>1627174</v>
      </c>
    </row>
    <row r="44" spans="1:18" x14ac:dyDescent="0.35">
      <c r="A44" t="s">
        <v>53</v>
      </c>
      <c r="B44" t="s">
        <v>113</v>
      </c>
      <c r="C44" t="s">
        <v>120</v>
      </c>
      <c r="D44" t="s">
        <v>120</v>
      </c>
      <c r="E44" t="str">
        <f>CONCATENATE(df_Clean[[#This Row],[Origin]]," - ",df_Clean[[#This Row],[Destination]])</f>
        <v>Surabaya - Surabaya</v>
      </c>
      <c r="F44" t="str">
        <f>IF(df_Clean[[#This Row],[Origin]]=df_Clean[[#This Row],[Destination]],"Within City","Intercity")</f>
        <v>Within City</v>
      </c>
      <c r="G44" t="s">
        <v>128</v>
      </c>
      <c r="H44">
        <v>525</v>
      </c>
      <c r="I44">
        <v>386</v>
      </c>
      <c r="J44">
        <f>df_Clean[[#This Row],[FuelCost_per_km]]*df_Clean[[#This Row],[Distance_km]]</f>
        <v>202650</v>
      </c>
      <c r="K44" t="s">
        <v>135</v>
      </c>
      <c r="L44" s="1">
        <v>45452</v>
      </c>
      <c r="M44" t="s">
        <v>137</v>
      </c>
      <c r="N44">
        <f>IF(df_Clean[[#This Row],[Status]]="Cancelled",df_Clean[[#This Row],[Revenue]],0)</f>
        <v>0</v>
      </c>
      <c r="O44">
        <f>IF(df_Clean[[#This Row],[Status]]="Late",1,0)</f>
        <v>0</v>
      </c>
      <c r="P44" cm="1">
        <f t="array" ref="P44">_xlfn.SWITCH(df_Clean[[#This Row],[Status]],"On-time",2,"Late",-1,"Cancelled",0)</f>
        <v>2</v>
      </c>
      <c r="Q44">
        <v>2</v>
      </c>
      <c r="R44">
        <v>1258483</v>
      </c>
    </row>
    <row r="45" spans="1:18" x14ac:dyDescent="0.35">
      <c r="A45" t="s">
        <v>54</v>
      </c>
      <c r="B45" t="s">
        <v>113</v>
      </c>
      <c r="C45" t="s">
        <v>122</v>
      </c>
      <c r="D45" t="s">
        <v>123</v>
      </c>
      <c r="E45" t="str">
        <f>CONCATENATE(df_Clean[[#This Row],[Origin]]," - ",df_Clean[[#This Row],[Destination]])</f>
        <v>Makassar - Denpasar</v>
      </c>
      <c r="F45" t="str">
        <f>IF(df_Clean[[#This Row],[Origin]]=df_Clean[[#This Row],[Destination]],"Within City","Intercity")</f>
        <v>Intercity</v>
      </c>
      <c r="G45" t="s">
        <v>128</v>
      </c>
      <c r="H45">
        <v>749</v>
      </c>
      <c r="I45">
        <v>305</v>
      </c>
      <c r="J45">
        <f>df_Clean[[#This Row],[FuelCost_per_km]]*df_Clean[[#This Row],[Distance_km]]</f>
        <v>228445</v>
      </c>
      <c r="K45" t="s">
        <v>132</v>
      </c>
      <c r="L45" s="1">
        <v>45453</v>
      </c>
      <c r="M45" t="s">
        <v>137</v>
      </c>
      <c r="N45">
        <f>IF(df_Clean[[#This Row],[Status]]="Cancelled",df_Clean[[#This Row],[Revenue]],0)</f>
        <v>0</v>
      </c>
      <c r="O45">
        <f>IF(df_Clean[[#This Row],[Status]]="Late",1,0)</f>
        <v>0</v>
      </c>
      <c r="P45" cm="1">
        <f t="array" ref="P45">_xlfn.SWITCH(df_Clean[[#This Row],[Status]],"On-time",2,"Late",-1,"Cancelled",0)</f>
        <v>2</v>
      </c>
      <c r="Q45">
        <v>2</v>
      </c>
      <c r="R45">
        <v>1787928</v>
      </c>
    </row>
    <row r="46" spans="1:18" x14ac:dyDescent="0.35">
      <c r="A46" t="s">
        <v>55</v>
      </c>
      <c r="B46" t="s">
        <v>112</v>
      </c>
      <c r="C46" t="s">
        <v>121</v>
      </c>
      <c r="D46" t="s">
        <v>117</v>
      </c>
      <c r="E46" t="str">
        <f>CONCATENATE(df_Clean[[#This Row],[Origin]]," - ",df_Clean[[#This Row],[Destination]])</f>
        <v>Semarang - Jakarta</v>
      </c>
      <c r="F46" t="str">
        <f>IF(df_Clean[[#This Row],[Origin]]=df_Clean[[#This Row],[Destination]],"Within City","Intercity")</f>
        <v>Intercity</v>
      </c>
      <c r="G46" t="s">
        <v>129</v>
      </c>
      <c r="H46">
        <v>832</v>
      </c>
      <c r="I46">
        <v>322</v>
      </c>
      <c r="J46">
        <f>df_Clean[[#This Row],[FuelCost_per_km]]*df_Clean[[#This Row],[Distance_km]]</f>
        <v>267904</v>
      </c>
      <c r="K46" t="s">
        <v>132</v>
      </c>
      <c r="L46" s="1">
        <v>45454</v>
      </c>
      <c r="M46" t="s">
        <v>138</v>
      </c>
      <c r="N46">
        <f>IF(df_Clean[[#This Row],[Status]]="Cancelled",df_Clean[[#This Row],[Revenue]],0)</f>
        <v>0</v>
      </c>
      <c r="O46">
        <f>IF(df_Clean[[#This Row],[Status]]="Late",1,0)</f>
        <v>1</v>
      </c>
      <c r="P46" cm="1">
        <f t="array" ref="P46">_xlfn.SWITCH(df_Clean[[#This Row],[Status]],"On-time",2,"Late",-1,"Cancelled",0)</f>
        <v>-1</v>
      </c>
      <c r="Q46">
        <v>2</v>
      </c>
      <c r="R46">
        <v>1896856</v>
      </c>
    </row>
    <row r="47" spans="1:18" x14ac:dyDescent="0.35">
      <c r="A47" t="s">
        <v>56</v>
      </c>
      <c r="B47" t="s">
        <v>113</v>
      </c>
      <c r="C47" t="s">
        <v>120</v>
      </c>
      <c r="D47" t="s">
        <v>125</v>
      </c>
      <c r="E47" t="str">
        <f>CONCATENATE(df_Clean[[#This Row],[Origin]]," - ",df_Clean[[#This Row],[Destination]])</f>
        <v>Surabaya - Palembang</v>
      </c>
      <c r="F47" t="str">
        <f>IF(df_Clean[[#This Row],[Origin]]=df_Clean[[#This Row],[Destination]],"Within City","Intercity")</f>
        <v>Intercity</v>
      </c>
      <c r="G47" t="s">
        <v>126</v>
      </c>
      <c r="H47">
        <v>239</v>
      </c>
      <c r="I47">
        <v>306</v>
      </c>
      <c r="J47">
        <f>df_Clean[[#This Row],[FuelCost_per_km]]*df_Clean[[#This Row],[Distance_km]]</f>
        <v>73134</v>
      </c>
      <c r="K47" t="s">
        <v>135</v>
      </c>
      <c r="L47" s="1">
        <v>45456</v>
      </c>
      <c r="M47" t="s">
        <v>137</v>
      </c>
      <c r="N47">
        <f>IF(df_Clean[[#This Row],[Status]]="Cancelled",df_Clean[[#This Row],[Revenue]],0)</f>
        <v>0</v>
      </c>
      <c r="O47">
        <f>IF(df_Clean[[#This Row],[Status]]="Late",1,0)</f>
        <v>0</v>
      </c>
      <c r="P47" cm="1">
        <f t="array" ref="P47">_xlfn.SWITCH(df_Clean[[#This Row],[Status]],"On-time",2,"Late",-1,"Cancelled",0)</f>
        <v>2</v>
      </c>
      <c r="Q47">
        <v>2</v>
      </c>
      <c r="R47">
        <v>511946</v>
      </c>
    </row>
    <row r="48" spans="1:18" x14ac:dyDescent="0.35">
      <c r="A48" t="s">
        <v>57</v>
      </c>
      <c r="B48" t="s">
        <v>112</v>
      </c>
      <c r="C48" t="s">
        <v>119</v>
      </c>
      <c r="D48" t="s">
        <v>117</v>
      </c>
      <c r="E48" t="str">
        <f>CONCATENATE(df_Clean[[#This Row],[Origin]]," - ",df_Clean[[#This Row],[Destination]])</f>
        <v>Medan - Jakarta</v>
      </c>
      <c r="F48" t="str">
        <f>IF(df_Clean[[#This Row],[Origin]]=df_Clean[[#This Row],[Destination]],"Within City","Intercity")</f>
        <v>Intercity</v>
      </c>
      <c r="G48" t="s">
        <v>126</v>
      </c>
      <c r="H48">
        <v>736</v>
      </c>
      <c r="I48">
        <v>427</v>
      </c>
      <c r="J48">
        <f>df_Clean[[#This Row],[FuelCost_per_km]]*df_Clean[[#This Row],[Distance_km]]</f>
        <v>314272</v>
      </c>
      <c r="K48" t="s">
        <v>133</v>
      </c>
      <c r="L48" s="1">
        <v>45459</v>
      </c>
      <c r="M48" t="s">
        <v>138</v>
      </c>
      <c r="N48">
        <f>IF(df_Clean[[#This Row],[Status]]="Cancelled",df_Clean[[#This Row],[Revenue]],0)</f>
        <v>0</v>
      </c>
      <c r="O48">
        <f>IF(df_Clean[[#This Row],[Status]]="Late",1,0)</f>
        <v>1</v>
      </c>
      <c r="P48" cm="1">
        <f t="array" ref="P48">_xlfn.SWITCH(df_Clean[[#This Row],[Status]],"On-time",2,"Late",-1,"Cancelled",0)</f>
        <v>-1</v>
      </c>
      <c r="Q48">
        <v>2</v>
      </c>
      <c r="R48">
        <v>1165927</v>
      </c>
    </row>
    <row r="49" spans="1:18" x14ac:dyDescent="0.35">
      <c r="A49" t="s">
        <v>58</v>
      </c>
      <c r="B49" t="s">
        <v>113</v>
      </c>
      <c r="C49" t="s">
        <v>118</v>
      </c>
      <c r="D49" t="s">
        <v>124</v>
      </c>
      <c r="E49" t="str">
        <f>CONCATENATE(df_Clean[[#This Row],[Origin]]," - ",df_Clean[[#This Row],[Destination]])</f>
        <v>Bandung - Yogyakarta</v>
      </c>
      <c r="F49" t="str">
        <f>IF(df_Clean[[#This Row],[Origin]]=df_Clean[[#This Row],[Destination]],"Within City","Intercity")</f>
        <v>Intercity</v>
      </c>
      <c r="G49" t="s">
        <v>129</v>
      </c>
      <c r="H49">
        <v>612</v>
      </c>
      <c r="I49">
        <v>363</v>
      </c>
      <c r="J49">
        <f>df_Clean[[#This Row],[FuelCost_per_km]]*df_Clean[[#This Row],[Distance_km]]</f>
        <v>222156</v>
      </c>
      <c r="K49" t="s">
        <v>130</v>
      </c>
      <c r="L49" s="1">
        <v>45460</v>
      </c>
      <c r="M49" t="s">
        <v>137</v>
      </c>
      <c r="N49">
        <f>IF(df_Clean[[#This Row],[Status]]="Cancelled",df_Clean[[#This Row],[Revenue]],0)</f>
        <v>0</v>
      </c>
      <c r="O49">
        <f>IF(df_Clean[[#This Row],[Status]]="Late",1,0)</f>
        <v>0</v>
      </c>
      <c r="P49" cm="1">
        <f t="array" ref="P49">_xlfn.SWITCH(df_Clean[[#This Row],[Status]],"On-time",2,"Late",-1,"Cancelled",0)</f>
        <v>2</v>
      </c>
      <c r="Q49">
        <v>2</v>
      </c>
      <c r="R49">
        <v>1016917</v>
      </c>
    </row>
    <row r="50" spans="1:18" x14ac:dyDescent="0.35">
      <c r="A50" t="s">
        <v>59</v>
      </c>
      <c r="B50" t="s">
        <v>111</v>
      </c>
      <c r="C50" t="s">
        <v>120</v>
      </c>
      <c r="D50" t="s">
        <v>125</v>
      </c>
      <c r="E50" t="str">
        <f>CONCATENATE(df_Clean[[#This Row],[Origin]]," - ",df_Clean[[#This Row],[Destination]])</f>
        <v>Surabaya - Palembang</v>
      </c>
      <c r="F50" t="str">
        <f>IF(df_Clean[[#This Row],[Origin]]=df_Clean[[#This Row],[Destination]],"Within City","Intercity")</f>
        <v>Intercity</v>
      </c>
      <c r="G50" t="s">
        <v>127</v>
      </c>
      <c r="H50">
        <v>925</v>
      </c>
      <c r="I50">
        <v>402</v>
      </c>
      <c r="J50">
        <f>df_Clean[[#This Row],[FuelCost_per_km]]*df_Clean[[#This Row],[Distance_km]]</f>
        <v>371850</v>
      </c>
      <c r="K50" t="s">
        <v>133</v>
      </c>
      <c r="L50" s="1">
        <v>45462</v>
      </c>
      <c r="M50" t="s">
        <v>137</v>
      </c>
      <c r="N50">
        <f>IF(df_Clean[[#This Row],[Status]]="Cancelled",df_Clean[[#This Row],[Revenue]],0)</f>
        <v>0</v>
      </c>
      <c r="O50">
        <f>IF(df_Clean[[#This Row],[Status]]="Late",1,0)</f>
        <v>0</v>
      </c>
      <c r="P50" cm="1">
        <f t="array" ref="P50">_xlfn.SWITCH(df_Clean[[#This Row],[Status]],"On-time",2,"Late",-1,"Cancelled",0)</f>
        <v>2</v>
      </c>
      <c r="Q50">
        <v>2</v>
      </c>
      <c r="R50">
        <v>2218663</v>
      </c>
    </row>
    <row r="51" spans="1:18" x14ac:dyDescent="0.35">
      <c r="A51" t="s">
        <v>60</v>
      </c>
      <c r="B51" t="s">
        <v>116</v>
      </c>
      <c r="C51" t="s">
        <v>120</v>
      </c>
      <c r="D51" t="s">
        <v>117</v>
      </c>
      <c r="E51" t="str">
        <f>CONCATENATE(df_Clean[[#This Row],[Origin]]," - ",df_Clean[[#This Row],[Destination]])</f>
        <v>Surabaya - Jakarta</v>
      </c>
      <c r="F51" t="str">
        <f>IF(df_Clean[[#This Row],[Origin]]=df_Clean[[#This Row],[Destination]],"Within City","Intercity")</f>
        <v>Intercity</v>
      </c>
      <c r="G51" t="s">
        <v>129</v>
      </c>
      <c r="H51">
        <v>616</v>
      </c>
      <c r="I51">
        <v>482</v>
      </c>
      <c r="J51">
        <f>df_Clean[[#This Row],[FuelCost_per_km]]*df_Clean[[#This Row],[Distance_km]]</f>
        <v>296912</v>
      </c>
      <c r="K51" t="s">
        <v>130</v>
      </c>
      <c r="L51" s="1">
        <v>45463</v>
      </c>
      <c r="M51" t="s">
        <v>137</v>
      </c>
      <c r="N51">
        <f>IF(df_Clean[[#This Row],[Status]]="Cancelled",df_Clean[[#This Row],[Revenue]],0)</f>
        <v>0</v>
      </c>
      <c r="O51">
        <f>IF(df_Clean[[#This Row],[Status]]="Late",1,0)</f>
        <v>0</v>
      </c>
      <c r="P51" cm="1">
        <f t="array" ref="P51">_xlfn.SWITCH(df_Clean[[#This Row],[Status]],"On-time",2,"Late",-1,"Cancelled",0)</f>
        <v>2</v>
      </c>
      <c r="Q51">
        <v>2</v>
      </c>
      <c r="R51">
        <v>1297560</v>
      </c>
    </row>
    <row r="52" spans="1:18" x14ac:dyDescent="0.35">
      <c r="A52" t="s">
        <v>61</v>
      </c>
      <c r="B52" t="s">
        <v>116</v>
      </c>
      <c r="C52" t="s">
        <v>122</v>
      </c>
      <c r="D52" t="s">
        <v>117</v>
      </c>
      <c r="E52" t="str">
        <f>CONCATENATE(df_Clean[[#This Row],[Origin]]," - ",df_Clean[[#This Row],[Destination]])</f>
        <v>Makassar - Jakarta</v>
      </c>
      <c r="F52" t="str">
        <f>IF(df_Clean[[#This Row],[Origin]]=df_Clean[[#This Row],[Destination]],"Within City","Intercity")</f>
        <v>Intercity</v>
      </c>
      <c r="G52" t="s">
        <v>126</v>
      </c>
      <c r="H52">
        <v>293</v>
      </c>
      <c r="I52">
        <v>350</v>
      </c>
      <c r="J52">
        <f>df_Clean[[#This Row],[FuelCost_per_km]]*df_Clean[[#This Row],[Distance_km]]</f>
        <v>102550</v>
      </c>
      <c r="K52" t="s">
        <v>132</v>
      </c>
      <c r="L52" s="1">
        <v>45465</v>
      </c>
      <c r="M52" t="s">
        <v>137</v>
      </c>
      <c r="N52">
        <f>IF(df_Clean[[#This Row],[Status]]="Cancelled",df_Clean[[#This Row],[Revenue]],0)</f>
        <v>0</v>
      </c>
      <c r="O52">
        <f>IF(df_Clean[[#This Row],[Status]]="Late",1,0)</f>
        <v>0</v>
      </c>
      <c r="P52" cm="1">
        <f t="array" ref="P52">_xlfn.SWITCH(df_Clean[[#This Row],[Status]],"On-time",2,"Late",-1,"Cancelled",0)</f>
        <v>2</v>
      </c>
      <c r="Q52">
        <v>2</v>
      </c>
      <c r="R52">
        <v>442195</v>
      </c>
    </row>
    <row r="53" spans="1:18" x14ac:dyDescent="0.35">
      <c r="A53" t="s">
        <v>62</v>
      </c>
      <c r="B53" t="s">
        <v>113</v>
      </c>
      <c r="C53" t="s">
        <v>119</v>
      </c>
      <c r="D53" t="s">
        <v>125</v>
      </c>
      <c r="E53" t="str">
        <f>CONCATENATE(df_Clean[[#This Row],[Origin]]," - ",df_Clean[[#This Row],[Destination]])</f>
        <v>Medan - Palembang</v>
      </c>
      <c r="F53" t="str">
        <f>IF(df_Clean[[#This Row],[Origin]]=df_Clean[[#This Row],[Destination]],"Within City","Intercity")</f>
        <v>Intercity</v>
      </c>
      <c r="G53" t="s">
        <v>127</v>
      </c>
      <c r="H53">
        <v>881</v>
      </c>
      <c r="I53">
        <v>382</v>
      </c>
      <c r="J53">
        <f>df_Clean[[#This Row],[FuelCost_per_km]]*df_Clean[[#This Row],[Distance_km]]</f>
        <v>336542</v>
      </c>
      <c r="K53" t="s">
        <v>133</v>
      </c>
      <c r="L53" s="1">
        <v>45478</v>
      </c>
      <c r="M53" t="s">
        <v>137</v>
      </c>
      <c r="N53">
        <f>IF(df_Clean[[#This Row],[Status]]="Cancelled",df_Clean[[#This Row],[Revenue]],0)</f>
        <v>0</v>
      </c>
      <c r="O53">
        <f>IF(df_Clean[[#This Row],[Status]]="Late",1,0)</f>
        <v>0</v>
      </c>
      <c r="P53" cm="1">
        <f t="array" ref="P53">_xlfn.SWITCH(df_Clean[[#This Row],[Status]],"On-time",2,"Late",-1,"Cancelled",0)</f>
        <v>2</v>
      </c>
      <c r="Q53">
        <v>2</v>
      </c>
      <c r="R53">
        <v>1410896</v>
      </c>
    </row>
    <row r="54" spans="1:18" x14ac:dyDescent="0.35">
      <c r="A54" t="s">
        <v>63</v>
      </c>
      <c r="B54" t="s">
        <v>113</v>
      </c>
      <c r="C54" t="s">
        <v>121</v>
      </c>
      <c r="D54" t="s">
        <v>118</v>
      </c>
      <c r="E54" t="str">
        <f>CONCATENATE(df_Clean[[#This Row],[Origin]]," - ",df_Clean[[#This Row],[Destination]])</f>
        <v>Semarang - Bandung</v>
      </c>
      <c r="F54" t="str">
        <f>IF(df_Clean[[#This Row],[Origin]]=df_Clean[[#This Row],[Destination]],"Within City","Intercity")</f>
        <v>Intercity</v>
      </c>
      <c r="G54" t="s">
        <v>126</v>
      </c>
      <c r="H54">
        <v>554</v>
      </c>
      <c r="I54">
        <v>451</v>
      </c>
      <c r="J54">
        <f>df_Clean[[#This Row],[FuelCost_per_km]]*df_Clean[[#This Row],[Distance_km]]</f>
        <v>249854</v>
      </c>
      <c r="K54" t="s">
        <v>130</v>
      </c>
      <c r="L54" s="1">
        <v>45483</v>
      </c>
      <c r="M54" t="s">
        <v>138</v>
      </c>
      <c r="N54">
        <f>IF(df_Clean[[#This Row],[Status]]="Cancelled",df_Clean[[#This Row],[Revenue]],0)</f>
        <v>0</v>
      </c>
      <c r="O54">
        <f>IF(df_Clean[[#This Row],[Status]]="Late",1,0)</f>
        <v>1</v>
      </c>
      <c r="P54" cm="1">
        <f t="array" ref="P54">_xlfn.SWITCH(df_Clean[[#This Row],[Status]],"On-time",2,"Late",-1,"Cancelled",0)</f>
        <v>-1</v>
      </c>
      <c r="Q54">
        <v>2</v>
      </c>
      <c r="R54">
        <v>1198580</v>
      </c>
    </row>
    <row r="55" spans="1:18" x14ac:dyDescent="0.35">
      <c r="A55" t="s">
        <v>64</v>
      </c>
      <c r="B55" t="s">
        <v>115</v>
      </c>
      <c r="C55" t="s">
        <v>119</v>
      </c>
      <c r="D55" t="s">
        <v>124</v>
      </c>
      <c r="E55" t="str">
        <f>CONCATENATE(df_Clean[[#This Row],[Origin]]," - ",df_Clean[[#This Row],[Destination]])</f>
        <v>Medan - Yogyakarta</v>
      </c>
      <c r="F55" t="str">
        <f>IF(df_Clean[[#This Row],[Origin]]=df_Clean[[#This Row],[Destination]],"Within City","Intercity")</f>
        <v>Intercity</v>
      </c>
      <c r="G55" t="s">
        <v>128</v>
      </c>
      <c r="H55">
        <v>180</v>
      </c>
      <c r="I55">
        <v>346</v>
      </c>
      <c r="J55">
        <f>df_Clean[[#This Row],[FuelCost_per_km]]*df_Clean[[#This Row],[Distance_km]]</f>
        <v>62280</v>
      </c>
      <c r="K55" t="s">
        <v>131</v>
      </c>
      <c r="L55" s="1">
        <v>45484</v>
      </c>
      <c r="M55" t="s">
        <v>137</v>
      </c>
      <c r="N55">
        <f>IF(df_Clean[[#This Row],[Status]]="Cancelled",df_Clean[[#This Row],[Revenue]],0)</f>
        <v>0</v>
      </c>
      <c r="O55">
        <f>IF(df_Clean[[#This Row],[Status]]="Late",1,0)</f>
        <v>0</v>
      </c>
      <c r="P55" cm="1">
        <f t="array" ref="P55">_xlfn.SWITCH(df_Clean[[#This Row],[Status]],"On-time",2,"Late",-1,"Cancelled",0)</f>
        <v>2</v>
      </c>
      <c r="Q55">
        <v>2</v>
      </c>
      <c r="R55">
        <v>270911</v>
      </c>
    </row>
    <row r="56" spans="1:18" x14ac:dyDescent="0.35">
      <c r="A56" t="s">
        <v>65</v>
      </c>
      <c r="B56" t="s">
        <v>111</v>
      </c>
      <c r="C56" t="s">
        <v>117</v>
      </c>
      <c r="D56" t="s">
        <v>123</v>
      </c>
      <c r="E56" t="str">
        <f>CONCATENATE(df_Clean[[#This Row],[Origin]]," - ",df_Clean[[#This Row],[Destination]])</f>
        <v>Jakarta - Denpasar</v>
      </c>
      <c r="F56" t="str">
        <f>IF(df_Clean[[#This Row],[Origin]]=df_Clean[[#This Row],[Destination]],"Within City","Intercity")</f>
        <v>Intercity</v>
      </c>
      <c r="G56" t="s">
        <v>126</v>
      </c>
      <c r="H56">
        <v>534</v>
      </c>
      <c r="I56">
        <v>315</v>
      </c>
      <c r="J56">
        <f>df_Clean[[#This Row],[FuelCost_per_km]]*df_Clean[[#This Row],[Distance_km]]</f>
        <v>168210</v>
      </c>
      <c r="K56" t="s">
        <v>131</v>
      </c>
      <c r="L56" s="1">
        <v>45491</v>
      </c>
      <c r="M56" t="s">
        <v>138</v>
      </c>
      <c r="N56">
        <f>IF(df_Clean[[#This Row],[Status]]="Cancelled",df_Clean[[#This Row],[Revenue]],0)</f>
        <v>0</v>
      </c>
      <c r="O56">
        <f>IF(df_Clean[[#This Row],[Status]]="Late",1,0)</f>
        <v>1</v>
      </c>
      <c r="P56" cm="1">
        <f t="array" ref="P56">_xlfn.SWITCH(df_Clean[[#This Row],[Status]],"On-time",2,"Late",-1,"Cancelled",0)</f>
        <v>-1</v>
      </c>
      <c r="Q56">
        <v>2</v>
      </c>
      <c r="R56">
        <v>886871</v>
      </c>
    </row>
    <row r="57" spans="1:18" x14ac:dyDescent="0.35">
      <c r="A57" t="s">
        <v>66</v>
      </c>
      <c r="B57" t="s">
        <v>111</v>
      </c>
      <c r="C57" t="s">
        <v>120</v>
      </c>
      <c r="D57" t="s">
        <v>123</v>
      </c>
      <c r="E57" t="str">
        <f>CONCATENATE(df_Clean[[#This Row],[Origin]]," - ",df_Clean[[#This Row],[Destination]])</f>
        <v>Surabaya - Denpasar</v>
      </c>
      <c r="F57" t="str">
        <f>IF(df_Clean[[#This Row],[Origin]]=df_Clean[[#This Row],[Destination]],"Within City","Intercity")</f>
        <v>Intercity</v>
      </c>
      <c r="G57" t="s">
        <v>128</v>
      </c>
      <c r="H57">
        <v>868</v>
      </c>
      <c r="I57">
        <v>358</v>
      </c>
      <c r="J57">
        <f>df_Clean[[#This Row],[FuelCost_per_km]]*df_Clean[[#This Row],[Distance_km]]</f>
        <v>310744</v>
      </c>
      <c r="K57" t="s">
        <v>135</v>
      </c>
      <c r="L57" s="1">
        <v>45499</v>
      </c>
      <c r="M57" t="s">
        <v>137</v>
      </c>
      <c r="N57">
        <f>IF(df_Clean[[#This Row],[Status]]="Cancelled",df_Clean[[#This Row],[Revenue]],0)</f>
        <v>0</v>
      </c>
      <c r="O57">
        <f>IF(df_Clean[[#This Row],[Status]]="Late",1,0)</f>
        <v>0</v>
      </c>
      <c r="P57" cm="1">
        <f t="array" ref="P57">_xlfn.SWITCH(df_Clean[[#This Row],[Status]],"On-time",2,"Late",-1,"Cancelled",0)</f>
        <v>2</v>
      </c>
      <c r="Q57">
        <v>2</v>
      </c>
      <c r="R57">
        <v>1778301</v>
      </c>
    </row>
    <row r="58" spans="1:18" x14ac:dyDescent="0.35">
      <c r="A58" t="s">
        <v>67</v>
      </c>
      <c r="B58" t="s">
        <v>113</v>
      </c>
      <c r="C58" t="s">
        <v>121</v>
      </c>
      <c r="D58" t="s">
        <v>118</v>
      </c>
      <c r="E58" t="str">
        <f>CONCATENATE(df_Clean[[#This Row],[Origin]]," - ",df_Clean[[#This Row],[Destination]])</f>
        <v>Semarang - Bandung</v>
      </c>
      <c r="F58" t="str">
        <f>IF(df_Clean[[#This Row],[Origin]]=df_Clean[[#This Row],[Destination]],"Within City","Intercity")</f>
        <v>Intercity</v>
      </c>
      <c r="G58" t="s">
        <v>126</v>
      </c>
      <c r="H58">
        <v>696</v>
      </c>
      <c r="I58">
        <v>332</v>
      </c>
      <c r="J58">
        <f>df_Clean[[#This Row],[FuelCost_per_km]]*df_Clean[[#This Row],[Distance_km]]</f>
        <v>231072</v>
      </c>
      <c r="K58" t="s">
        <v>133</v>
      </c>
      <c r="L58" s="1">
        <v>45501</v>
      </c>
      <c r="M58" t="s">
        <v>137</v>
      </c>
      <c r="N58">
        <f>IF(df_Clean[[#This Row],[Status]]="Cancelled",df_Clean[[#This Row],[Revenue]],0)</f>
        <v>0</v>
      </c>
      <c r="O58">
        <f>IF(df_Clean[[#This Row],[Status]]="Late",1,0)</f>
        <v>0</v>
      </c>
      <c r="P58" cm="1">
        <f t="array" ref="P58">_xlfn.SWITCH(df_Clean[[#This Row],[Status]],"On-time",2,"Late",-1,"Cancelled",0)</f>
        <v>2</v>
      </c>
      <c r="Q58">
        <v>2</v>
      </c>
      <c r="R58">
        <v>1525559</v>
      </c>
    </row>
    <row r="59" spans="1:18" x14ac:dyDescent="0.35">
      <c r="A59" t="s">
        <v>68</v>
      </c>
      <c r="B59" t="s">
        <v>114</v>
      </c>
      <c r="C59" t="s">
        <v>119</v>
      </c>
      <c r="D59" t="s">
        <v>117</v>
      </c>
      <c r="E59" t="str">
        <f>CONCATENATE(df_Clean[[#This Row],[Origin]]," - ",df_Clean[[#This Row],[Destination]])</f>
        <v>Medan - Jakarta</v>
      </c>
      <c r="F59" t="str">
        <f>IF(df_Clean[[#This Row],[Origin]]=df_Clean[[#This Row],[Destination]],"Within City","Intercity")</f>
        <v>Intercity</v>
      </c>
      <c r="G59" t="s">
        <v>129</v>
      </c>
      <c r="H59">
        <v>70</v>
      </c>
      <c r="I59">
        <v>486</v>
      </c>
      <c r="J59">
        <f>df_Clean[[#This Row],[FuelCost_per_km]]*df_Clean[[#This Row],[Distance_km]]</f>
        <v>34020</v>
      </c>
      <c r="K59" t="s">
        <v>130</v>
      </c>
      <c r="L59" s="1">
        <v>45503</v>
      </c>
      <c r="M59" t="s">
        <v>137</v>
      </c>
      <c r="N59">
        <f>IF(df_Clean[[#This Row],[Status]]="Cancelled",df_Clean[[#This Row],[Revenue]],0)</f>
        <v>0</v>
      </c>
      <c r="O59">
        <f>IF(df_Clean[[#This Row],[Status]]="Late",1,0)</f>
        <v>0</v>
      </c>
      <c r="P59" cm="1">
        <f t="array" ref="P59">_xlfn.SWITCH(df_Clean[[#This Row],[Status]],"On-time",2,"Late",-1,"Cancelled",0)</f>
        <v>2</v>
      </c>
      <c r="Q59">
        <v>2</v>
      </c>
      <c r="R59">
        <v>150637</v>
      </c>
    </row>
    <row r="60" spans="1:18" x14ac:dyDescent="0.35">
      <c r="A60" t="s">
        <v>69</v>
      </c>
      <c r="B60" t="s">
        <v>112</v>
      </c>
      <c r="C60" t="s">
        <v>120</v>
      </c>
      <c r="D60" t="s">
        <v>117</v>
      </c>
      <c r="E60" t="str">
        <f>CONCATENATE(df_Clean[[#This Row],[Origin]]," - ",df_Clean[[#This Row],[Destination]])</f>
        <v>Surabaya - Jakarta</v>
      </c>
      <c r="F60" t="str">
        <f>IF(df_Clean[[#This Row],[Origin]]=df_Clean[[#This Row],[Destination]],"Within City","Intercity")</f>
        <v>Intercity</v>
      </c>
      <c r="G60" t="s">
        <v>128</v>
      </c>
      <c r="H60">
        <v>890</v>
      </c>
      <c r="I60">
        <v>462</v>
      </c>
      <c r="J60">
        <f>df_Clean[[#This Row],[FuelCost_per_km]]*df_Clean[[#This Row],[Distance_km]]</f>
        <v>411180</v>
      </c>
      <c r="K60" t="s">
        <v>135</v>
      </c>
      <c r="L60" s="1">
        <v>45507</v>
      </c>
      <c r="M60" t="s">
        <v>137</v>
      </c>
      <c r="N60">
        <f>IF(df_Clean[[#This Row],[Status]]="Cancelled",df_Clean[[#This Row],[Revenue]],0)</f>
        <v>0</v>
      </c>
      <c r="O60">
        <f>IF(df_Clean[[#This Row],[Status]]="Late",1,0)</f>
        <v>0</v>
      </c>
      <c r="P60" cm="1">
        <f t="array" ref="P60">_xlfn.SWITCH(df_Clean[[#This Row],[Status]],"On-time",2,"Late",-1,"Cancelled",0)</f>
        <v>2</v>
      </c>
      <c r="Q60">
        <v>2</v>
      </c>
      <c r="R60">
        <v>1534600</v>
      </c>
    </row>
    <row r="61" spans="1:18" x14ac:dyDescent="0.35">
      <c r="A61" t="s">
        <v>70</v>
      </c>
      <c r="B61" t="s">
        <v>116</v>
      </c>
      <c r="C61" t="s">
        <v>120</v>
      </c>
      <c r="D61" t="s">
        <v>123</v>
      </c>
      <c r="E61" t="str">
        <f>CONCATENATE(df_Clean[[#This Row],[Origin]]," - ",df_Clean[[#This Row],[Destination]])</f>
        <v>Surabaya - Denpasar</v>
      </c>
      <c r="F61" t="str">
        <f>IF(df_Clean[[#This Row],[Origin]]=df_Clean[[#This Row],[Destination]],"Within City","Intercity")</f>
        <v>Intercity</v>
      </c>
      <c r="G61" t="s">
        <v>129</v>
      </c>
      <c r="H61">
        <v>216</v>
      </c>
      <c r="I61">
        <v>427</v>
      </c>
      <c r="J61">
        <f>df_Clean[[#This Row],[FuelCost_per_km]]*df_Clean[[#This Row],[Distance_km]]</f>
        <v>92232</v>
      </c>
      <c r="K61" t="s">
        <v>131</v>
      </c>
      <c r="L61" s="1">
        <v>45515</v>
      </c>
      <c r="M61" t="s">
        <v>137</v>
      </c>
      <c r="N61">
        <f>IF(df_Clean[[#This Row],[Status]]="Cancelled",df_Clean[[#This Row],[Revenue]],0)</f>
        <v>0</v>
      </c>
      <c r="O61">
        <f>IF(df_Clean[[#This Row],[Status]]="Late",1,0)</f>
        <v>0</v>
      </c>
      <c r="P61" cm="1">
        <f t="array" ref="P61">_xlfn.SWITCH(df_Clean[[#This Row],[Status]],"On-time",2,"Late",-1,"Cancelled",0)</f>
        <v>2</v>
      </c>
      <c r="Q61">
        <v>2</v>
      </c>
      <c r="R61">
        <v>477831</v>
      </c>
    </row>
    <row r="62" spans="1:18" x14ac:dyDescent="0.35">
      <c r="A62" t="s">
        <v>71</v>
      </c>
      <c r="B62" t="s">
        <v>115</v>
      </c>
      <c r="C62" t="s">
        <v>117</v>
      </c>
      <c r="D62" t="s">
        <v>123</v>
      </c>
      <c r="E62" t="str">
        <f>CONCATENATE(df_Clean[[#This Row],[Origin]]," - ",df_Clean[[#This Row],[Destination]])</f>
        <v>Jakarta - Denpasar</v>
      </c>
      <c r="F62" t="str">
        <f>IF(df_Clean[[#This Row],[Origin]]=df_Clean[[#This Row],[Destination]],"Within City","Intercity")</f>
        <v>Intercity</v>
      </c>
      <c r="G62" t="s">
        <v>127</v>
      </c>
      <c r="H62">
        <v>323</v>
      </c>
      <c r="I62">
        <v>474</v>
      </c>
      <c r="J62">
        <f>df_Clean[[#This Row],[FuelCost_per_km]]*df_Clean[[#This Row],[Distance_km]]</f>
        <v>153102</v>
      </c>
      <c r="K62" t="s">
        <v>134</v>
      </c>
      <c r="L62" s="1">
        <v>45518</v>
      </c>
      <c r="M62" t="s">
        <v>137</v>
      </c>
      <c r="N62">
        <f>IF(df_Clean[[#This Row],[Status]]="Cancelled",df_Clean[[#This Row],[Revenue]],0)</f>
        <v>0</v>
      </c>
      <c r="O62">
        <f>IF(df_Clean[[#This Row],[Status]]="Late",1,0)</f>
        <v>0</v>
      </c>
      <c r="P62" cm="1">
        <f t="array" ref="P62">_xlfn.SWITCH(df_Clean[[#This Row],[Status]],"On-time",2,"Late",-1,"Cancelled",0)</f>
        <v>2</v>
      </c>
      <c r="Q62">
        <v>2</v>
      </c>
      <c r="R62">
        <v>561131</v>
      </c>
    </row>
    <row r="63" spans="1:18" x14ac:dyDescent="0.35">
      <c r="A63" t="s">
        <v>72</v>
      </c>
      <c r="B63" t="s">
        <v>111</v>
      </c>
      <c r="C63" t="s">
        <v>119</v>
      </c>
      <c r="D63" t="s">
        <v>123</v>
      </c>
      <c r="E63" t="str">
        <f>CONCATENATE(df_Clean[[#This Row],[Origin]]," - ",df_Clean[[#This Row],[Destination]])</f>
        <v>Medan - Denpasar</v>
      </c>
      <c r="F63" t="str">
        <f>IF(df_Clean[[#This Row],[Origin]]=df_Clean[[#This Row],[Destination]],"Within City","Intercity")</f>
        <v>Intercity</v>
      </c>
      <c r="G63" t="s">
        <v>129</v>
      </c>
      <c r="H63">
        <v>437</v>
      </c>
      <c r="I63">
        <v>461</v>
      </c>
      <c r="J63">
        <f>df_Clean[[#This Row],[FuelCost_per_km]]*df_Clean[[#This Row],[Distance_km]]</f>
        <v>201457</v>
      </c>
      <c r="K63" t="s">
        <v>136</v>
      </c>
      <c r="L63" s="1">
        <v>45519</v>
      </c>
      <c r="M63" t="s">
        <v>137</v>
      </c>
      <c r="N63">
        <f>IF(df_Clean[[#This Row],[Status]]="Cancelled",df_Clean[[#This Row],[Revenue]],0)</f>
        <v>0</v>
      </c>
      <c r="O63">
        <f>IF(df_Clean[[#This Row],[Status]]="Late",1,0)</f>
        <v>0</v>
      </c>
      <c r="P63" cm="1">
        <f t="array" ref="P63">_xlfn.SWITCH(df_Clean[[#This Row],[Status]],"On-time",2,"Late",-1,"Cancelled",0)</f>
        <v>2</v>
      </c>
      <c r="Q63">
        <v>2</v>
      </c>
      <c r="R63">
        <v>797700</v>
      </c>
    </row>
    <row r="64" spans="1:18" x14ac:dyDescent="0.35">
      <c r="A64" t="s">
        <v>73</v>
      </c>
      <c r="B64" t="s">
        <v>111</v>
      </c>
      <c r="C64" t="s">
        <v>120</v>
      </c>
      <c r="D64" t="s">
        <v>124</v>
      </c>
      <c r="E64" t="str">
        <f>CONCATENATE(df_Clean[[#This Row],[Origin]]," - ",df_Clean[[#This Row],[Destination]])</f>
        <v>Surabaya - Yogyakarta</v>
      </c>
      <c r="F64" t="str">
        <f>IF(df_Clean[[#This Row],[Origin]]=df_Clean[[#This Row],[Destination]],"Within City","Intercity")</f>
        <v>Intercity</v>
      </c>
      <c r="G64" t="s">
        <v>127</v>
      </c>
      <c r="H64">
        <v>650</v>
      </c>
      <c r="I64">
        <v>337</v>
      </c>
      <c r="J64">
        <f>df_Clean[[#This Row],[FuelCost_per_km]]*df_Clean[[#This Row],[Distance_km]]</f>
        <v>219050</v>
      </c>
      <c r="K64" t="s">
        <v>131</v>
      </c>
      <c r="L64" s="1">
        <v>45521</v>
      </c>
      <c r="M64" t="s">
        <v>139</v>
      </c>
      <c r="N64">
        <f>IF(df_Clean[[#This Row],[Status]]="Cancelled",df_Clean[[#This Row],[Revenue]],0)</f>
        <v>1460219</v>
      </c>
      <c r="O64">
        <f>IF(df_Clean[[#This Row],[Status]]="Late",1,0)</f>
        <v>0</v>
      </c>
      <c r="P64" cm="1">
        <f t="array" ref="P64">_xlfn.SWITCH(df_Clean[[#This Row],[Status]],"On-time",2,"Late",-1,"Cancelled",0)</f>
        <v>0</v>
      </c>
      <c r="Q64">
        <v>2</v>
      </c>
      <c r="R64">
        <v>1460219</v>
      </c>
    </row>
    <row r="65" spans="1:18" x14ac:dyDescent="0.35">
      <c r="A65" t="s">
        <v>74</v>
      </c>
      <c r="B65" t="s">
        <v>114</v>
      </c>
      <c r="C65" t="s">
        <v>122</v>
      </c>
      <c r="D65" t="s">
        <v>118</v>
      </c>
      <c r="E65" t="str">
        <f>CONCATENATE(df_Clean[[#This Row],[Origin]]," - ",df_Clean[[#This Row],[Destination]])</f>
        <v>Makassar - Bandung</v>
      </c>
      <c r="F65" t="str">
        <f>IF(df_Clean[[#This Row],[Origin]]=df_Clean[[#This Row],[Destination]],"Within City","Intercity")</f>
        <v>Intercity</v>
      </c>
      <c r="G65" t="s">
        <v>127</v>
      </c>
      <c r="H65">
        <v>365</v>
      </c>
      <c r="I65">
        <v>479</v>
      </c>
      <c r="J65">
        <f>df_Clean[[#This Row],[FuelCost_per_km]]*df_Clean[[#This Row],[Distance_km]]</f>
        <v>174835</v>
      </c>
      <c r="K65" t="s">
        <v>136</v>
      </c>
      <c r="L65" s="1">
        <v>45524</v>
      </c>
      <c r="M65" t="s">
        <v>137</v>
      </c>
      <c r="N65">
        <f>IF(df_Clean[[#This Row],[Status]]="Cancelled",df_Clean[[#This Row],[Revenue]],0)</f>
        <v>0</v>
      </c>
      <c r="O65">
        <f>IF(df_Clean[[#This Row],[Status]]="Late",1,0)</f>
        <v>0</v>
      </c>
      <c r="P65" cm="1">
        <f t="array" ref="P65">_xlfn.SWITCH(df_Clean[[#This Row],[Status]],"On-time",2,"Late",-1,"Cancelled",0)</f>
        <v>2</v>
      </c>
      <c r="Q65">
        <v>2</v>
      </c>
      <c r="R65">
        <v>784616</v>
      </c>
    </row>
    <row r="66" spans="1:18" x14ac:dyDescent="0.35">
      <c r="A66" t="s">
        <v>75</v>
      </c>
      <c r="B66" t="s">
        <v>115</v>
      </c>
      <c r="C66" t="s">
        <v>122</v>
      </c>
      <c r="D66" t="s">
        <v>123</v>
      </c>
      <c r="E66" t="str">
        <f>CONCATENATE(df_Clean[[#This Row],[Origin]]," - ",df_Clean[[#This Row],[Destination]])</f>
        <v>Makassar - Denpasar</v>
      </c>
      <c r="F66" t="str">
        <f>IF(df_Clean[[#This Row],[Origin]]=df_Clean[[#This Row],[Destination]],"Within City","Intercity")</f>
        <v>Intercity</v>
      </c>
      <c r="G66" t="s">
        <v>129</v>
      </c>
      <c r="H66">
        <v>63</v>
      </c>
      <c r="I66">
        <v>408</v>
      </c>
      <c r="J66">
        <f>df_Clean[[#This Row],[FuelCost_per_km]]*df_Clean[[#This Row],[Distance_km]]</f>
        <v>25704</v>
      </c>
      <c r="K66" t="s">
        <v>130</v>
      </c>
      <c r="L66" s="1">
        <v>45530</v>
      </c>
      <c r="M66" t="s">
        <v>138</v>
      </c>
      <c r="N66">
        <f>IF(df_Clean[[#This Row],[Status]]="Cancelled",df_Clean[[#This Row],[Revenue]],0)</f>
        <v>0</v>
      </c>
      <c r="O66">
        <f>IF(df_Clean[[#This Row],[Status]]="Late",1,0)</f>
        <v>1</v>
      </c>
      <c r="P66" cm="1">
        <f t="array" ref="P66">_xlfn.SWITCH(df_Clean[[#This Row],[Status]],"On-time",2,"Late",-1,"Cancelled",0)</f>
        <v>-1</v>
      </c>
      <c r="Q66">
        <v>2</v>
      </c>
      <c r="R66">
        <v>148001</v>
      </c>
    </row>
    <row r="67" spans="1:18" x14ac:dyDescent="0.35">
      <c r="A67" t="s">
        <v>76</v>
      </c>
      <c r="B67" t="s">
        <v>114</v>
      </c>
      <c r="C67" t="s">
        <v>117</v>
      </c>
      <c r="D67" t="s">
        <v>125</v>
      </c>
      <c r="E67" t="str">
        <f>CONCATENATE(df_Clean[[#This Row],[Origin]]," - ",df_Clean[[#This Row],[Destination]])</f>
        <v>Jakarta - Palembang</v>
      </c>
      <c r="F67" t="str">
        <f>IF(df_Clean[[#This Row],[Origin]]=df_Clean[[#This Row],[Destination]],"Within City","Intercity")</f>
        <v>Intercity</v>
      </c>
      <c r="G67" t="s">
        <v>127</v>
      </c>
      <c r="H67">
        <v>291</v>
      </c>
      <c r="I67">
        <v>462</v>
      </c>
      <c r="J67">
        <f>df_Clean[[#This Row],[FuelCost_per_km]]*df_Clean[[#This Row],[Distance_km]]</f>
        <v>134442</v>
      </c>
      <c r="K67" t="s">
        <v>134</v>
      </c>
      <c r="L67" s="1">
        <v>45536</v>
      </c>
      <c r="M67" t="s">
        <v>137</v>
      </c>
      <c r="N67">
        <f>IF(df_Clean[[#This Row],[Status]]="Cancelled",df_Clean[[#This Row],[Revenue]],0)</f>
        <v>0</v>
      </c>
      <c r="O67">
        <f>IF(df_Clean[[#This Row],[Status]]="Late",1,0)</f>
        <v>0</v>
      </c>
      <c r="P67" cm="1">
        <f t="array" ref="P67">_xlfn.SWITCH(df_Clean[[#This Row],[Status]],"On-time",2,"Late",-1,"Cancelled",0)</f>
        <v>2</v>
      </c>
      <c r="Q67">
        <v>2</v>
      </c>
      <c r="R67">
        <v>627865</v>
      </c>
    </row>
    <row r="68" spans="1:18" x14ac:dyDescent="0.35">
      <c r="A68" t="s">
        <v>77</v>
      </c>
      <c r="B68" t="s">
        <v>113</v>
      </c>
      <c r="C68" t="s">
        <v>120</v>
      </c>
      <c r="D68" t="s">
        <v>120</v>
      </c>
      <c r="E68" t="str">
        <f>CONCATENATE(df_Clean[[#This Row],[Origin]]," - ",df_Clean[[#This Row],[Destination]])</f>
        <v>Surabaya - Surabaya</v>
      </c>
      <c r="F68" t="str">
        <f>IF(df_Clean[[#This Row],[Origin]]=df_Clean[[#This Row],[Destination]],"Within City","Intercity")</f>
        <v>Within City</v>
      </c>
      <c r="G68" t="s">
        <v>129</v>
      </c>
      <c r="H68">
        <v>826</v>
      </c>
      <c r="I68">
        <v>479</v>
      </c>
      <c r="J68">
        <f>df_Clean[[#This Row],[FuelCost_per_km]]*df_Clean[[#This Row],[Distance_km]]</f>
        <v>395654</v>
      </c>
      <c r="K68" t="s">
        <v>131</v>
      </c>
      <c r="L68" s="1">
        <v>45540</v>
      </c>
      <c r="M68" t="s">
        <v>138</v>
      </c>
      <c r="N68">
        <f>IF(df_Clean[[#This Row],[Status]]="Cancelled",df_Clean[[#This Row],[Revenue]],0)</f>
        <v>0</v>
      </c>
      <c r="O68">
        <f>IF(df_Clean[[#This Row],[Status]]="Late",1,0)</f>
        <v>1</v>
      </c>
      <c r="P68" cm="1">
        <f t="array" ref="P68">_xlfn.SWITCH(df_Clean[[#This Row],[Status]],"On-time",2,"Late",-1,"Cancelled",0)</f>
        <v>-1</v>
      </c>
      <c r="Q68">
        <v>2</v>
      </c>
      <c r="R68">
        <v>1708423</v>
      </c>
    </row>
    <row r="69" spans="1:18" x14ac:dyDescent="0.35">
      <c r="A69" t="s">
        <v>78</v>
      </c>
      <c r="B69" t="s">
        <v>112</v>
      </c>
      <c r="C69" t="s">
        <v>118</v>
      </c>
      <c r="D69" t="s">
        <v>123</v>
      </c>
      <c r="E69" t="str">
        <f>CONCATENATE(df_Clean[[#This Row],[Origin]]," - ",df_Clean[[#This Row],[Destination]])</f>
        <v>Bandung - Denpasar</v>
      </c>
      <c r="F69" t="str">
        <f>IF(df_Clean[[#This Row],[Origin]]=df_Clean[[#This Row],[Destination]],"Within City","Intercity")</f>
        <v>Intercity</v>
      </c>
      <c r="G69" t="s">
        <v>127</v>
      </c>
      <c r="H69">
        <v>395</v>
      </c>
      <c r="I69">
        <v>364</v>
      </c>
      <c r="J69">
        <f>df_Clean[[#This Row],[FuelCost_per_km]]*df_Clean[[#This Row],[Distance_km]]</f>
        <v>143780</v>
      </c>
      <c r="K69" t="s">
        <v>135</v>
      </c>
      <c r="L69" s="1">
        <v>45542</v>
      </c>
      <c r="M69" t="s">
        <v>137</v>
      </c>
      <c r="N69">
        <f>IF(df_Clean[[#This Row],[Status]]="Cancelled",df_Clean[[#This Row],[Revenue]],0)</f>
        <v>0</v>
      </c>
      <c r="O69">
        <f>IF(df_Clean[[#This Row],[Status]]="Late",1,0)</f>
        <v>0</v>
      </c>
      <c r="P69" cm="1">
        <f t="array" ref="P69">_xlfn.SWITCH(df_Clean[[#This Row],[Status]],"On-time",2,"Late",-1,"Cancelled",0)</f>
        <v>2</v>
      </c>
      <c r="Q69">
        <v>2</v>
      </c>
      <c r="R69">
        <v>629502</v>
      </c>
    </row>
    <row r="70" spans="1:18" x14ac:dyDescent="0.35">
      <c r="A70" t="s">
        <v>79</v>
      </c>
      <c r="B70" t="s">
        <v>113</v>
      </c>
      <c r="C70" t="s">
        <v>120</v>
      </c>
      <c r="D70" t="s">
        <v>120</v>
      </c>
      <c r="E70" t="str">
        <f>CONCATENATE(df_Clean[[#This Row],[Origin]]," - ",df_Clean[[#This Row],[Destination]])</f>
        <v>Surabaya - Surabaya</v>
      </c>
      <c r="F70" t="str">
        <f>IF(df_Clean[[#This Row],[Origin]]=df_Clean[[#This Row],[Destination]],"Within City","Intercity")</f>
        <v>Within City</v>
      </c>
      <c r="G70" t="s">
        <v>128</v>
      </c>
      <c r="H70">
        <v>614</v>
      </c>
      <c r="I70">
        <v>322</v>
      </c>
      <c r="J70">
        <f>df_Clean[[#This Row],[FuelCost_per_km]]*df_Clean[[#This Row],[Distance_km]]</f>
        <v>197708</v>
      </c>
      <c r="K70" t="s">
        <v>135</v>
      </c>
      <c r="L70" s="1">
        <v>45548</v>
      </c>
      <c r="M70" t="s">
        <v>137</v>
      </c>
      <c r="N70">
        <f>IF(df_Clean[[#This Row],[Status]]="Cancelled",df_Clean[[#This Row],[Revenue]],0)</f>
        <v>0</v>
      </c>
      <c r="O70">
        <f>IF(df_Clean[[#This Row],[Status]]="Late",1,0)</f>
        <v>0</v>
      </c>
      <c r="P70" cm="1">
        <f t="array" ref="P70">_xlfn.SWITCH(df_Clean[[#This Row],[Status]],"On-time",2,"Late",-1,"Cancelled",0)</f>
        <v>2</v>
      </c>
      <c r="Q70">
        <v>2</v>
      </c>
      <c r="R70">
        <v>1146778</v>
      </c>
    </row>
    <row r="71" spans="1:18" x14ac:dyDescent="0.35">
      <c r="A71" t="s">
        <v>80</v>
      </c>
      <c r="B71" t="s">
        <v>113</v>
      </c>
      <c r="C71" t="s">
        <v>117</v>
      </c>
      <c r="D71" t="s">
        <v>118</v>
      </c>
      <c r="E71" t="str">
        <f>CONCATENATE(df_Clean[[#This Row],[Origin]]," - ",df_Clean[[#This Row],[Destination]])</f>
        <v>Jakarta - Bandung</v>
      </c>
      <c r="F71" t="str">
        <f>IF(df_Clean[[#This Row],[Origin]]=df_Clean[[#This Row],[Destination]],"Within City","Intercity")</f>
        <v>Intercity</v>
      </c>
      <c r="G71" t="s">
        <v>126</v>
      </c>
      <c r="H71">
        <v>947</v>
      </c>
      <c r="I71">
        <v>346</v>
      </c>
      <c r="J71">
        <f>df_Clean[[#This Row],[FuelCost_per_km]]*df_Clean[[#This Row],[Distance_km]]</f>
        <v>327662</v>
      </c>
      <c r="K71" t="s">
        <v>134</v>
      </c>
      <c r="L71" s="1">
        <v>45551</v>
      </c>
      <c r="M71" t="s">
        <v>137</v>
      </c>
      <c r="N71">
        <f>IF(df_Clean[[#This Row],[Status]]="Cancelled",df_Clean[[#This Row],[Revenue]],0)</f>
        <v>0</v>
      </c>
      <c r="O71">
        <f>IF(df_Clean[[#This Row],[Status]]="Late",1,0)</f>
        <v>0</v>
      </c>
      <c r="P71" cm="1">
        <f t="array" ref="P71">_xlfn.SWITCH(df_Clean[[#This Row],[Status]],"On-time",2,"Late",-1,"Cancelled",0)</f>
        <v>2</v>
      </c>
      <c r="Q71">
        <v>2</v>
      </c>
      <c r="R71">
        <v>1671647</v>
      </c>
    </row>
    <row r="72" spans="1:18" x14ac:dyDescent="0.35">
      <c r="A72" t="s">
        <v>81</v>
      </c>
      <c r="B72" t="s">
        <v>113</v>
      </c>
      <c r="C72" t="s">
        <v>122</v>
      </c>
      <c r="D72" t="s">
        <v>125</v>
      </c>
      <c r="E72" t="str">
        <f>CONCATENATE(df_Clean[[#This Row],[Origin]]," - ",df_Clean[[#This Row],[Destination]])</f>
        <v>Makassar - Palembang</v>
      </c>
      <c r="F72" t="str">
        <f>IF(df_Clean[[#This Row],[Origin]]=df_Clean[[#This Row],[Destination]],"Within City","Intercity")</f>
        <v>Intercity</v>
      </c>
      <c r="G72" t="s">
        <v>127</v>
      </c>
      <c r="H72">
        <v>389</v>
      </c>
      <c r="I72">
        <v>385</v>
      </c>
      <c r="J72">
        <f>df_Clean[[#This Row],[FuelCost_per_km]]*df_Clean[[#This Row],[Distance_km]]</f>
        <v>149765</v>
      </c>
      <c r="K72" t="s">
        <v>136</v>
      </c>
      <c r="L72" s="1">
        <v>45559</v>
      </c>
      <c r="M72" t="s">
        <v>137</v>
      </c>
      <c r="N72">
        <f>IF(df_Clean[[#This Row],[Status]]="Cancelled",df_Clean[[#This Row],[Revenue]],0)</f>
        <v>0</v>
      </c>
      <c r="O72">
        <f>IF(df_Clean[[#This Row],[Status]]="Late",1,0)</f>
        <v>0</v>
      </c>
      <c r="P72" cm="1">
        <f t="array" ref="P72">_xlfn.SWITCH(df_Clean[[#This Row],[Status]],"On-time",2,"Late",-1,"Cancelled",0)</f>
        <v>2</v>
      </c>
      <c r="Q72">
        <v>2</v>
      </c>
      <c r="R72">
        <v>678412</v>
      </c>
    </row>
    <row r="73" spans="1:18" x14ac:dyDescent="0.35">
      <c r="A73" t="s">
        <v>82</v>
      </c>
      <c r="B73" t="s">
        <v>115</v>
      </c>
      <c r="C73" t="s">
        <v>119</v>
      </c>
      <c r="D73" t="s">
        <v>117</v>
      </c>
      <c r="E73" t="str">
        <f>CONCATENATE(df_Clean[[#This Row],[Origin]]," - ",df_Clean[[#This Row],[Destination]])</f>
        <v>Medan - Jakarta</v>
      </c>
      <c r="F73" t="str">
        <f>IF(df_Clean[[#This Row],[Origin]]=df_Clean[[#This Row],[Destination]],"Within City","Intercity")</f>
        <v>Intercity</v>
      </c>
      <c r="G73" t="s">
        <v>127</v>
      </c>
      <c r="H73">
        <v>141</v>
      </c>
      <c r="I73">
        <v>464</v>
      </c>
      <c r="J73">
        <f>df_Clean[[#This Row],[FuelCost_per_km]]*df_Clean[[#This Row],[Distance_km]]</f>
        <v>65424</v>
      </c>
      <c r="K73" t="s">
        <v>130</v>
      </c>
      <c r="L73" s="1">
        <v>45560</v>
      </c>
      <c r="M73" t="s">
        <v>138</v>
      </c>
      <c r="N73">
        <f>IF(df_Clean[[#This Row],[Status]]="Cancelled",df_Clean[[#This Row],[Revenue]],0)</f>
        <v>0</v>
      </c>
      <c r="O73">
        <f>IF(df_Clean[[#This Row],[Status]]="Late",1,0)</f>
        <v>1</v>
      </c>
      <c r="P73" cm="1">
        <f t="array" ref="P73">_xlfn.SWITCH(df_Clean[[#This Row],[Status]],"On-time",2,"Late",-1,"Cancelled",0)</f>
        <v>-1</v>
      </c>
      <c r="Q73">
        <v>2</v>
      </c>
      <c r="R73">
        <v>348694</v>
      </c>
    </row>
    <row r="74" spans="1:18" x14ac:dyDescent="0.35">
      <c r="A74" t="s">
        <v>83</v>
      </c>
      <c r="B74" t="s">
        <v>115</v>
      </c>
      <c r="C74" t="s">
        <v>121</v>
      </c>
      <c r="D74" t="s">
        <v>120</v>
      </c>
      <c r="E74" t="str">
        <f>CONCATENATE(df_Clean[[#This Row],[Origin]]," - ",df_Clean[[#This Row],[Destination]])</f>
        <v>Semarang - Surabaya</v>
      </c>
      <c r="F74" t="str">
        <f>IF(df_Clean[[#This Row],[Origin]]=df_Clean[[#This Row],[Destination]],"Within City","Intercity")</f>
        <v>Intercity</v>
      </c>
      <c r="G74" t="s">
        <v>127</v>
      </c>
      <c r="H74">
        <v>416</v>
      </c>
      <c r="I74">
        <v>472</v>
      </c>
      <c r="J74">
        <f>df_Clean[[#This Row],[FuelCost_per_km]]*df_Clean[[#This Row],[Distance_km]]</f>
        <v>196352</v>
      </c>
      <c r="K74" t="s">
        <v>136</v>
      </c>
      <c r="L74" s="1">
        <v>45561</v>
      </c>
      <c r="M74" t="s">
        <v>139</v>
      </c>
      <c r="N74">
        <f>IF(df_Clean[[#This Row],[Status]]="Cancelled",df_Clean[[#This Row],[Revenue]],0)</f>
        <v>787529</v>
      </c>
      <c r="O74">
        <f>IF(df_Clean[[#This Row],[Status]]="Late",1,0)</f>
        <v>0</v>
      </c>
      <c r="P74" cm="1">
        <f t="array" ref="P74">_xlfn.SWITCH(df_Clean[[#This Row],[Status]],"On-time",2,"Late",-1,"Cancelled",0)</f>
        <v>0</v>
      </c>
      <c r="Q74">
        <v>2</v>
      </c>
      <c r="R74">
        <v>787529</v>
      </c>
    </row>
    <row r="75" spans="1:18" x14ac:dyDescent="0.35">
      <c r="A75" t="s">
        <v>84</v>
      </c>
      <c r="B75" t="s">
        <v>113</v>
      </c>
      <c r="C75" t="s">
        <v>118</v>
      </c>
      <c r="D75" t="s">
        <v>123</v>
      </c>
      <c r="E75" t="str">
        <f>CONCATENATE(df_Clean[[#This Row],[Origin]]," - ",df_Clean[[#This Row],[Destination]])</f>
        <v>Bandung - Denpasar</v>
      </c>
      <c r="F75" t="str">
        <f>IF(df_Clean[[#This Row],[Origin]]=df_Clean[[#This Row],[Destination]],"Within City","Intercity")</f>
        <v>Intercity</v>
      </c>
      <c r="G75" t="s">
        <v>127</v>
      </c>
      <c r="H75">
        <v>504</v>
      </c>
      <c r="I75">
        <v>301</v>
      </c>
      <c r="J75">
        <f>df_Clean[[#This Row],[FuelCost_per_km]]*df_Clean[[#This Row],[Distance_km]]</f>
        <v>151704</v>
      </c>
      <c r="K75" t="s">
        <v>131</v>
      </c>
      <c r="L75" s="1">
        <v>45565</v>
      </c>
      <c r="M75" t="s">
        <v>137</v>
      </c>
      <c r="N75">
        <f>IF(df_Clean[[#This Row],[Status]]="Cancelled",df_Clean[[#This Row],[Revenue]],0)</f>
        <v>0</v>
      </c>
      <c r="O75">
        <f>IF(df_Clean[[#This Row],[Status]]="Late",1,0)</f>
        <v>0</v>
      </c>
      <c r="P75" cm="1">
        <f t="array" ref="P75">_xlfn.SWITCH(df_Clean[[#This Row],[Status]],"On-time",2,"Late",-1,"Cancelled",0)</f>
        <v>2</v>
      </c>
      <c r="Q75">
        <v>2</v>
      </c>
      <c r="R75">
        <v>1205591</v>
      </c>
    </row>
    <row r="76" spans="1:18" x14ac:dyDescent="0.35">
      <c r="A76" t="s">
        <v>85</v>
      </c>
      <c r="B76" t="s">
        <v>111</v>
      </c>
      <c r="C76" t="s">
        <v>118</v>
      </c>
      <c r="D76" t="s">
        <v>118</v>
      </c>
      <c r="E76" t="str">
        <f>CONCATENATE(df_Clean[[#This Row],[Origin]]," - ",df_Clean[[#This Row],[Destination]])</f>
        <v>Bandung - Bandung</v>
      </c>
      <c r="F76" t="str">
        <f>IF(df_Clean[[#This Row],[Origin]]=df_Clean[[#This Row],[Destination]],"Within City","Intercity")</f>
        <v>Within City</v>
      </c>
      <c r="G76" t="s">
        <v>129</v>
      </c>
      <c r="H76">
        <v>477</v>
      </c>
      <c r="I76">
        <v>402</v>
      </c>
      <c r="J76">
        <f>df_Clean[[#This Row],[FuelCost_per_km]]*df_Clean[[#This Row],[Distance_km]]</f>
        <v>191754</v>
      </c>
      <c r="K76" t="s">
        <v>136</v>
      </c>
      <c r="L76" s="1">
        <v>45567</v>
      </c>
      <c r="M76" t="s">
        <v>137</v>
      </c>
      <c r="N76">
        <f>IF(df_Clean[[#This Row],[Status]]="Cancelled",df_Clean[[#This Row],[Revenue]],0)</f>
        <v>0</v>
      </c>
      <c r="O76">
        <f>IF(df_Clean[[#This Row],[Status]]="Late",1,0)</f>
        <v>0</v>
      </c>
      <c r="P76" cm="1">
        <f t="array" ref="P76">_xlfn.SWITCH(df_Clean[[#This Row],[Status]],"On-time",2,"Late",-1,"Cancelled",0)</f>
        <v>2</v>
      </c>
      <c r="Q76">
        <v>2</v>
      </c>
      <c r="R76">
        <v>1016553</v>
      </c>
    </row>
    <row r="77" spans="1:18" x14ac:dyDescent="0.35">
      <c r="A77" t="s">
        <v>86</v>
      </c>
      <c r="B77" t="s">
        <v>116</v>
      </c>
      <c r="C77" t="s">
        <v>120</v>
      </c>
      <c r="D77" t="s">
        <v>118</v>
      </c>
      <c r="E77" t="str">
        <f>CONCATENATE(df_Clean[[#This Row],[Origin]]," - ",df_Clean[[#This Row],[Destination]])</f>
        <v>Surabaya - Bandung</v>
      </c>
      <c r="F77" t="str">
        <f>IF(df_Clean[[#This Row],[Origin]]=df_Clean[[#This Row],[Destination]],"Within City","Intercity")</f>
        <v>Intercity</v>
      </c>
      <c r="G77" t="s">
        <v>128</v>
      </c>
      <c r="H77">
        <v>558</v>
      </c>
      <c r="I77">
        <v>384</v>
      </c>
      <c r="J77">
        <f>df_Clean[[#This Row],[FuelCost_per_km]]*df_Clean[[#This Row],[Distance_km]]</f>
        <v>214272</v>
      </c>
      <c r="K77" t="s">
        <v>132</v>
      </c>
      <c r="L77" s="1">
        <v>45570</v>
      </c>
      <c r="M77" t="s">
        <v>137</v>
      </c>
      <c r="N77">
        <f>IF(df_Clean[[#This Row],[Status]]="Cancelled",df_Clean[[#This Row],[Revenue]],0)</f>
        <v>0</v>
      </c>
      <c r="O77">
        <f>IF(df_Clean[[#This Row],[Status]]="Late",1,0)</f>
        <v>0</v>
      </c>
      <c r="P77" cm="1">
        <f t="array" ref="P77">_xlfn.SWITCH(df_Clean[[#This Row],[Status]],"On-time",2,"Late",-1,"Cancelled",0)</f>
        <v>2</v>
      </c>
      <c r="Q77">
        <v>2</v>
      </c>
      <c r="R77">
        <v>1280505</v>
      </c>
    </row>
    <row r="78" spans="1:18" x14ac:dyDescent="0.35">
      <c r="A78" t="s">
        <v>87</v>
      </c>
      <c r="B78" t="s">
        <v>115</v>
      </c>
      <c r="C78" t="s">
        <v>117</v>
      </c>
      <c r="D78" t="s">
        <v>118</v>
      </c>
      <c r="E78" t="str">
        <f>CONCATENATE(df_Clean[[#This Row],[Origin]]," - ",df_Clean[[#This Row],[Destination]])</f>
        <v>Jakarta - Bandung</v>
      </c>
      <c r="F78" t="str">
        <f>IF(df_Clean[[#This Row],[Origin]]=df_Clean[[#This Row],[Destination]],"Within City","Intercity")</f>
        <v>Intercity</v>
      </c>
      <c r="G78" t="s">
        <v>127</v>
      </c>
      <c r="H78">
        <v>825</v>
      </c>
      <c r="I78">
        <v>344</v>
      </c>
      <c r="J78">
        <f>df_Clean[[#This Row],[FuelCost_per_km]]*df_Clean[[#This Row],[Distance_km]]</f>
        <v>283800</v>
      </c>
      <c r="K78" t="s">
        <v>135</v>
      </c>
      <c r="L78" s="1">
        <v>45578</v>
      </c>
      <c r="M78" t="s">
        <v>138</v>
      </c>
      <c r="N78">
        <f>IF(df_Clean[[#This Row],[Status]]="Cancelled",df_Clean[[#This Row],[Revenue]],0)</f>
        <v>0</v>
      </c>
      <c r="O78">
        <f>IF(df_Clean[[#This Row],[Status]]="Late",1,0)</f>
        <v>1</v>
      </c>
      <c r="P78" cm="1">
        <f t="array" ref="P78">_xlfn.SWITCH(df_Clean[[#This Row],[Status]],"On-time",2,"Late",-1,"Cancelled",0)</f>
        <v>-1</v>
      </c>
      <c r="Q78">
        <v>2</v>
      </c>
      <c r="R78">
        <v>1652176</v>
      </c>
    </row>
    <row r="79" spans="1:18" x14ac:dyDescent="0.35">
      <c r="A79" t="s">
        <v>88</v>
      </c>
      <c r="B79" t="s">
        <v>116</v>
      </c>
      <c r="C79" t="s">
        <v>121</v>
      </c>
      <c r="D79" t="s">
        <v>120</v>
      </c>
      <c r="E79" t="str">
        <f>CONCATENATE(df_Clean[[#This Row],[Origin]]," - ",df_Clean[[#This Row],[Destination]])</f>
        <v>Semarang - Surabaya</v>
      </c>
      <c r="F79" t="str">
        <f>IF(df_Clean[[#This Row],[Origin]]=df_Clean[[#This Row],[Destination]],"Within City","Intercity")</f>
        <v>Intercity</v>
      </c>
      <c r="G79" t="s">
        <v>129</v>
      </c>
      <c r="H79">
        <v>992</v>
      </c>
      <c r="I79">
        <v>324</v>
      </c>
      <c r="J79">
        <f>df_Clean[[#This Row],[FuelCost_per_km]]*df_Clean[[#This Row],[Distance_km]]</f>
        <v>321408</v>
      </c>
      <c r="K79" t="s">
        <v>135</v>
      </c>
      <c r="L79" s="1">
        <v>45581</v>
      </c>
      <c r="M79" t="s">
        <v>138</v>
      </c>
      <c r="N79">
        <f>IF(df_Clean[[#This Row],[Status]]="Cancelled",df_Clean[[#This Row],[Revenue]],0)</f>
        <v>0</v>
      </c>
      <c r="O79">
        <f>IF(df_Clean[[#This Row],[Status]]="Late",1,0)</f>
        <v>1</v>
      </c>
      <c r="P79" cm="1">
        <f t="array" ref="P79">_xlfn.SWITCH(df_Clean[[#This Row],[Status]],"On-time",2,"Late",-1,"Cancelled",0)</f>
        <v>-1</v>
      </c>
      <c r="Q79">
        <v>2</v>
      </c>
      <c r="R79">
        <v>2060289</v>
      </c>
    </row>
    <row r="80" spans="1:18" x14ac:dyDescent="0.35">
      <c r="A80" t="s">
        <v>89</v>
      </c>
      <c r="B80" t="s">
        <v>113</v>
      </c>
      <c r="C80" t="s">
        <v>121</v>
      </c>
      <c r="D80" t="s">
        <v>117</v>
      </c>
      <c r="E80" t="str">
        <f>CONCATENATE(df_Clean[[#This Row],[Origin]]," - ",df_Clean[[#This Row],[Destination]])</f>
        <v>Semarang - Jakarta</v>
      </c>
      <c r="F80" t="str">
        <f>IF(df_Clean[[#This Row],[Origin]]=df_Clean[[#This Row],[Destination]],"Within City","Intercity")</f>
        <v>Intercity</v>
      </c>
      <c r="G80" t="s">
        <v>129</v>
      </c>
      <c r="H80">
        <v>84</v>
      </c>
      <c r="I80">
        <v>368</v>
      </c>
      <c r="J80">
        <f>df_Clean[[#This Row],[FuelCost_per_km]]*df_Clean[[#This Row],[Distance_km]]</f>
        <v>30912</v>
      </c>
      <c r="K80" t="s">
        <v>133</v>
      </c>
      <c r="L80" s="1">
        <v>45582</v>
      </c>
      <c r="M80" t="s">
        <v>137</v>
      </c>
      <c r="N80">
        <f>IF(df_Clean[[#This Row],[Status]]="Cancelled",df_Clean[[#This Row],[Revenue]],0)</f>
        <v>0</v>
      </c>
      <c r="O80">
        <f>IF(df_Clean[[#This Row],[Status]]="Late",1,0)</f>
        <v>0</v>
      </c>
      <c r="P80" cm="1">
        <f t="array" ref="P80">_xlfn.SWITCH(df_Clean[[#This Row],[Status]],"On-time",2,"Late",-1,"Cancelled",0)</f>
        <v>2</v>
      </c>
      <c r="Q80">
        <v>2</v>
      </c>
      <c r="R80">
        <v>167371</v>
      </c>
    </row>
    <row r="81" spans="1:18" x14ac:dyDescent="0.35">
      <c r="A81" t="s">
        <v>90</v>
      </c>
      <c r="B81" t="s">
        <v>113</v>
      </c>
      <c r="C81" t="s">
        <v>121</v>
      </c>
      <c r="D81" t="s">
        <v>120</v>
      </c>
      <c r="E81" t="str">
        <f>CONCATENATE(df_Clean[[#This Row],[Origin]]," - ",df_Clean[[#This Row],[Destination]])</f>
        <v>Semarang - Surabaya</v>
      </c>
      <c r="F81" t="str">
        <f>IF(df_Clean[[#This Row],[Origin]]=df_Clean[[#This Row],[Destination]],"Within City","Intercity")</f>
        <v>Intercity</v>
      </c>
      <c r="G81" t="s">
        <v>126</v>
      </c>
      <c r="H81">
        <v>255</v>
      </c>
      <c r="I81">
        <v>489</v>
      </c>
      <c r="J81">
        <f>df_Clean[[#This Row],[FuelCost_per_km]]*df_Clean[[#This Row],[Distance_km]]</f>
        <v>124695</v>
      </c>
      <c r="K81" t="s">
        <v>133</v>
      </c>
      <c r="L81" s="1">
        <v>45583</v>
      </c>
      <c r="M81" t="s">
        <v>137</v>
      </c>
      <c r="N81">
        <f>IF(df_Clean[[#This Row],[Status]]="Cancelled",df_Clean[[#This Row],[Revenue]],0)</f>
        <v>0</v>
      </c>
      <c r="O81">
        <f>IF(df_Clean[[#This Row],[Status]]="Late",1,0)</f>
        <v>0</v>
      </c>
      <c r="P81" cm="1">
        <f t="array" ref="P81">_xlfn.SWITCH(df_Clean[[#This Row],[Status]],"On-time",2,"Late",-1,"Cancelled",0)</f>
        <v>2</v>
      </c>
      <c r="Q81">
        <v>2</v>
      </c>
      <c r="R81">
        <v>432287</v>
      </c>
    </row>
    <row r="82" spans="1:18" x14ac:dyDescent="0.35">
      <c r="A82" t="s">
        <v>91</v>
      </c>
      <c r="B82" t="s">
        <v>111</v>
      </c>
      <c r="C82" t="s">
        <v>118</v>
      </c>
      <c r="D82" t="s">
        <v>125</v>
      </c>
      <c r="E82" t="str">
        <f>CONCATENATE(df_Clean[[#This Row],[Origin]]," - ",df_Clean[[#This Row],[Destination]])</f>
        <v>Bandung - Palembang</v>
      </c>
      <c r="F82" t="str">
        <f>IF(df_Clean[[#This Row],[Origin]]=df_Clean[[#This Row],[Destination]],"Within City","Intercity")</f>
        <v>Intercity</v>
      </c>
      <c r="G82" t="s">
        <v>127</v>
      </c>
      <c r="H82">
        <v>130</v>
      </c>
      <c r="I82">
        <v>365</v>
      </c>
      <c r="J82">
        <f>df_Clean[[#This Row],[FuelCost_per_km]]*df_Clean[[#This Row],[Distance_km]]</f>
        <v>47450</v>
      </c>
      <c r="K82" t="s">
        <v>136</v>
      </c>
      <c r="L82" s="1">
        <v>45584</v>
      </c>
      <c r="M82" t="s">
        <v>137</v>
      </c>
      <c r="N82">
        <f>IF(df_Clean[[#This Row],[Status]]="Cancelled",df_Clean[[#This Row],[Revenue]],0)</f>
        <v>0</v>
      </c>
      <c r="O82">
        <f>IF(df_Clean[[#This Row],[Status]]="Late",1,0)</f>
        <v>0</v>
      </c>
      <c r="P82" cm="1">
        <f t="array" ref="P82">_xlfn.SWITCH(df_Clean[[#This Row],[Status]],"On-time",2,"Late",-1,"Cancelled",0)</f>
        <v>2</v>
      </c>
      <c r="Q82">
        <v>2</v>
      </c>
      <c r="R82">
        <v>288919</v>
      </c>
    </row>
    <row r="83" spans="1:18" x14ac:dyDescent="0.35">
      <c r="A83" t="s">
        <v>92</v>
      </c>
      <c r="B83" t="s">
        <v>113</v>
      </c>
      <c r="C83" t="s">
        <v>118</v>
      </c>
      <c r="D83" t="s">
        <v>117</v>
      </c>
      <c r="E83" t="str">
        <f>CONCATENATE(df_Clean[[#This Row],[Origin]]," - ",df_Clean[[#This Row],[Destination]])</f>
        <v>Bandung - Jakarta</v>
      </c>
      <c r="F83" t="str">
        <f>IF(df_Clean[[#This Row],[Origin]]=df_Clean[[#This Row],[Destination]],"Within City","Intercity")</f>
        <v>Intercity</v>
      </c>
      <c r="G83" t="s">
        <v>129</v>
      </c>
      <c r="H83">
        <v>981</v>
      </c>
      <c r="I83">
        <v>404</v>
      </c>
      <c r="J83">
        <f>df_Clean[[#This Row],[FuelCost_per_km]]*df_Clean[[#This Row],[Distance_km]]</f>
        <v>396324</v>
      </c>
      <c r="K83" t="s">
        <v>134</v>
      </c>
      <c r="L83" s="1">
        <v>45585</v>
      </c>
      <c r="M83" t="s">
        <v>137</v>
      </c>
      <c r="N83">
        <f>IF(df_Clean[[#This Row],[Status]]="Cancelled",df_Clean[[#This Row],[Revenue]],0)</f>
        <v>0</v>
      </c>
      <c r="O83">
        <f>IF(df_Clean[[#This Row],[Status]]="Late",1,0)</f>
        <v>0</v>
      </c>
      <c r="P83" cm="1">
        <f t="array" ref="P83">_xlfn.SWITCH(df_Clean[[#This Row],[Status]],"On-time",2,"Late",-1,"Cancelled",0)</f>
        <v>2</v>
      </c>
      <c r="Q83">
        <v>2</v>
      </c>
      <c r="R83">
        <v>1746938</v>
      </c>
    </row>
    <row r="84" spans="1:18" x14ac:dyDescent="0.35">
      <c r="A84" t="s">
        <v>93</v>
      </c>
      <c r="B84" t="s">
        <v>111</v>
      </c>
      <c r="C84" t="s">
        <v>122</v>
      </c>
      <c r="D84" t="s">
        <v>120</v>
      </c>
      <c r="E84" t="str">
        <f>CONCATENATE(df_Clean[[#This Row],[Origin]]," - ",df_Clean[[#This Row],[Destination]])</f>
        <v>Makassar - Surabaya</v>
      </c>
      <c r="F84" t="str">
        <f>IF(df_Clean[[#This Row],[Origin]]=df_Clean[[#This Row],[Destination]],"Within City","Intercity")</f>
        <v>Intercity</v>
      </c>
      <c r="G84" t="s">
        <v>129</v>
      </c>
      <c r="H84">
        <v>611</v>
      </c>
      <c r="I84">
        <v>441</v>
      </c>
      <c r="J84">
        <f>df_Clean[[#This Row],[FuelCost_per_km]]*df_Clean[[#This Row],[Distance_km]]</f>
        <v>269451</v>
      </c>
      <c r="K84" t="s">
        <v>136</v>
      </c>
      <c r="L84" s="1">
        <v>45590</v>
      </c>
      <c r="M84" t="s">
        <v>137</v>
      </c>
      <c r="N84">
        <f>IF(df_Clean[[#This Row],[Status]]="Cancelled",df_Clean[[#This Row],[Revenue]],0)</f>
        <v>0</v>
      </c>
      <c r="O84">
        <f>IF(df_Clean[[#This Row],[Status]]="Late",1,0)</f>
        <v>0</v>
      </c>
      <c r="P84" cm="1">
        <f t="array" ref="P84">_xlfn.SWITCH(df_Clean[[#This Row],[Status]],"On-time",2,"Late",-1,"Cancelled",0)</f>
        <v>2</v>
      </c>
      <c r="Q84">
        <v>2</v>
      </c>
      <c r="R84">
        <v>931357</v>
      </c>
    </row>
    <row r="85" spans="1:18" x14ac:dyDescent="0.35">
      <c r="A85" t="s">
        <v>94</v>
      </c>
      <c r="B85" t="s">
        <v>115</v>
      </c>
      <c r="C85" t="s">
        <v>117</v>
      </c>
      <c r="D85" t="s">
        <v>117</v>
      </c>
      <c r="E85" t="str">
        <f>CONCATENATE(df_Clean[[#This Row],[Origin]]," - ",df_Clean[[#This Row],[Destination]])</f>
        <v>Jakarta - Jakarta</v>
      </c>
      <c r="F85" t="str">
        <f>IF(df_Clean[[#This Row],[Origin]]=df_Clean[[#This Row],[Destination]],"Within City","Intercity")</f>
        <v>Within City</v>
      </c>
      <c r="G85" t="s">
        <v>129</v>
      </c>
      <c r="H85">
        <v>921</v>
      </c>
      <c r="I85">
        <v>373</v>
      </c>
      <c r="J85">
        <f>df_Clean[[#This Row],[FuelCost_per_km]]*df_Clean[[#This Row],[Distance_km]]</f>
        <v>343533</v>
      </c>
      <c r="K85" t="s">
        <v>133</v>
      </c>
      <c r="L85" s="1">
        <v>45591</v>
      </c>
      <c r="M85" t="s">
        <v>137</v>
      </c>
      <c r="N85">
        <f>IF(df_Clean[[#This Row],[Status]]="Cancelled",df_Clean[[#This Row],[Revenue]],0)</f>
        <v>0</v>
      </c>
      <c r="O85">
        <f>IF(df_Clean[[#This Row],[Status]]="Late",1,0)</f>
        <v>0</v>
      </c>
      <c r="P85" cm="1">
        <f t="array" ref="P85">_xlfn.SWITCH(df_Clean[[#This Row],[Status]],"On-time",2,"Late",-1,"Cancelled",0)</f>
        <v>2</v>
      </c>
      <c r="Q85">
        <v>2</v>
      </c>
      <c r="R85">
        <v>1975980</v>
      </c>
    </row>
    <row r="86" spans="1:18" x14ac:dyDescent="0.35">
      <c r="A86" t="s">
        <v>95</v>
      </c>
      <c r="B86" t="s">
        <v>116</v>
      </c>
      <c r="C86" t="s">
        <v>121</v>
      </c>
      <c r="D86" t="s">
        <v>124</v>
      </c>
      <c r="E86" t="str">
        <f>CONCATENATE(df_Clean[[#This Row],[Origin]]," - ",df_Clean[[#This Row],[Destination]])</f>
        <v>Semarang - Yogyakarta</v>
      </c>
      <c r="F86" t="str">
        <f>IF(df_Clean[[#This Row],[Origin]]=df_Clean[[#This Row],[Destination]],"Within City","Intercity")</f>
        <v>Intercity</v>
      </c>
      <c r="G86" t="s">
        <v>129</v>
      </c>
      <c r="H86">
        <v>437</v>
      </c>
      <c r="I86">
        <v>494</v>
      </c>
      <c r="J86">
        <f>df_Clean[[#This Row],[FuelCost_per_km]]*df_Clean[[#This Row],[Distance_km]]</f>
        <v>215878</v>
      </c>
      <c r="K86" t="s">
        <v>133</v>
      </c>
      <c r="L86" s="1">
        <v>45592</v>
      </c>
      <c r="M86" t="s">
        <v>137</v>
      </c>
      <c r="N86">
        <f>IF(df_Clean[[#This Row],[Status]]="Cancelled",df_Clean[[#This Row],[Revenue]],0)</f>
        <v>0</v>
      </c>
      <c r="O86">
        <f>IF(df_Clean[[#This Row],[Status]]="Late",1,0)</f>
        <v>0</v>
      </c>
      <c r="P86" cm="1">
        <f t="array" ref="P86">_xlfn.SWITCH(df_Clean[[#This Row],[Status]],"On-time",2,"Late",-1,"Cancelled",0)</f>
        <v>2</v>
      </c>
      <c r="Q86">
        <v>2</v>
      </c>
      <c r="R86">
        <v>732897</v>
      </c>
    </row>
    <row r="87" spans="1:18" x14ac:dyDescent="0.35">
      <c r="A87" t="s">
        <v>96</v>
      </c>
      <c r="B87" t="s">
        <v>113</v>
      </c>
      <c r="C87" t="s">
        <v>121</v>
      </c>
      <c r="D87" t="s">
        <v>123</v>
      </c>
      <c r="E87" t="str">
        <f>CONCATENATE(df_Clean[[#This Row],[Origin]]," - ",df_Clean[[#This Row],[Destination]])</f>
        <v>Semarang - Denpasar</v>
      </c>
      <c r="F87" t="str">
        <f>IF(df_Clean[[#This Row],[Origin]]=df_Clean[[#This Row],[Destination]],"Within City","Intercity")</f>
        <v>Intercity</v>
      </c>
      <c r="G87" t="s">
        <v>129</v>
      </c>
      <c r="H87">
        <v>51</v>
      </c>
      <c r="I87">
        <v>493</v>
      </c>
      <c r="J87">
        <f>df_Clean[[#This Row],[FuelCost_per_km]]*df_Clean[[#This Row],[Distance_km]]</f>
        <v>25143</v>
      </c>
      <c r="K87" t="s">
        <v>132</v>
      </c>
      <c r="L87" s="1">
        <v>45595</v>
      </c>
      <c r="M87" t="s">
        <v>137</v>
      </c>
      <c r="N87">
        <f>IF(df_Clean[[#This Row],[Status]]="Cancelled",df_Clean[[#This Row],[Revenue]],0)</f>
        <v>0</v>
      </c>
      <c r="O87">
        <f>IF(df_Clean[[#This Row],[Status]]="Late",1,0)</f>
        <v>0</v>
      </c>
      <c r="P87" cm="1">
        <f t="array" ref="P87">_xlfn.SWITCH(df_Clean[[#This Row],[Status]],"On-time",2,"Late",-1,"Cancelled",0)</f>
        <v>2</v>
      </c>
      <c r="Q87">
        <v>2</v>
      </c>
      <c r="R87">
        <v>124463</v>
      </c>
    </row>
    <row r="88" spans="1:18" x14ac:dyDescent="0.35">
      <c r="A88" t="s">
        <v>97</v>
      </c>
      <c r="B88" t="s">
        <v>115</v>
      </c>
      <c r="C88" t="s">
        <v>122</v>
      </c>
      <c r="D88" t="s">
        <v>123</v>
      </c>
      <c r="E88" t="str">
        <f>CONCATENATE(df_Clean[[#This Row],[Origin]]," - ",df_Clean[[#This Row],[Destination]])</f>
        <v>Makassar - Denpasar</v>
      </c>
      <c r="F88" t="str">
        <f>IF(df_Clean[[#This Row],[Origin]]=df_Clean[[#This Row],[Destination]],"Within City","Intercity")</f>
        <v>Intercity</v>
      </c>
      <c r="G88" t="s">
        <v>128</v>
      </c>
      <c r="H88">
        <v>439</v>
      </c>
      <c r="I88">
        <v>350</v>
      </c>
      <c r="J88">
        <f>df_Clean[[#This Row],[FuelCost_per_km]]*df_Clean[[#This Row],[Distance_km]]</f>
        <v>153650</v>
      </c>
      <c r="K88" t="s">
        <v>136</v>
      </c>
      <c r="L88" s="1">
        <v>45602</v>
      </c>
      <c r="M88" t="s">
        <v>137</v>
      </c>
      <c r="N88">
        <f>IF(df_Clean[[#This Row],[Status]]="Cancelled",df_Clean[[#This Row],[Revenue]],0)</f>
        <v>0</v>
      </c>
      <c r="O88">
        <f>IF(df_Clean[[#This Row],[Status]]="Late",1,0)</f>
        <v>0</v>
      </c>
      <c r="P88" cm="1">
        <f t="array" ref="P88">_xlfn.SWITCH(df_Clean[[#This Row],[Status]],"On-time",2,"Late",-1,"Cancelled",0)</f>
        <v>2</v>
      </c>
      <c r="Q88">
        <v>2</v>
      </c>
      <c r="R88">
        <v>1077275</v>
      </c>
    </row>
    <row r="89" spans="1:18" x14ac:dyDescent="0.35">
      <c r="A89" t="s">
        <v>98</v>
      </c>
      <c r="B89" t="s">
        <v>111</v>
      </c>
      <c r="C89" t="s">
        <v>120</v>
      </c>
      <c r="D89" t="s">
        <v>118</v>
      </c>
      <c r="E89" t="str">
        <f>CONCATENATE(df_Clean[[#This Row],[Origin]]," - ",df_Clean[[#This Row],[Destination]])</f>
        <v>Surabaya - Bandung</v>
      </c>
      <c r="F89" t="str">
        <f>IF(df_Clean[[#This Row],[Origin]]=df_Clean[[#This Row],[Destination]],"Within City","Intercity")</f>
        <v>Intercity</v>
      </c>
      <c r="G89" t="s">
        <v>129</v>
      </c>
      <c r="H89">
        <v>615</v>
      </c>
      <c r="I89">
        <v>399</v>
      </c>
      <c r="J89">
        <f>df_Clean[[#This Row],[FuelCost_per_km]]*df_Clean[[#This Row],[Distance_km]]</f>
        <v>245385</v>
      </c>
      <c r="K89" t="s">
        <v>133</v>
      </c>
      <c r="L89" s="1">
        <v>45603</v>
      </c>
      <c r="M89" t="s">
        <v>137</v>
      </c>
      <c r="N89">
        <f>IF(df_Clean[[#This Row],[Status]]="Cancelled",df_Clean[[#This Row],[Revenue]],0)</f>
        <v>0</v>
      </c>
      <c r="O89">
        <f>IF(df_Clean[[#This Row],[Status]]="Late",1,0)</f>
        <v>0</v>
      </c>
      <c r="P89" cm="1">
        <f t="array" ref="P89">_xlfn.SWITCH(df_Clean[[#This Row],[Status]],"On-time",2,"Late",-1,"Cancelled",0)</f>
        <v>2</v>
      </c>
      <c r="Q89">
        <v>2</v>
      </c>
      <c r="R89">
        <v>1485142</v>
      </c>
    </row>
    <row r="90" spans="1:18" x14ac:dyDescent="0.35">
      <c r="A90" t="s">
        <v>99</v>
      </c>
      <c r="B90" t="s">
        <v>112</v>
      </c>
      <c r="C90" t="s">
        <v>120</v>
      </c>
      <c r="D90" t="s">
        <v>124</v>
      </c>
      <c r="E90" t="str">
        <f>CONCATENATE(df_Clean[[#This Row],[Origin]]," - ",df_Clean[[#This Row],[Destination]])</f>
        <v>Surabaya - Yogyakarta</v>
      </c>
      <c r="F90" t="str">
        <f>IF(df_Clean[[#This Row],[Origin]]=df_Clean[[#This Row],[Destination]],"Within City","Intercity")</f>
        <v>Intercity</v>
      </c>
      <c r="G90" t="s">
        <v>126</v>
      </c>
      <c r="H90">
        <v>155</v>
      </c>
      <c r="I90">
        <v>360</v>
      </c>
      <c r="J90">
        <f>df_Clean[[#This Row],[FuelCost_per_km]]*df_Clean[[#This Row],[Distance_km]]</f>
        <v>55800</v>
      </c>
      <c r="K90" t="s">
        <v>130</v>
      </c>
      <c r="L90" s="1">
        <v>45607</v>
      </c>
      <c r="M90" t="s">
        <v>137</v>
      </c>
      <c r="N90">
        <f>IF(df_Clean[[#This Row],[Status]]="Cancelled",df_Clean[[#This Row],[Revenue]],0)</f>
        <v>0</v>
      </c>
      <c r="O90">
        <f>IF(df_Clean[[#This Row],[Status]]="Late",1,0)</f>
        <v>0</v>
      </c>
      <c r="P90" cm="1">
        <f t="array" ref="P90">_xlfn.SWITCH(df_Clean[[#This Row],[Status]],"On-time",2,"Late",-1,"Cancelled",0)</f>
        <v>2</v>
      </c>
      <c r="Q90">
        <v>2</v>
      </c>
      <c r="R90">
        <v>289875</v>
      </c>
    </row>
    <row r="91" spans="1:18" x14ac:dyDescent="0.35">
      <c r="A91" t="s">
        <v>100</v>
      </c>
      <c r="B91" t="s">
        <v>112</v>
      </c>
      <c r="C91" t="s">
        <v>121</v>
      </c>
      <c r="D91" t="s">
        <v>117</v>
      </c>
      <c r="E91" t="str">
        <f>CONCATENATE(df_Clean[[#This Row],[Origin]]," - ",df_Clean[[#This Row],[Destination]])</f>
        <v>Semarang - Jakarta</v>
      </c>
      <c r="F91" t="str">
        <f>IF(df_Clean[[#This Row],[Origin]]=df_Clean[[#This Row],[Destination]],"Within City","Intercity")</f>
        <v>Intercity</v>
      </c>
      <c r="G91" t="s">
        <v>127</v>
      </c>
      <c r="H91">
        <v>821</v>
      </c>
      <c r="I91">
        <v>357</v>
      </c>
      <c r="J91">
        <f>df_Clean[[#This Row],[FuelCost_per_km]]*df_Clean[[#This Row],[Distance_km]]</f>
        <v>293097</v>
      </c>
      <c r="K91" t="s">
        <v>135</v>
      </c>
      <c r="L91" s="1">
        <v>45608</v>
      </c>
      <c r="M91" t="s">
        <v>138</v>
      </c>
      <c r="N91">
        <f>IF(df_Clean[[#This Row],[Status]]="Cancelled",df_Clean[[#This Row],[Revenue]],0)</f>
        <v>0</v>
      </c>
      <c r="O91">
        <f>IF(df_Clean[[#This Row],[Status]]="Late",1,0)</f>
        <v>1</v>
      </c>
      <c r="P91" cm="1">
        <f t="array" ref="P91">_xlfn.SWITCH(df_Clean[[#This Row],[Status]],"On-time",2,"Late",-1,"Cancelled",0)</f>
        <v>-1</v>
      </c>
      <c r="Q91">
        <v>2</v>
      </c>
      <c r="R91">
        <v>1244190</v>
      </c>
    </row>
    <row r="92" spans="1:18" x14ac:dyDescent="0.35">
      <c r="A92" t="s">
        <v>101</v>
      </c>
      <c r="B92" t="s">
        <v>112</v>
      </c>
      <c r="C92" t="s">
        <v>121</v>
      </c>
      <c r="D92" t="s">
        <v>118</v>
      </c>
      <c r="E92" t="str">
        <f>CONCATENATE(df_Clean[[#This Row],[Origin]]," - ",df_Clean[[#This Row],[Destination]])</f>
        <v>Semarang - Bandung</v>
      </c>
      <c r="F92" t="str">
        <f>IF(df_Clean[[#This Row],[Origin]]=df_Clean[[#This Row],[Destination]],"Within City","Intercity")</f>
        <v>Intercity</v>
      </c>
      <c r="G92" t="s">
        <v>126</v>
      </c>
      <c r="H92">
        <v>871</v>
      </c>
      <c r="I92">
        <v>307</v>
      </c>
      <c r="J92">
        <f>df_Clean[[#This Row],[FuelCost_per_km]]*df_Clean[[#This Row],[Distance_km]]</f>
        <v>267397</v>
      </c>
      <c r="K92" t="s">
        <v>131</v>
      </c>
      <c r="L92" s="1">
        <v>45616</v>
      </c>
      <c r="M92" t="s">
        <v>138</v>
      </c>
      <c r="N92">
        <f>IF(df_Clean[[#This Row],[Status]]="Cancelled",df_Clean[[#This Row],[Revenue]],0)</f>
        <v>0</v>
      </c>
      <c r="O92">
        <f>IF(df_Clean[[#This Row],[Status]]="Late",1,0)</f>
        <v>1</v>
      </c>
      <c r="P92" cm="1">
        <f t="array" ref="P92">_xlfn.SWITCH(df_Clean[[#This Row],[Status]],"On-time",2,"Late",-1,"Cancelled",0)</f>
        <v>-1</v>
      </c>
      <c r="Q92">
        <v>2</v>
      </c>
      <c r="R92">
        <v>2115065</v>
      </c>
    </row>
    <row r="93" spans="1:18" x14ac:dyDescent="0.35">
      <c r="A93" t="s">
        <v>102</v>
      </c>
      <c r="B93" t="s">
        <v>111</v>
      </c>
      <c r="C93" t="s">
        <v>120</v>
      </c>
      <c r="D93" t="s">
        <v>125</v>
      </c>
      <c r="E93" t="str">
        <f>CONCATENATE(df_Clean[[#This Row],[Origin]]," - ",df_Clean[[#This Row],[Destination]])</f>
        <v>Surabaya - Palembang</v>
      </c>
      <c r="F93" t="str">
        <f>IF(df_Clean[[#This Row],[Origin]]=df_Clean[[#This Row],[Destination]],"Within City","Intercity")</f>
        <v>Intercity</v>
      </c>
      <c r="G93" t="s">
        <v>127</v>
      </c>
      <c r="H93">
        <v>526</v>
      </c>
      <c r="I93">
        <v>422</v>
      </c>
      <c r="J93">
        <f>df_Clean[[#This Row],[FuelCost_per_km]]*df_Clean[[#This Row],[Distance_km]]</f>
        <v>221972</v>
      </c>
      <c r="K93" t="s">
        <v>131</v>
      </c>
      <c r="L93" s="1">
        <v>45633</v>
      </c>
      <c r="M93" t="s">
        <v>137</v>
      </c>
      <c r="N93">
        <f>IF(df_Clean[[#This Row],[Status]]="Cancelled",df_Clean[[#This Row],[Revenue]],0)</f>
        <v>0</v>
      </c>
      <c r="O93">
        <f>IF(df_Clean[[#This Row],[Status]]="Late",1,0)</f>
        <v>0</v>
      </c>
      <c r="P93" cm="1">
        <f t="array" ref="P93">_xlfn.SWITCH(df_Clean[[#This Row],[Status]],"On-time",2,"Late",-1,"Cancelled",0)</f>
        <v>2</v>
      </c>
      <c r="Q93">
        <v>2</v>
      </c>
      <c r="R93">
        <v>1014225</v>
      </c>
    </row>
    <row r="94" spans="1:18" x14ac:dyDescent="0.35">
      <c r="A94" t="s">
        <v>103</v>
      </c>
      <c r="B94" t="s">
        <v>114</v>
      </c>
      <c r="C94" t="s">
        <v>120</v>
      </c>
      <c r="D94" t="s">
        <v>120</v>
      </c>
      <c r="E94" t="str">
        <f>CONCATENATE(df_Clean[[#This Row],[Origin]]," - ",df_Clean[[#This Row],[Destination]])</f>
        <v>Surabaya - Surabaya</v>
      </c>
      <c r="F94" t="str">
        <f>IF(df_Clean[[#This Row],[Origin]]=df_Clean[[#This Row],[Destination]],"Within City","Intercity")</f>
        <v>Within City</v>
      </c>
      <c r="G94" t="s">
        <v>129</v>
      </c>
      <c r="H94">
        <v>752</v>
      </c>
      <c r="I94">
        <v>401</v>
      </c>
      <c r="J94">
        <f>df_Clean[[#This Row],[FuelCost_per_km]]*df_Clean[[#This Row],[Distance_km]]</f>
        <v>301552</v>
      </c>
      <c r="K94" t="s">
        <v>130</v>
      </c>
      <c r="L94" s="1">
        <v>45634</v>
      </c>
      <c r="M94" t="s">
        <v>137</v>
      </c>
      <c r="N94">
        <f>IF(df_Clean[[#This Row],[Status]]="Cancelled",df_Clean[[#This Row],[Revenue]],0)</f>
        <v>0</v>
      </c>
      <c r="O94">
        <f>IF(df_Clean[[#This Row],[Status]]="Late",1,0)</f>
        <v>0</v>
      </c>
      <c r="P94" cm="1">
        <f t="array" ref="P94">_xlfn.SWITCH(df_Clean[[#This Row],[Status]],"On-time",2,"Late",-1,"Cancelled",0)</f>
        <v>2</v>
      </c>
      <c r="Q94">
        <v>2</v>
      </c>
      <c r="R94">
        <v>1854924</v>
      </c>
    </row>
    <row r="95" spans="1:18" x14ac:dyDescent="0.35">
      <c r="A95" t="s">
        <v>104</v>
      </c>
      <c r="B95" t="s">
        <v>116</v>
      </c>
      <c r="C95" t="s">
        <v>122</v>
      </c>
      <c r="D95" t="s">
        <v>117</v>
      </c>
      <c r="E95" t="str">
        <f>CONCATENATE(df_Clean[[#This Row],[Origin]]," - ",df_Clean[[#This Row],[Destination]])</f>
        <v>Makassar - Jakarta</v>
      </c>
      <c r="F95" t="str">
        <f>IF(df_Clean[[#This Row],[Origin]]=df_Clean[[#This Row],[Destination]],"Within City","Intercity")</f>
        <v>Intercity</v>
      </c>
      <c r="G95" t="s">
        <v>127</v>
      </c>
      <c r="H95">
        <v>451</v>
      </c>
      <c r="I95">
        <v>310</v>
      </c>
      <c r="J95">
        <f>df_Clean[[#This Row],[FuelCost_per_km]]*df_Clean[[#This Row],[Distance_km]]</f>
        <v>139810</v>
      </c>
      <c r="K95" t="s">
        <v>134</v>
      </c>
      <c r="L95" s="1">
        <v>45635</v>
      </c>
      <c r="M95" t="s">
        <v>138</v>
      </c>
      <c r="N95">
        <f>IF(df_Clean[[#This Row],[Status]]="Cancelled",df_Clean[[#This Row],[Revenue]],0)</f>
        <v>0</v>
      </c>
      <c r="O95">
        <f>IF(df_Clean[[#This Row],[Status]]="Late",1,0)</f>
        <v>1</v>
      </c>
      <c r="P95" cm="1">
        <f t="array" ref="P95">_xlfn.SWITCH(df_Clean[[#This Row],[Status]],"On-time",2,"Late",-1,"Cancelled",0)</f>
        <v>-1</v>
      </c>
      <c r="Q95">
        <v>2</v>
      </c>
      <c r="R95">
        <v>1111093</v>
      </c>
    </row>
    <row r="96" spans="1:18" x14ac:dyDescent="0.35">
      <c r="A96" t="s">
        <v>105</v>
      </c>
      <c r="B96" t="s">
        <v>112</v>
      </c>
      <c r="C96" t="s">
        <v>121</v>
      </c>
      <c r="D96" t="s">
        <v>125</v>
      </c>
      <c r="E96" t="str">
        <f>CONCATENATE(df_Clean[[#This Row],[Origin]]," - ",df_Clean[[#This Row],[Destination]])</f>
        <v>Semarang - Palembang</v>
      </c>
      <c r="F96" t="str">
        <f>IF(df_Clean[[#This Row],[Origin]]=df_Clean[[#This Row],[Destination]],"Within City","Intercity")</f>
        <v>Intercity</v>
      </c>
      <c r="G96" t="s">
        <v>128</v>
      </c>
      <c r="H96">
        <v>779</v>
      </c>
      <c r="I96">
        <v>356</v>
      </c>
      <c r="J96">
        <f>df_Clean[[#This Row],[FuelCost_per_km]]*df_Clean[[#This Row],[Distance_km]]</f>
        <v>277324</v>
      </c>
      <c r="K96" t="s">
        <v>136</v>
      </c>
      <c r="L96" s="1">
        <v>45641</v>
      </c>
      <c r="M96" t="s">
        <v>138</v>
      </c>
      <c r="N96">
        <f>IF(df_Clean[[#This Row],[Status]]="Cancelled",df_Clean[[#This Row],[Revenue]],0)</f>
        <v>0</v>
      </c>
      <c r="O96">
        <f>IF(df_Clean[[#This Row],[Status]]="Late",1,0)</f>
        <v>1</v>
      </c>
      <c r="P96" cm="1">
        <f t="array" ref="P96">_xlfn.SWITCH(df_Clean[[#This Row],[Status]],"On-time",2,"Late",-1,"Cancelled",0)</f>
        <v>-1</v>
      </c>
      <c r="Q96">
        <v>2</v>
      </c>
      <c r="R96">
        <v>1832994</v>
      </c>
    </row>
    <row r="97" spans="1:18" x14ac:dyDescent="0.35">
      <c r="A97" t="s">
        <v>106</v>
      </c>
      <c r="B97" t="s">
        <v>116</v>
      </c>
      <c r="C97" t="s">
        <v>122</v>
      </c>
      <c r="D97" t="s">
        <v>120</v>
      </c>
      <c r="E97" t="str">
        <f>CONCATENATE(df_Clean[[#This Row],[Origin]]," - ",df_Clean[[#This Row],[Destination]])</f>
        <v>Makassar - Surabaya</v>
      </c>
      <c r="F97" t="str">
        <f>IF(df_Clean[[#This Row],[Origin]]=df_Clean[[#This Row],[Destination]],"Within City","Intercity")</f>
        <v>Intercity</v>
      </c>
      <c r="G97" t="s">
        <v>129</v>
      </c>
      <c r="H97">
        <v>605</v>
      </c>
      <c r="I97">
        <v>482</v>
      </c>
      <c r="J97">
        <f>df_Clean[[#This Row],[FuelCost_per_km]]*df_Clean[[#This Row],[Distance_km]]</f>
        <v>291610</v>
      </c>
      <c r="K97" t="s">
        <v>135</v>
      </c>
      <c r="L97" s="1">
        <v>45648</v>
      </c>
      <c r="M97" t="s">
        <v>137</v>
      </c>
      <c r="N97">
        <f>IF(df_Clean[[#This Row],[Status]]="Cancelled",df_Clean[[#This Row],[Revenue]],0)</f>
        <v>0</v>
      </c>
      <c r="O97">
        <f>IF(df_Clean[[#This Row],[Status]]="Late",1,0)</f>
        <v>0</v>
      </c>
      <c r="P97" cm="1">
        <f t="array" ref="P97">_xlfn.SWITCH(df_Clean[[#This Row],[Status]],"On-time",2,"Late",-1,"Cancelled",0)</f>
        <v>2</v>
      </c>
      <c r="Q97">
        <v>2</v>
      </c>
      <c r="R97">
        <v>1085642</v>
      </c>
    </row>
    <row r="98" spans="1:18" x14ac:dyDescent="0.35">
      <c r="A98" t="s">
        <v>107</v>
      </c>
      <c r="B98" t="s">
        <v>115</v>
      </c>
      <c r="C98" t="s">
        <v>119</v>
      </c>
      <c r="D98" t="s">
        <v>124</v>
      </c>
      <c r="E98" t="str">
        <f>CONCATENATE(df_Clean[[#This Row],[Origin]]," - ",df_Clean[[#This Row],[Destination]])</f>
        <v>Medan - Yogyakarta</v>
      </c>
      <c r="F98" t="str">
        <f>IF(df_Clean[[#This Row],[Origin]]=df_Clean[[#This Row],[Destination]],"Within City","Intercity")</f>
        <v>Intercity</v>
      </c>
      <c r="G98" t="s">
        <v>129</v>
      </c>
      <c r="H98">
        <v>211</v>
      </c>
      <c r="I98">
        <v>348</v>
      </c>
      <c r="J98">
        <f>df_Clean[[#This Row],[FuelCost_per_km]]*df_Clean[[#This Row],[Distance_km]]</f>
        <v>73428</v>
      </c>
      <c r="K98" t="s">
        <v>136</v>
      </c>
      <c r="L98" s="1">
        <v>45649</v>
      </c>
      <c r="M98" t="s">
        <v>137</v>
      </c>
      <c r="N98">
        <f>IF(df_Clean[[#This Row],[Status]]="Cancelled",df_Clean[[#This Row],[Revenue]],0)</f>
        <v>0</v>
      </c>
      <c r="O98">
        <f>IF(df_Clean[[#This Row],[Status]]="Late",1,0)</f>
        <v>0</v>
      </c>
      <c r="P98" cm="1">
        <f t="array" ref="P98">_xlfn.SWITCH(df_Clean[[#This Row],[Status]],"On-time",2,"Late",-1,"Cancelled",0)</f>
        <v>2</v>
      </c>
      <c r="Q98">
        <v>2</v>
      </c>
      <c r="R98">
        <v>397756</v>
      </c>
    </row>
    <row r="99" spans="1:18" x14ac:dyDescent="0.35">
      <c r="A99" t="s">
        <v>108</v>
      </c>
      <c r="B99" t="s">
        <v>111</v>
      </c>
      <c r="C99" t="s">
        <v>117</v>
      </c>
      <c r="D99" t="s">
        <v>118</v>
      </c>
      <c r="E99" t="str">
        <f>CONCATENATE(df_Clean[[#This Row],[Origin]]," - ",df_Clean[[#This Row],[Destination]])</f>
        <v>Jakarta - Bandung</v>
      </c>
      <c r="F99" t="str">
        <f>IF(df_Clean[[#This Row],[Origin]]=df_Clean[[#This Row],[Destination]],"Within City","Intercity")</f>
        <v>Intercity</v>
      </c>
      <c r="G99" t="s">
        <v>127</v>
      </c>
      <c r="H99">
        <v>251</v>
      </c>
      <c r="I99">
        <v>329</v>
      </c>
      <c r="J99">
        <f>df_Clean[[#This Row],[FuelCost_per_km]]*df_Clean[[#This Row],[Distance_km]]</f>
        <v>82579</v>
      </c>
      <c r="K99" t="s">
        <v>131</v>
      </c>
      <c r="L99" s="1">
        <v>45650</v>
      </c>
      <c r="M99" t="s">
        <v>138</v>
      </c>
      <c r="N99">
        <f>IF(df_Clean[[#This Row],[Status]]="Cancelled",df_Clean[[#This Row],[Revenue]],0)</f>
        <v>0</v>
      </c>
      <c r="O99">
        <f>IF(df_Clean[[#This Row],[Status]]="Late",1,0)</f>
        <v>1</v>
      </c>
      <c r="P99" cm="1">
        <f t="array" ref="P99">_xlfn.SWITCH(df_Clean[[#This Row],[Status]],"On-time",2,"Late",-1,"Cancelled",0)</f>
        <v>-1</v>
      </c>
      <c r="Q99">
        <v>2</v>
      </c>
      <c r="R99">
        <v>590135</v>
      </c>
    </row>
    <row r="100" spans="1:18" x14ac:dyDescent="0.35">
      <c r="A100" t="s">
        <v>109</v>
      </c>
      <c r="B100" t="s">
        <v>115</v>
      </c>
      <c r="C100" t="s">
        <v>122</v>
      </c>
      <c r="D100" t="s">
        <v>118</v>
      </c>
      <c r="E100" t="str">
        <f>CONCATENATE(df_Clean[[#This Row],[Origin]]," - ",df_Clean[[#This Row],[Destination]])</f>
        <v>Makassar - Bandung</v>
      </c>
      <c r="F100" t="str">
        <f>IF(df_Clean[[#This Row],[Origin]]=df_Clean[[#This Row],[Destination]],"Within City","Intercity")</f>
        <v>Intercity</v>
      </c>
      <c r="G100" t="s">
        <v>127</v>
      </c>
      <c r="H100">
        <v>319</v>
      </c>
      <c r="I100">
        <v>398</v>
      </c>
      <c r="J100">
        <f>df_Clean[[#This Row],[FuelCost_per_km]]*df_Clean[[#This Row],[Distance_km]]</f>
        <v>126962</v>
      </c>
      <c r="K100" t="s">
        <v>130</v>
      </c>
      <c r="L100" s="1">
        <v>45654</v>
      </c>
      <c r="M100" t="s">
        <v>137</v>
      </c>
      <c r="N100">
        <f>IF(df_Clean[[#This Row],[Status]]="Cancelled",df_Clean[[#This Row],[Revenue]],0)</f>
        <v>0</v>
      </c>
      <c r="O100">
        <f>IF(df_Clean[[#This Row],[Status]]="Late",1,0)</f>
        <v>0</v>
      </c>
      <c r="P100" cm="1">
        <f t="array" ref="P100">_xlfn.SWITCH(df_Clean[[#This Row],[Status]],"On-time",2,"Late",-1,"Cancelled",0)</f>
        <v>2</v>
      </c>
      <c r="Q100">
        <v>2</v>
      </c>
      <c r="R100">
        <v>579598</v>
      </c>
    </row>
    <row r="101" spans="1:18" x14ac:dyDescent="0.35">
      <c r="A101" t="s">
        <v>110</v>
      </c>
      <c r="B101" t="s">
        <v>115</v>
      </c>
      <c r="C101" t="s">
        <v>122</v>
      </c>
      <c r="D101" t="s">
        <v>123</v>
      </c>
      <c r="E101" t="str">
        <f>CONCATENATE(df_Clean[[#This Row],[Origin]]," - ",df_Clean[[#This Row],[Destination]])</f>
        <v>Makassar - Denpasar</v>
      </c>
      <c r="F101" t="str">
        <f>IF(df_Clean[[#This Row],[Origin]]=df_Clean[[#This Row],[Destination]],"Within City","Intercity")</f>
        <v>Intercity</v>
      </c>
      <c r="G101" t="s">
        <v>129</v>
      </c>
      <c r="H101">
        <v>912</v>
      </c>
      <c r="I101">
        <v>497</v>
      </c>
      <c r="J101">
        <f>df_Clean[[#This Row],[FuelCost_per_km]]*df_Clean[[#This Row],[Distance_km]]</f>
        <v>453264</v>
      </c>
      <c r="K101" t="s">
        <v>134</v>
      </c>
      <c r="L101" s="1">
        <v>45657</v>
      </c>
      <c r="M101" t="s">
        <v>137</v>
      </c>
      <c r="N101">
        <f>IF(df_Clean[[#This Row],[Status]]="Cancelled",df_Clean[[#This Row],[Revenue]],0)</f>
        <v>0</v>
      </c>
      <c r="O101">
        <f>IF(df_Clean[[#This Row],[Status]]="Late",1,0)</f>
        <v>0</v>
      </c>
      <c r="P101" cm="1">
        <f t="array" ref="P101">_xlfn.SWITCH(df_Clean[[#This Row],[Status]],"On-time",2,"Late",-1,"Cancelled",0)</f>
        <v>2</v>
      </c>
      <c r="Q101">
        <v>2</v>
      </c>
      <c r="R101">
        <v>1522577</v>
      </c>
    </row>
    <row r="102" spans="1:18" x14ac:dyDescent="0.35">
      <c r="A102" t="s">
        <v>147</v>
      </c>
      <c r="R102">
        <f>SUBTOTAL(109,df_Clean[Revenue])</f>
        <v>99616650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D2EF9-BB7B-4846-8385-AF8756B23C2B}">
  <sheetPr codeName="Sheet6"/>
  <dimension ref="A1:K101"/>
  <sheetViews>
    <sheetView workbookViewId="0">
      <selection activeCell="G6" sqref="G6"/>
    </sheetView>
  </sheetViews>
  <sheetFormatPr defaultRowHeight="14.5" x14ac:dyDescent="0.35"/>
  <cols>
    <col min="1" max="1" width="12.08984375" bestFit="1" customWidth="1"/>
    <col min="2" max="2" width="17.453125" bestFit="1" customWidth="1"/>
    <col min="3" max="3" width="10.36328125" bestFit="1" customWidth="1"/>
    <col min="4" max="4" width="15.08984375" bestFit="1" customWidth="1"/>
    <col min="5" max="5" width="14" bestFit="1" customWidth="1"/>
    <col min="6" max="6" width="16.1796875" bestFit="1" customWidth="1"/>
    <col min="7" max="7" width="20.08984375" bestFit="1" customWidth="1"/>
    <col min="8" max="8" width="10.453125" bestFit="1" customWidth="1"/>
    <col min="9" max="9" width="17.81640625" bestFit="1" customWidth="1"/>
    <col min="10" max="10" width="10.6328125" bestFit="1" customWidth="1"/>
    <col min="11" max="11" width="12.54296875" bestFit="1" customWidth="1"/>
  </cols>
  <sheetData>
    <row r="1" spans="1:11" x14ac:dyDescent="0.35">
      <c r="A1" s="2" t="s">
        <v>0</v>
      </c>
      <c r="B1" s="2" t="s">
        <v>1</v>
      </c>
      <c r="C1" s="2" t="s">
        <v>2</v>
      </c>
      <c r="D1" s="2" t="s">
        <v>3</v>
      </c>
      <c r="E1" s="2" t="s">
        <v>4</v>
      </c>
      <c r="F1" s="2" t="s">
        <v>5</v>
      </c>
      <c r="G1" s="2" t="s">
        <v>6</v>
      </c>
      <c r="H1" s="2" t="s">
        <v>7</v>
      </c>
      <c r="I1" s="2" t="s">
        <v>8</v>
      </c>
      <c r="J1" s="2" t="s">
        <v>9</v>
      </c>
      <c r="K1" s="2" t="s">
        <v>10</v>
      </c>
    </row>
    <row r="2" spans="1:11" x14ac:dyDescent="0.35">
      <c r="A2" t="s">
        <v>11</v>
      </c>
      <c r="B2" t="s">
        <v>111</v>
      </c>
      <c r="C2" t="s">
        <v>117</v>
      </c>
      <c r="D2" t="s">
        <v>123</v>
      </c>
      <c r="E2" t="s">
        <v>126</v>
      </c>
      <c r="F2">
        <v>152</v>
      </c>
      <c r="G2">
        <v>484</v>
      </c>
      <c r="H2" t="s">
        <v>130</v>
      </c>
      <c r="I2" s="1">
        <v>45295</v>
      </c>
      <c r="J2" t="s">
        <v>137</v>
      </c>
      <c r="K2">
        <v>264792</v>
      </c>
    </row>
    <row r="3" spans="1:11" x14ac:dyDescent="0.35">
      <c r="A3" t="s">
        <v>12</v>
      </c>
      <c r="B3" t="s">
        <v>112</v>
      </c>
      <c r="C3" t="s">
        <v>118</v>
      </c>
      <c r="D3" t="s">
        <v>123</v>
      </c>
      <c r="E3" t="s">
        <v>127</v>
      </c>
      <c r="F3">
        <v>485</v>
      </c>
      <c r="G3">
        <v>318</v>
      </c>
      <c r="H3" t="s">
        <v>131</v>
      </c>
      <c r="I3" s="1">
        <v>45298</v>
      </c>
      <c r="J3" t="s">
        <v>138</v>
      </c>
      <c r="K3">
        <v>1053486</v>
      </c>
    </row>
    <row r="4" spans="1:11" x14ac:dyDescent="0.35">
      <c r="A4" t="s">
        <v>13</v>
      </c>
      <c r="B4" t="s">
        <v>113</v>
      </c>
      <c r="C4" t="s">
        <v>118</v>
      </c>
      <c r="D4" t="s">
        <v>123</v>
      </c>
      <c r="E4" t="s">
        <v>126</v>
      </c>
      <c r="F4">
        <v>910</v>
      </c>
      <c r="G4">
        <v>339</v>
      </c>
      <c r="H4" t="s">
        <v>130</v>
      </c>
      <c r="I4" s="1">
        <v>45302</v>
      </c>
      <c r="J4" t="s">
        <v>137</v>
      </c>
      <c r="K4">
        <v>2058074</v>
      </c>
    </row>
    <row r="5" spans="1:11" x14ac:dyDescent="0.35">
      <c r="A5" t="s">
        <v>14</v>
      </c>
      <c r="B5" t="s">
        <v>113</v>
      </c>
      <c r="C5" t="s">
        <v>119</v>
      </c>
      <c r="D5" t="s">
        <v>118</v>
      </c>
      <c r="E5" t="s">
        <v>127</v>
      </c>
      <c r="F5">
        <v>320</v>
      </c>
      <c r="G5">
        <v>309</v>
      </c>
      <c r="H5" t="s">
        <v>132</v>
      </c>
      <c r="I5" s="1">
        <v>45303</v>
      </c>
      <c r="J5" t="s">
        <v>138</v>
      </c>
      <c r="K5">
        <v>556044</v>
      </c>
    </row>
    <row r="6" spans="1:11" x14ac:dyDescent="0.35">
      <c r="A6" t="s">
        <v>15</v>
      </c>
      <c r="B6" t="s">
        <v>114</v>
      </c>
      <c r="C6" t="s">
        <v>120</v>
      </c>
      <c r="D6" t="s">
        <v>124</v>
      </c>
      <c r="E6" t="s">
        <v>128</v>
      </c>
      <c r="F6">
        <v>156</v>
      </c>
      <c r="G6">
        <v>365</v>
      </c>
      <c r="H6" t="s">
        <v>133</v>
      </c>
      <c r="I6" s="1">
        <v>45309</v>
      </c>
      <c r="J6" t="s">
        <v>137</v>
      </c>
      <c r="K6">
        <v>347602</v>
      </c>
    </row>
    <row r="7" spans="1:11" x14ac:dyDescent="0.35">
      <c r="A7" t="s">
        <v>16</v>
      </c>
      <c r="B7" t="s">
        <v>114</v>
      </c>
      <c r="C7" t="s">
        <v>119</v>
      </c>
      <c r="D7" t="s">
        <v>117</v>
      </c>
      <c r="E7" t="s">
        <v>128</v>
      </c>
      <c r="F7">
        <v>121</v>
      </c>
      <c r="G7">
        <v>378</v>
      </c>
      <c r="H7" t="s">
        <v>131</v>
      </c>
      <c r="I7" s="1">
        <v>45310</v>
      </c>
      <c r="J7" t="s">
        <v>137</v>
      </c>
      <c r="K7">
        <v>226002</v>
      </c>
    </row>
    <row r="8" spans="1:11" x14ac:dyDescent="0.35">
      <c r="A8" t="s">
        <v>17</v>
      </c>
      <c r="B8" t="s">
        <v>115</v>
      </c>
      <c r="C8" t="s">
        <v>117</v>
      </c>
      <c r="D8" t="s">
        <v>124</v>
      </c>
      <c r="E8" t="s">
        <v>129</v>
      </c>
      <c r="F8">
        <v>750</v>
      </c>
      <c r="G8">
        <v>354</v>
      </c>
      <c r="H8" t="s">
        <v>134</v>
      </c>
      <c r="I8" s="1">
        <v>45313</v>
      </c>
      <c r="J8" t="s">
        <v>137</v>
      </c>
      <c r="K8">
        <v>1599229</v>
      </c>
    </row>
    <row r="9" spans="1:11" x14ac:dyDescent="0.35">
      <c r="A9" t="s">
        <v>18</v>
      </c>
      <c r="B9" t="s">
        <v>112</v>
      </c>
      <c r="C9" t="s">
        <v>121</v>
      </c>
      <c r="D9" t="s">
        <v>118</v>
      </c>
      <c r="E9" t="s">
        <v>126</v>
      </c>
      <c r="F9">
        <v>70</v>
      </c>
      <c r="G9">
        <v>466</v>
      </c>
      <c r="H9" t="s">
        <v>130</v>
      </c>
      <c r="I9" s="1">
        <v>45314</v>
      </c>
      <c r="J9" t="s">
        <v>138</v>
      </c>
      <c r="K9">
        <v>149347</v>
      </c>
    </row>
    <row r="10" spans="1:11" x14ac:dyDescent="0.35">
      <c r="A10" t="s">
        <v>19</v>
      </c>
      <c r="B10" t="s">
        <v>116</v>
      </c>
      <c r="C10" t="s">
        <v>121</v>
      </c>
      <c r="D10" t="s">
        <v>124</v>
      </c>
      <c r="E10" t="s">
        <v>126</v>
      </c>
      <c r="F10">
        <v>664</v>
      </c>
      <c r="G10">
        <v>371</v>
      </c>
      <c r="H10" t="s">
        <v>135</v>
      </c>
      <c r="I10" s="1">
        <v>45317</v>
      </c>
      <c r="J10" t="s">
        <v>137</v>
      </c>
      <c r="K10">
        <v>1351754</v>
      </c>
    </row>
    <row r="11" spans="1:11" x14ac:dyDescent="0.35">
      <c r="A11" t="s">
        <v>20</v>
      </c>
      <c r="B11" t="s">
        <v>112</v>
      </c>
      <c r="C11" t="s">
        <v>122</v>
      </c>
      <c r="D11" t="s">
        <v>123</v>
      </c>
      <c r="E11" t="s">
        <v>126</v>
      </c>
      <c r="F11">
        <v>171</v>
      </c>
      <c r="G11">
        <v>356</v>
      </c>
      <c r="H11" t="s">
        <v>136</v>
      </c>
      <c r="I11" s="1">
        <v>45318</v>
      </c>
      <c r="J11" t="s">
        <v>137</v>
      </c>
      <c r="K11">
        <v>271940</v>
      </c>
    </row>
    <row r="12" spans="1:11" x14ac:dyDescent="0.35">
      <c r="A12" t="s">
        <v>21</v>
      </c>
      <c r="B12" t="s">
        <v>113</v>
      </c>
      <c r="C12" t="s">
        <v>122</v>
      </c>
      <c r="D12" t="s">
        <v>117</v>
      </c>
      <c r="E12" t="s">
        <v>126</v>
      </c>
      <c r="F12">
        <v>516</v>
      </c>
      <c r="G12">
        <v>409</v>
      </c>
      <c r="H12" t="s">
        <v>133</v>
      </c>
      <c r="I12" s="1">
        <v>45329</v>
      </c>
      <c r="J12" t="s">
        <v>137</v>
      </c>
      <c r="K12">
        <v>1205016</v>
      </c>
    </row>
    <row r="13" spans="1:11" x14ac:dyDescent="0.35">
      <c r="A13" t="s">
        <v>22</v>
      </c>
      <c r="B13" t="s">
        <v>111</v>
      </c>
      <c r="C13" t="s">
        <v>120</v>
      </c>
      <c r="D13" t="s">
        <v>125</v>
      </c>
      <c r="E13" t="s">
        <v>128</v>
      </c>
      <c r="F13">
        <v>264</v>
      </c>
      <c r="G13">
        <v>328</v>
      </c>
      <c r="H13" t="s">
        <v>133</v>
      </c>
      <c r="I13" s="1">
        <v>45335</v>
      </c>
      <c r="J13" t="s">
        <v>137</v>
      </c>
      <c r="K13">
        <v>480686</v>
      </c>
    </row>
    <row r="14" spans="1:11" x14ac:dyDescent="0.35">
      <c r="A14" t="s">
        <v>23</v>
      </c>
      <c r="B14" t="s">
        <v>112</v>
      </c>
      <c r="C14" t="s">
        <v>119</v>
      </c>
      <c r="D14" t="s">
        <v>124</v>
      </c>
      <c r="E14" t="s">
        <v>128</v>
      </c>
      <c r="F14">
        <v>380</v>
      </c>
      <c r="G14">
        <v>460</v>
      </c>
      <c r="H14" t="s">
        <v>135</v>
      </c>
      <c r="I14" s="1">
        <v>45346</v>
      </c>
      <c r="J14" t="s">
        <v>137</v>
      </c>
      <c r="K14">
        <v>640877</v>
      </c>
    </row>
    <row r="15" spans="1:11" x14ac:dyDescent="0.35">
      <c r="A15" t="s">
        <v>24</v>
      </c>
      <c r="B15" t="s">
        <v>113</v>
      </c>
      <c r="C15" t="s">
        <v>120</v>
      </c>
      <c r="D15" t="s">
        <v>124</v>
      </c>
      <c r="E15" t="s">
        <v>128</v>
      </c>
      <c r="F15">
        <v>508</v>
      </c>
      <c r="G15">
        <v>315</v>
      </c>
      <c r="H15" t="s">
        <v>131</v>
      </c>
      <c r="I15" s="1">
        <v>45351</v>
      </c>
      <c r="J15" t="s">
        <v>137</v>
      </c>
      <c r="K15">
        <v>782714</v>
      </c>
    </row>
    <row r="16" spans="1:11" x14ac:dyDescent="0.35">
      <c r="A16" t="s">
        <v>25</v>
      </c>
      <c r="B16" t="s">
        <v>111</v>
      </c>
      <c r="C16" t="s">
        <v>122</v>
      </c>
      <c r="D16" t="s">
        <v>123</v>
      </c>
      <c r="E16" t="s">
        <v>126</v>
      </c>
      <c r="F16">
        <v>137</v>
      </c>
      <c r="G16">
        <v>497</v>
      </c>
      <c r="H16" t="s">
        <v>131</v>
      </c>
      <c r="I16" s="1">
        <v>45352</v>
      </c>
      <c r="J16" t="s">
        <v>137</v>
      </c>
      <c r="K16">
        <v>286452</v>
      </c>
    </row>
    <row r="17" spans="1:11" x14ac:dyDescent="0.35">
      <c r="A17" t="s">
        <v>26</v>
      </c>
      <c r="B17" t="s">
        <v>111</v>
      </c>
      <c r="C17" t="s">
        <v>122</v>
      </c>
      <c r="D17" t="s">
        <v>123</v>
      </c>
      <c r="E17" t="s">
        <v>126</v>
      </c>
      <c r="F17">
        <v>422</v>
      </c>
      <c r="G17">
        <v>454</v>
      </c>
      <c r="H17" t="s">
        <v>134</v>
      </c>
      <c r="I17" s="1">
        <v>45353</v>
      </c>
      <c r="J17" t="s">
        <v>137</v>
      </c>
      <c r="K17">
        <v>918932</v>
      </c>
    </row>
    <row r="18" spans="1:11" x14ac:dyDescent="0.35">
      <c r="A18" t="s">
        <v>27</v>
      </c>
      <c r="B18" t="s">
        <v>113</v>
      </c>
      <c r="C18" t="s">
        <v>120</v>
      </c>
      <c r="D18" t="s">
        <v>120</v>
      </c>
      <c r="E18" t="s">
        <v>129</v>
      </c>
      <c r="F18">
        <v>149</v>
      </c>
      <c r="G18">
        <v>340</v>
      </c>
      <c r="H18" t="s">
        <v>131</v>
      </c>
      <c r="I18" s="1">
        <v>45359</v>
      </c>
      <c r="J18" t="s">
        <v>138</v>
      </c>
      <c r="K18">
        <v>225972</v>
      </c>
    </row>
    <row r="19" spans="1:11" x14ac:dyDescent="0.35">
      <c r="A19" t="s">
        <v>28</v>
      </c>
      <c r="B19" t="s">
        <v>111</v>
      </c>
      <c r="C19" t="s">
        <v>119</v>
      </c>
      <c r="D19" t="s">
        <v>125</v>
      </c>
      <c r="E19" t="s">
        <v>127</v>
      </c>
      <c r="F19">
        <v>921</v>
      </c>
      <c r="G19">
        <v>301</v>
      </c>
      <c r="H19" t="s">
        <v>130</v>
      </c>
      <c r="I19" s="1">
        <v>45360</v>
      </c>
      <c r="J19" t="s">
        <v>137</v>
      </c>
      <c r="K19">
        <v>1853138</v>
      </c>
    </row>
    <row r="20" spans="1:11" x14ac:dyDescent="0.35">
      <c r="A20" t="s">
        <v>29</v>
      </c>
      <c r="B20" t="s">
        <v>114</v>
      </c>
      <c r="C20" t="s">
        <v>119</v>
      </c>
      <c r="D20" t="s">
        <v>118</v>
      </c>
      <c r="E20" t="s">
        <v>128</v>
      </c>
      <c r="F20">
        <v>713</v>
      </c>
      <c r="G20">
        <v>463</v>
      </c>
      <c r="H20" t="s">
        <v>133</v>
      </c>
      <c r="I20" s="1">
        <v>45364</v>
      </c>
      <c r="J20" t="s">
        <v>138</v>
      </c>
      <c r="K20">
        <v>1230991</v>
      </c>
    </row>
    <row r="21" spans="1:11" x14ac:dyDescent="0.35">
      <c r="A21" t="s">
        <v>30</v>
      </c>
      <c r="B21" t="s">
        <v>112</v>
      </c>
      <c r="C21" t="s">
        <v>117</v>
      </c>
      <c r="D21" t="s">
        <v>117</v>
      </c>
      <c r="E21" t="s">
        <v>126</v>
      </c>
      <c r="F21">
        <v>180</v>
      </c>
      <c r="G21">
        <v>441</v>
      </c>
      <c r="H21" t="s">
        <v>134</v>
      </c>
      <c r="I21" s="1">
        <v>45370</v>
      </c>
      <c r="J21" t="s">
        <v>137</v>
      </c>
      <c r="K21">
        <v>386131</v>
      </c>
    </row>
    <row r="22" spans="1:11" x14ac:dyDescent="0.35">
      <c r="A22" t="s">
        <v>31</v>
      </c>
      <c r="B22" t="s">
        <v>114</v>
      </c>
      <c r="C22" t="s">
        <v>118</v>
      </c>
      <c r="D22" t="s">
        <v>123</v>
      </c>
      <c r="E22" t="s">
        <v>126</v>
      </c>
      <c r="F22">
        <v>711</v>
      </c>
      <c r="G22">
        <v>446</v>
      </c>
      <c r="H22" t="s">
        <v>136</v>
      </c>
      <c r="I22" s="1">
        <v>45371</v>
      </c>
      <c r="J22" t="s">
        <v>137</v>
      </c>
      <c r="K22">
        <v>1190475</v>
      </c>
    </row>
    <row r="23" spans="1:11" x14ac:dyDescent="0.35">
      <c r="A23" t="s">
        <v>32</v>
      </c>
      <c r="B23" t="s">
        <v>114</v>
      </c>
      <c r="C23" t="s">
        <v>119</v>
      </c>
      <c r="D23" t="s">
        <v>120</v>
      </c>
      <c r="E23" t="s">
        <v>126</v>
      </c>
      <c r="F23">
        <v>358</v>
      </c>
      <c r="G23">
        <v>454</v>
      </c>
      <c r="H23" t="s">
        <v>135</v>
      </c>
      <c r="I23" s="1">
        <v>45373</v>
      </c>
      <c r="J23" t="s">
        <v>137</v>
      </c>
      <c r="K23">
        <v>784356</v>
      </c>
    </row>
    <row r="24" spans="1:11" x14ac:dyDescent="0.35">
      <c r="A24" t="s">
        <v>33</v>
      </c>
      <c r="B24" t="s">
        <v>116</v>
      </c>
      <c r="C24" t="s">
        <v>118</v>
      </c>
      <c r="D24" t="s">
        <v>120</v>
      </c>
      <c r="E24" t="s">
        <v>126</v>
      </c>
      <c r="F24">
        <v>819</v>
      </c>
      <c r="G24">
        <v>315</v>
      </c>
      <c r="H24" t="s">
        <v>131</v>
      </c>
      <c r="I24" s="1">
        <v>45376</v>
      </c>
      <c r="J24" t="s">
        <v>137</v>
      </c>
      <c r="K24">
        <v>1545236</v>
      </c>
    </row>
    <row r="25" spans="1:11" x14ac:dyDescent="0.35">
      <c r="A25" t="s">
        <v>34</v>
      </c>
      <c r="B25" t="s">
        <v>112</v>
      </c>
      <c r="C25" t="s">
        <v>119</v>
      </c>
      <c r="D25" t="s">
        <v>125</v>
      </c>
      <c r="E25" t="s">
        <v>126</v>
      </c>
      <c r="F25">
        <v>393</v>
      </c>
      <c r="G25">
        <v>372</v>
      </c>
      <c r="H25" t="s">
        <v>135</v>
      </c>
      <c r="I25" s="1">
        <v>45379</v>
      </c>
      <c r="J25" t="s">
        <v>137</v>
      </c>
      <c r="K25">
        <v>957635</v>
      </c>
    </row>
    <row r="26" spans="1:11" x14ac:dyDescent="0.35">
      <c r="A26" t="s">
        <v>35</v>
      </c>
      <c r="B26" t="s">
        <v>115</v>
      </c>
      <c r="C26" t="s">
        <v>117</v>
      </c>
      <c r="D26" t="s">
        <v>118</v>
      </c>
      <c r="E26" t="s">
        <v>128</v>
      </c>
      <c r="F26">
        <v>541</v>
      </c>
      <c r="G26">
        <v>323</v>
      </c>
      <c r="H26" t="s">
        <v>130</v>
      </c>
      <c r="I26" s="1">
        <v>45386</v>
      </c>
      <c r="J26" t="s">
        <v>137</v>
      </c>
      <c r="K26">
        <v>885899</v>
      </c>
    </row>
    <row r="27" spans="1:11" x14ac:dyDescent="0.35">
      <c r="A27" t="s">
        <v>36</v>
      </c>
      <c r="B27" t="s">
        <v>116</v>
      </c>
      <c r="C27" t="s">
        <v>120</v>
      </c>
      <c r="D27" t="s">
        <v>120</v>
      </c>
      <c r="E27" t="s">
        <v>127</v>
      </c>
      <c r="F27">
        <v>463</v>
      </c>
      <c r="G27">
        <v>473</v>
      </c>
      <c r="H27" t="s">
        <v>131</v>
      </c>
      <c r="I27" s="1">
        <v>45389</v>
      </c>
      <c r="J27" t="s">
        <v>138</v>
      </c>
      <c r="K27">
        <v>852414</v>
      </c>
    </row>
    <row r="28" spans="1:11" x14ac:dyDescent="0.35">
      <c r="A28" t="s">
        <v>37</v>
      </c>
      <c r="B28" t="s">
        <v>112</v>
      </c>
      <c r="C28" t="s">
        <v>117</v>
      </c>
      <c r="D28" t="s">
        <v>120</v>
      </c>
      <c r="E28" t="s">
        <v>129</v>
      </c>
      <c r="F28">
        <v>855</v>
      </c>
      <c r="G28">
        <v>425</v>
      </c>
      <c r="H28" t="s">
        <v>135</v>
      </c>
      <c r="I28" s="1">
        <v>45393</v>
      </c>
      <c r="J28" t="s">
        <v>137</v>
      </c>
      <c r="K28">
        <v>1379520</v>
      </c>
    </row>
    <row r="29" spans="1:11" x14ac:dyDescent="0.35">
      <c r="A29" t="s">
        <v>38</v>
      </c>
      <c r="B29" t="s">
        <v>112</v>
      </c>
      <c r="C29" t="s">
        <v>122</v>
      </c>
      <c r="D29" t="s">
        <v>123</v>
      </c>
      <c r="E29" t="s">
        <v>126</v>
      </c>
      <c r="F29">
        <v>435</v>
      </c>
      <c r="G29">
        <v>366</v>
      </c>
      <c r="H29" t="s">
        <v>134</v>
      </c>
      <c r="I29" s="1">
        <v>45395</v>
      </c>
      <c r="J29" t="s">
        <v>137</v>
      </c>
      <c r="K29">
        <v>1054742</v>
      </c>
    </row>
    <row r="30" spans="1:11" x14ac:dyDescent="0.35">
      <c r="A30" t="s">
        <v>39</v>
      </c>
      <c r="B30" t="s">
        <v>115</v>
      </c>
      <c r="C30" t="s">
        <v>122</v>
      </c>
      <c r="D30" t="s">
        <v>118</v>
      </c>
      <c r="E30" t="s">
        <v>126</v>
      </c>
      <c r="F30">
        <v>241</v>
      </c>
      <c r="G30">
        <v>313</v>
      </c>
      <c r="H30" t="s">
        <v>133</v>
      </c>
      <c r="I30" s="1">
        <v>45403</v>
      </c>
      <c r="J30" t="s">
        <v>137</v>
      </c>
      <c r="K30">
        <v>572939</v>
      </c>
    </row>
    <row r="31" spans="1:11" x14ac:dyDescent="0.35">
      <c r="A31" t="s">
        <v>40</v>
      </c>
      <c r="B31" t="s">
        <v>111</v>
      </c>
      <c r="C31" t="s">
        <v>118</v>
      </c>
      <c r="D31" t="s">
        <v>123</v>
      </c>
      <c r="E31" t="s">
        <v>126</v>
      </c>
      <c r="F31">
        <v>326</v>
      </c>
      <c r="G31">
        <v>362</v>
      </c>
      <c r="H31" t="s">
        <v>133</v>
      </c>
      <c r="I31" s="1">
        <v>45404</v>
      </c>
      <c r="J31" t="s">
        <v>138</v>
      </c>
      <c r="K31">
        <v>573089</v>
      </c>
    </row>
    <row r="32" spans="1:11" x14ac:dyDescent="0.35">
      <c r="A32" t="s">
        <v>41</v>
      </c>
      <c r="B32" t="s">
        <v>114</v>
      </c>
      <c r="C32" t="s">
        <v>120</v>
      </c>
      <c r="D32" t="s">
        <v>118</v>
      </c>
      <c r="E32" t="s">
        <v>126</v>
      </c>
      <c r="F32">
        <v>210</v>
      </c>
      <c r="G32">
        <v>365</v>
      </c>
      <c r="H32" t="s">
        <v>134</v>
      </c>
      <c r="I32" s="1">
        <v>45415</v>
      </c>
      <c r="J32" t="s">
        <v>139</v>
      </c>
      <c r="K32">
        <v>453597</v>
      </c>
    </row>
    <row r="33" spans="1:11" x14ac:dyDescent="0.35">
      <c r="A33" t="s">
        <v>42</v>
      </c>
      <c r="B33" t="s">
        <v>114</v>
      </c>
      <c r="C33" t="s">
        <v>117</v>
      </c>
      <c r="D33" t="s">
        <v>117</v>
      </c>
      <c r="E33" t="s">
        <v>129</v>
      </c>
      <c r="F33">
        <v>509</v>
      </c>
      <c r="G33">
        <v>446</v>
      </c>
      <c r="H33" t="s">
        <v>136</v>
      </c>
      <c r="I33" s="1">
        <v>45416</v>
      </c>
      <c r="J33" t="s">
        <v>137</v>
      </c>
      <c r="K33">
        <v>1179466</v>
      </c>
    </row>
    <row r="34" spans="1:11" x14ac:dyDescent="0.35">
      <c r="A34" t="s">
        <v>43</v>
      </c>
      <c r="B34" t="s">
        <v>111</v>
      </c>
      <c r="C34" t="s">
        <v>122</v>
      </c>
      <c r="D34" t="s">
        <v>120</v>
      </c>
      <c r="E34" t="s">
        <v>126</v>
      </c>
      <c r="F34">
        <v>363</v>
      </c>
      <c r="G34">
        <v>428</v>
      </c>
      <c r="H34" t="s">
        <v>131</v>
      </c>
      <c r="I34" s="1">
        <v>45424</v>
      </c>
      <c r="J34" t="s">
        <v>137</v>
      </c>
      <c r="K34">
        <v>746038</v>
      </c>
    </row>
    <row r="35" spans="1:11" x14ac:dyDescent="0.35">
      <c r="A35" t="s">
        <v>44</v>
      </c>
      <c r="B35" t="s">
        <v>115</v>
      </c>
      <c r="C35" t="s">
        <v>122</v>
      </c>
      <c r="D35" t="s">
        <v>125</v>
      </c>
      <c r="E35" t="s">
        <v>128</v>
      </c>
      <c r="F35">
        <v>71</v>
      </c>
      <c r="G35">
        <v>477</v>
      </c>
      <c r="H35" t="s">
        <v>132</v>
      </c>
      <c r="I35" s="1">
        <v>45425</v>
      </c>
      <c r="J35" t="s">
        <v>137</v>
      </c>
      <c r="K35">
        <v>144105</v>
      </c>
    </row>
    <row r="36" spans="1:11" x14ac:dyDescent="0.35">
      <c r="A36" t="s">
        <v>45</v>
      </c>
      <c r="B36" t="s">
        <v>116</v>
      </c>
      <c r="C36" t="s">
        <v>117</v>
      </c>
      <c r="D36" t="s">
        <v>117</v>
      </c>
      <c r="E36" t="s">
        <v>126</v>
      </c>
      <c r="F36">
        <v>302</v>
      </c>
      <c r="G36">
        <v>394</v>
      </c>
      <c r="H36" t="s">
        <v>130</v>
      </c>
      <c r="I36" s="1">
        <v>45428</v>
      </c>
      <c r="J36" t="s">
        <v>137</v>
      </c>
      <c r="K36">
        <v>526039</v>
      </c>
    </row>
    <row r="37" spans="1:11" x14ac:dyDescent="0.35">
      <c r="A37" t="s">
        <v>46</v>
      </c>
      <c r="B37" t="s">
        <v>111</v>
      </c>
      <c r="C37" t="s">
        <v>121</v>
      </c>
      <c r="D37" t="s">
        <v>118</v>
      </c>
      <c r="E37" t="s">
        <v>126</v>
      </c>
      <c r="F37">
        <v>797</v>
      </c>
      <c r="G37">
        <v>324</v>
      </c>
      <c r="H37" t="s">
        <v>134</v>
      </c>
      <c r="I37" s="1">
        <v>45430</v>
      </c>
      <c r="J37" t="s">
        <v>137</v>
      </c>
      <c r="K37">
        <v>1269703</v>
      </c>
    </row>
    <row r="38" spans="1:11" x14ac:dyDescent="0.35">
      <c r="A38" t="s">
        <v>47</v>
      </c>
      <c r="B38" t="s">
        <v>114</v>
      </c>
      <c r="C38" t="s">
        <v>117</v>
      </c>
      <c r="D38" t="s">
        <v>123</v>
      </c>
      <c r="E38" t="s">
        <v>128</v>
      </c>
      <c r="F38">
        <v>906</v>
      </c>
      <c r="G38">
        <v>443</v>
      </c>
      <c r="H38" t="s">
        <v>131</v>
      </c>
      <c r="I38" s="1">
        <v>45432</v>
      </c>
      <c r="J38" t="s">
        <v>137</v>
      </c>
      <c r="K38">
        <v>2171877</v>
      </c>
    </row>
    <row r="39" spans="1:11" x14ac:dyDescent="0.35">
      <c r="A39" t="s">
        <v>48</v>
      </c>
      <c r="B39" t="s">
        <v>111</v>
      </c>
      <c r="C39" t="s">
        <v>118</v>
      </c>
      <c r="D39" t="s">
        <v>117</v>
      </c>
      <c r="E39" t="s">
        <v>126</v>
      </c>
      <c r="F39">
        <v>610</v>
      </c>
      <c r="G39">
        <v>452</v>
      </c>
      <c r="H39" t="s">
        <v>133</v>
      </c>
      <c r="I39" s="1">
        <v>45434</v>
      </c>
      <c r="J39" t="s">
        <v>137</v>
      </c>
      <c r="K39">
        <v>1464255</v>
      </c>
    </row>
    <row r="40" spans="1:11" x14ac:dyDescent="0.35">
      <c r="A40" t="s">
        <v>49</v>
      </c>
      <c r="B40" t="s">
        <v>115</v>
      </c>
      <c r="C40" t="s">
        <v>118</v>
      </c>
      <c r="D40" t="s">
        <v>120</v>
      </c>
      <c r="E40" t="s">
        <v>129</v>
      </c>
      <c r="F40">
        <v>524</v>
      </c>
      <c r="G40">
        <v>412</v>
      </c>
      <c r="H40" t="s">
        <v>130</v>
      </c>
      <c r="I40" s="1">
        <v>45435</v>
      </c>
      <c r="J40" t="s">
        <v>137</v>
      </c>
      <c r="K40">
        <v>1117745</v>
      </c>
    </row>
    <row r="41" spans="1:11" x14ac:dyDescent="0.35">
      <c r="A41" t="s">
        <v>50</v>
      </c>
      <c r="B41" t="s">
        <v>111</v>
      </c>
      <c r="C41" t="s">
        <v>117</v>
      </c>
      <c r="D41" t="s">
        <v>120</v>
      </c>
      <c r="E41" t="s">
        <v>129</v>
      </c>
      <c r="F41">
        <v>108</v>
      </c>
      <c r="G41">
        <v>454</v>
      </c>
      <c r="H41" t="s">
        <v>133</v>
      </c>
      <c r="I41" s="1">
        <v>45436</v>
      </c>
      <c r="J41" t="s">
        <v>137</v>
      </c>
      <c r="K41">
        <v>198615</v>
      </c>
    </row>
    <row r="42" spans="1:11" x14ac:dyDescent="0.35">
      <c r="A42" t="s">
        <v>51</v>
      </c>
      <c r="B42" t="s">
        <v>114</v>
      </c>
      <c r="C42" t="s">
        <v>121</v>
      </c>
      <c r="D42" t="s">
        <v>124</v>
      </c>
      <c r="E42" t="s">
        <v>126</v>
      </c>
      <c r="F42">
        <v>560</v>
      </c>
      <c r="G42">
        <v>399</v>
      </c>
      <c r="H42" t="s">
        <v>135</v>
      </c>
      <c r="I42" s="1">
        <v>45437</v>
      </c>
      <c r="J42" t="s">
        <v>139</v>
      </c>
      <c r="K42">
        <v>1035557</v>
      </c>
    </row>
    <row r="43" spans="1:11" x14ac:dyDescent="0.35">
      <c r="A43" t="s">
        <v>52</v>
      </c>
      <c r="B43" t="s">
        <v>112</v>
      </c>
      <c r="C43" t="s">
        <v>119</v>
      </c>
      <c r="D43" t="s">
        <v>120</v>
      </c>
      <c r="E43" t="s">
        <v>128</v>
      </c>
      <c r="F43">
        <v>731</v>
      </c>
      <c r="G43">
        <v>405</v>
      </c>
      <c r="H43" t="s">
        <v>132</v>
      </c>
      <c r="I43" s="1">
        <v>45442</v>
      </c>
      <c r="J43" t="s">
        <v>137</v>
      </c>
      <c r="K43">
        <v>1627174</v>
      </c>
    </row>
    <row r="44" spans="1:11" x14ac:dyDescent="0.35">
      <c r="A44" t="s">
        <v>53</v>
      </c>
      <c r="B44" t="s">
        <v>113</v>
      </c>
      <c r="C44" t="s">
        <v>120</v>
      </c>
      <c r="D44" t="s">
        <v>120</v>
      </c>
      <c r="E44" t="s">
        <v>128</v>
      </c>
      <c r="F44">
        <v>525</v>
      </c>
      <c r="G44">
        <v>386</v>
      </c>
      <c r="H44" t="s">
        <v>135</v>
      </c>
      <c r="I44" s="1">
        <v>45452</v>
      </c>
      <c r="J44" t="s">
        <v>137</v>
      </c>
      <c r="K44">
        <v>1258483</v>
      </c>
    </row>
    <row r="45" spans="1:11" x14ac:dyDescent="0.35">
      <c r="A45" t="s">
        <v>54</v>
      </c>
      <c r="B45" t="s">
        <v>113</v>
      </c>
      <c r="C45" t="s">
        <v>122</v>
      </c>
      <c r="D45" t="s">
        <v>123</v>
      </c>
      <c r="E45" t="s">
        <v>128</v>
      </c>
      <c r="F45">
        <v>749</v>
      </c>
      <c r="G45">
        <v>305</v>
      </c>
      <c r="H45" t="s">
        <v>132</v>
      </c>
      <c r="I45" s="1">
        <v>45453</v>
      </c>
      <c r="J45" t="s">
        <v>137</v>
      </c>
      <c r="K45">
        <v>1787928</v>
      </c>
    </row>
    <row r="46" spans="1:11" x14ac:dyDescent="0.35">
      <c r="A46" t="s">
        <v>55</v>
      </c>
      <c r="B46" t="s">
        <v>112</v>
      </c>
      <c r="C46" t="s">
        <v>121</v>
      </c>
      <c r="D46" t="s">
        <v>117</v>
      </c>
      <c r="E46" t="s">
        <v>129</v>
      </c>
      <c r="F46">
        <v>832</v>
      </c>
      <c r="G46">
        <v>322</v>
      </c>
      <c r="H46" t="s">
        <v>132</v>
      </c>
      <c r="I46" s="1">
        <v>45454</v>
      </c>
      <c r="J46" t="s">
        <v>138</v>
      </c>
      <c r="K46">
        <v>1896856</v>
      </c>
    </row>
    <row r="47" spans="1:11" x14ac:dyDescent="0.35">
      <c r="A47" t="s">
        <v>56</v>
      </c>
      <c r="B47" t="s">
        <v>113</v>
      </c>
      <c r="C47" t="s">
        <v>120</v>
      </c>
      <c r="D47" t="s">
        <v>125</v>
      </c>
      <c r="E47" t="s">
        <v>126</v>
      </c>
      <c r="F47">
        <v>239</v>
      </c>
      <c r="G47">
        <v>306</v>
      </c>
      <c r="H47" t="s">
        <v>135</v>
      </c>
      <c r="I47" s="1">
        <v>45456</v>
      </c>
      <c r="J47" t="s">
        <v>137</v>
      </c>
      <c r="K47">
        <v>511946</v>
      </c>
    </row>
    <row r="48" spans="1:11" x14ac:dyDescent="0.35">
      <c r="A48" t="s">
        <v>57</v>
      </c>
      <c r="B48" t="s">
        <v>112</v>
      </c>
      <c r="C48" t="s">
        <v>119</v>
      </c>
      <c r="D48" t="s">
        <v>117</v>
      </c>
      <c r="E48" t="s">
        <v>126</v>
      </c>
      <c r="F48">
        <v>736</v>
      </c>
      <c r="G48">
        <v>427</v>
      </c>
      <c r="H48" t="s">
        <v>133</v>
      </c>
      <c r="I48" s="1">
        <v>45459</v>
      </c>
      <c r="J48" t="s">
        <v>138</v>
      </c>
      <c r="K48">
        <v>1165927</v>
      </c>
    </row>
    <row r="49" spans="1:11" x14ac:dyDescent="0.35">
      <c r="A49" t="s">
        <v>58</v>
      </c>
      <c r="B49" t="s">
        <v>113</v>
      </c>
      <c r="C49" t="s">
        <v>118</v>
      </c>
      <c r="D49" t="s">
        <v>124</v>
      </c>
      <c r="E49" t="s">
        <v>129</v>
      </c>
      <c r="F49">
        <v>612</v>
      </c>
      <c r="G49">
        <v>363</v>
      </c>
      <c r="H49" t="s">
        <v>130</v>
      </c>
      <c r="I49" s="1">
        <v>45460</v>
      </c>
      <c r="J49" t="s">
        <v>137</v>
      </c>
      <c r="K49">
        <v>1016917</v>
      </c>
    </row>
    <row r="50" spans="1:11" x14ac:dyDescent="0.35">
      <c r="A50" t="s">
        <v>59</v>
      </c>
      <c r="B50" t="s">
        <v>111</v>
      </c>
      <c r="C50" t="s">
        <v>120</v>
      </c>
      <c r="D50" t="s">
        <v>125</v>
      </c>
      <c r="E50" t="s">
        <v>127</v>
      </c>
      <c r="F50">
        <v>925</v>
      </c>
      <c r="G50">
        <v>402</v>
      </c>
      <c r="H50" t="s">
        <v>133</v>
      </c>
      <c r="I50" s="1">
        <v>45462</v>
      </c>
      <c r="J50" t="s">
        <v>137</v>
      </c>
      <c r="K50">
        <v>2218663</v>
      </c>
    </row>
    <row r="51" spans="1:11" x14ac:dyDescent="0.35">
      <c r="A51" t="s">
        <v>60</v>
      </c>
      <c r="B51" t="s">
        <v>116</v>
      </c>
      <c r="C51" t="s">
        <v>120</v>
      </c>
      <c r="D51" t="s">
        <v>117</v>
      </c>
      <c r="E51" t="s">
        <v>129</v>
      </c>
      <c r="F51">
        <v>616</v>
      </c>
      <c r="G51">
        <v>482</v>
      </c>
      <c r="H51" t="s">
        <v>130</v>
      </c>
      <c r="I51" s="1">
        <v>45463</v>
      </c>
      <c r="J51" t="s">
        <v>137</v>
      </c>
      <c r="K51">
        <v>1297560</v>
      </c>
    </row>
    <row r="52" spans="1:11" x14ac:dyDescent="0.35">
      <c r="A52" t="s">
        <v>61</v>
      </c>
      <c r="B52" t="s">
        <v>116</v>
      </c>
      <c r="C52" t="s">
        <v>122</v>
      </c>
      <c r="D52" t="s">
        <v>117</v>
      </c>
      <c r="E52" t="s">
        <v>126</v>
      </c>
      <c r="F52">
        <v>293</v>
      </c>
      <c r="G52">
        <v>350</v>
      </c>
      <c r="H52" t="s">
        <v>132</v>
      </c>
      <c r="I52" s="1">
        <v>45465</v>
      </c>
      <c r="J52" t="s">
        <v>137</v>
      </c>
      <c r="K52">
        <v>442195</v>
      </c>
    </row>
    <row r="53" spans="1:11" x14ac:dyDescent="0.35">
      <c r="A53" t="s">
        <v>62</v>
      </c>
      <c r="B53" t="s">
        <v>113</v>
      </c>
      <c r="C53" t="s">
        <v>119</v>
      </c>
      <c r="D53" t="s">
        <v>125</v>
      </c>
      <c r="E53" t="s">
        <v>127</v>
      </c>
      <c r="F53">
        <v>881</v>
      </c>
      <c r="G53">
        <v>382</v>
      </c>
      <c r="H53" t="s">
        <v>133</v>
      </c>
      <c r="I53" s="1">
        <v>45478</v>
      </c>
      <c r="J53" t="s">
        <v>137</v>
      </c>
      <c r="K53">
        <v>1410896</v>
      </c>
    </row>
    <row r="54" spans="1:11" x14ac:dyDescent="0.35">
      <c r="A54" t="s">
        <v>63</v>
      </c>
      <c r="B54" t="s">
        <v>113</v>
      </c>
      <c r="C54" t="s">
        <v>121</v>
      </c>
      <c r="D54" t="s">
        <v>118</v>
      </c>
      <c r="E54" t="s">
        <v>126</v>
      </c>
      <c r="F54">
        <v>554</v>
      </c>
      <c r="G54">
        <v>451</v>
      </c>
      <c r="H54" t="s">
        <v>130</v>
      </c>
      <c r="I54" s="1">
        <v>45483</v>
      </c>
      <c r="J54" t="s">
        <v>138</v>
      </c>
      <c r="K54">
        <v>1198580</v>
      </c>
    </row>
    <row r="55" spans="1:11" x14ac:dyDescent="0.35">
      <c r="A55" t="s">
        <v>64</v>
      </c>
      <c r="B55" t="s">
        <v>115</v>
      </c>
      <c r="C55" t="s">
        <v>119</v>
      </c>
      <c r="D55" t="s">
        <v>124</v>
      </c>
      <c r="E55" t="s">
        <v>128</v>
      </c>
      <c r="F55">
        <v>180</v>
      </c>
      <c r="G55">
        <v>346</v>
      </c>
      <c r="H55" t="s">
        <v>131</v>
      </c>
      <c r="I55" s="1">
        <v>45484</v>
      </c>
      <c r="J55" t="s">
        <v>137</v>
      </c>
      <c r="K55">
        <v>270911</v>
      </c>
    </row>
    <row r="56" spans="1:11" x14ac:dyDescent="0.35">
      <c r="A56" t="s">
        <v>65</v>
      </c>
      <c r="B56" t="s">
        <v>111</v>
      </c>
      <c r="C56" t="s">
        <v>117</v>
      </c>
      <c r="D56" t="s">
        <v>123</v>
      </c>
      <c r="E56" t="s">
        <v>126</v>
      </c>
      <c r="F56">
        <v>534</v>
      </c>
      <c r="G56">
        <v>315</v>
      </c>
      <c r="H56" t="s">
        <v>131</v>
      </c>
      <c r="I56" s="1">
        <v>45491</v>
      </c>
      <c r="J56" t="s">
        <v>138</v>
      </c>
      <c r="K56">
        <v>886871</v>
      </c>
    </row>
    <row r="57" spans="1:11" x14ac:dyDescent="0.35">
      <c r="A57" t="s">
        <v>66</v>
      </c>
      <c r="B57" t="s">
        <v>111</v>
      </c>
      <c r="C57" t="s">
        <v>120</v>
      </c>
      <c r="D57" t="s">
        <v>123</v>
      </c>
      <c r="E57" t="s">
        <v>128</v>
      </c>
      <c r="F57">
        <v>868</v>
      </c>
      <c r="G57">
        <v>358</v>
      </c>
      <c r="H57" t="s">
        <v>135</v>
      </c>
      <c r="I57" s="1">
        <v>45499</v>
      </c>
      <c r="J57" t="s">
        <v>137</v>
      </c>
      <c r="K57">
        <v>1778301</v>
      </c>
    </row>
    <row r="58" spans="1:11" x14ac:dyDescent="0.35">
      <c r="A58" t="s">
        <v>67</v>
      </c>
      <c r="B58" t="s">
        <v>113</v>
      </c>
      <c r="C58" t="s">
        <v>121</v>
      </c>
      <c r="D58" t="s">
        <v>118</v>
      </c>
      <c r="E58" t="s">
        <v>126</v>
      </c>
      <c r="F58">
        <v>696</v>
      </c>
      <c r="G58">
        <v>332</v>
      </c>
      <c r="H58" t="s">
        <v>133</v>
      </c>
      <c r="I58" s="1">
        <v>45501</v>
      </c>
      <c r="J58" t="s">
        <v>137</v>
      </c>
      <c r="K58">
        <v>1525559</v>
      </c>
    </row>
    <row r="59" spans="1:11" x14ac:dyDescent="0.35">
      <c r="A59" t="s">
        <v>68</v>
      </c>
      <c r="B59" t="s">
        <v>114</v>
      </c>
      <c r="C59" t="s">
        <v>119</v>
      </c>
      <c r="D59" t="s">
        <v>117</v>
      </c>
      <c r="E59" t="s">
        <v>129</v>
      </c>
      <c r="F59">
        <v>70</v>
      </c>
      <c r="G59">
        <v>486</v>
      </c>
      <c r="H59" t="s">
        <v>130</v>
      </c>
      <c r="I59" s="1">
        <v>45503</v>
      </c>
      <c r="J59" t="s">
        <v>137</v>
      </c>
      <c r="K59">
        <v>150637</v>
      </c>
    </row>
    <row r="60" spans="1:11" x14ac:dyDescent="0.35">
      <c r="A60" t="s">
        <v>69</v>
      </c>
      <c r="B60" t="s">
        <v>112</v>
      </c>
      <c r="C60" t="s">
        <v>120</v>
      </c>
      <c r="D60" t="s">
        <v>117</v>
      </c>
      <c r="E60" t="s">
        <v>128</v>
      </c>
      <c r="F60">
        <v>890</v>
      </c>
      <c r="G60">
        <v>462</v>
      </c>
      <c r="H60" t="s">
        <v>135</v>
      </c>
      <c r="I60" s="1">
        <v>45507</v>
      </c>
      <c r="J60" t="s">
        <v>137</v>
      </c>
      <c r="K60">
        <v>1534600</v>
      </c>
    </row>
    <row r="61" spans="1:11" x14ac:dyDescent="0.35">
      <c r="A61" t="s">
        <v>70</v>
      </c>
      <c r="B61" t="s">
        <v>116</v>
      </c>
      <c r="C61" t="s">
        <v>120</v>
      </c>
      <c r="D61" t="s">
        <v>123</v>
      </c>
      <c r="E61" t="s">
        <v>129</v>
      </c>
      <c r="F61">
        <v>216</v>
      </c>
      <c r="G61">
        <v>427</v>
      </c>
      <c r="H61" t="s">
        <v>131</v>
      </c>
      <c r="I61" s="1">
        <v>45515</v>
      </c>
      <c r="J61" t="s">
        <v>137</v>
      </c>
      <c r="K61">
        <v>477831</v>
      </c>
    </row>
    <row r="62" spans="1:11" x14ac:dyDescent="0.35">
      <c r="A62" t="s">
        <v>71</v>
      </c>
      <c r="B62" t="s">
        <v>115</v>
      </c>
      <c r="C62" t="s">
        <v>117</v>
      </c>
      <c r="D62" t="s">
        <v>123</v>
      </c>
      <c r="E62" t="s">
        <v>127</v>
      </c>
      <c r="F62">
        <v>323</v>
      </c>
      <c r="G62">
        <v>474</v>
      </c>
      <c r="H62" t="s">
        <v>134</v>
      </c>
      <c r="I62" s="1">
        <v>45518</v>
      </c>
      <c r="J62" t="s">
        <v>137</v>
      </c>
      <c r="K62">
        <v>561131</v>
      </c>
    </row>
    <row r="63" spans="1:11" x14ac:dyDescent="0.35">
      <c r="A63" t="s">
        <v>72</v>
      </c>
      <c r="B63" t="s">
        <v>111</v>
      </c>
      <c r="C63" t="s">
        <v>119</v>
      </c>
      <c r="D63" t="s">
        <v>123</v>
      </c>
      <c r="E63" t="s">
        <v>129</v>
      </c>
      <c r="F63">
        <v>437</v>
      </c>
      <c r="G63">
        <v>461</v>
      </c>
      <c r="H63" t="s">
        <v>136</v>
      </c>
      <c r="I63" s="1">
        <v>45519</v>
      </c>
      <c r="J63" t="s">
        <v>137</v>
      </c>
      <c r="K63">
        <v>797700</v>
      </c>
    </row>
    <row r="64" spans="1:11" x14ac:dyDescent="0.35">
      <c r="A64" t="s">
        <v>73</v>
      </c>
      <c r="B64" t="s">
        <v>111</v>
      </c>
      <c r="C64" t="s">
        <v>120</v>
      </c>
      <c r="D64" t="s">
        <v>124</v>
      </c>
      <c r="E64" t="s">
        <v>127</v>
      </c>
      <c r="F64">
        <v>650</v>
      </c>
      <c r="G64">
        <v>337</v>
      </c>
      <c r="H64" t="s">
        <v>131</v>
      </c>
      <c r="I64" s="1">
        <v>45521</v>
      </c>
      <c r="J64" t="s">
        <v>139</v>
      </c>
      <c r="K64">
        <v>1460219</v>
      </c>
    </row>
    <row r="65" spans="1:11" x14ac:dyDescent="0.35">
      <c r="A65" t="s">
        <v>74</v>
      </c>
      <c r="B65" t="s">
        <v>114</v>
      </c>
      <c r="C65" t="s">
        <v>122</v>
      </c>
      <c r="D65" t="s">
        <v>118</v>
      </c>
      <c r="E65" t="s">
        <v>127</v>
      </c>
      <c r="F65">
        <v>365</v>
      </c>
      <c r="G65">
        <v>479</v>
      </c>
      <c r="H65" t="s">
        <v>136</v>
      </c>
      <c r="I65" s="1">
        <v>45524</v>
      </c>
      <c r="J65" t="s">
        <v>137</v>
      </c>
      <c r="K65">
        <v>784616</v>
      </c>
    </row>
    <row r="66" spans="1:11" x14ac:dyDescent="0.35">
      <c r="A66" t="s">
        <v>75</v>
      </c>
      <c r="B66" t="s">
        <v>115</v>
      </c>
      <c r="C66" t="s">
        <v>122</v>
      </c>
      <c r="D66" t="s">
        <v>123</v>
      </c>
      <c r="E66" t="s">
        <v>129</v>
      </c>
      <c r="F66">
        <v>63</v>
      </c>
      <c r="G66">
        <v>408</v>
      </c>
      <c r="H66" t="s">
        <v>130</v>
      </c>
      <c r="I66" s="1">
        <v>45530</v>
      </c>
      <c r="J66" t="s">
        <v>138</v>
      </c>
      <c r="K66">
        <v>148001</v>
      </c>
    </row>
    <row r="67" spans="1:11" x14ac:dyDescent="0.35">
      <c r="A67" t="s">
        <v>76</v>
      </c>
      <c r="B67" t="s">
        <v>114</v>
      </c>
      <c r="C67" t="s">
        <v>117</v>
      </c>
      <c r="D67" t="s">
        <v>125</v>
      </c>
      <c r="E67" t="s">
        <v>127</v>
      </c>
      <c r="F67">
        <v>291</v>
      </c>
      <c r="G67">
        <v>462</v>
      </c>
      <c r="H67" t="s">
        <v>134</v>
      </c>
      <c r="I67" s="1">
        <v>45536</v>
      </c>
      <c r="J67" t="s">
        <v>137</v>
      </c>
      <c r="K67">
        <v>627865</v>
      </c>
    </row>
    <row r="68" spans="1:11" x14ac:dyDescent="0.35">
      <c r="A68" t="s">
        <v>77</v>
      </c>
      <c r="B68" t="s">
        <v>113</v>
      </c>
      <c r="C68" t="s">
        <v>120</v>
      </c>
      <c r="D68" t="s">
        <v>120</v>
      </c>
      <c r="E68" t="s">
        <v>129</v>
      </c>
      <c r="F68">
        <v>826</v>
      </c>
      <c r="G68">
        <v>479</v>
      </c>
      <c r="H68" t="s">
        <v>131</v>
      </c>
      <c r="I68" s="1">
        <v>45540</v>
      </c>
      <c r="J68" t="s">
        <v>138</v>
      </c>
      <c r="K68">
        <v>1708423</v>
      </c>
    </row>
    <row r="69" spans="1:11" x14ac:dyDescent="0.35">
      <c r="A69" t="s">
        <v>78</v>
      </c>
      <c r="B69" t="s">
        <v>112</v>
      </c>
      <c r="C69" t="s">
        <v>118</v>
      </c>
      <c r="D69" t="s">
        <v>123</v>
      </c>
      <c r="E69" t="s">
        <v>127</v>
      </c>
      <c r="F69">
        <v>395</v>
      </c>
      <c r="G69">
        <v>364</v>
      </c>
      <c r="H69" t="s">
        <v>135</v>
      </c>
      <c r="I69" s="1">
        <v>45542</v>
      </c>
      <c r="J69" t="s">
        <v>137</v>
      </c>
      <c r="K69">
        <v>629502</v>
      </c>
    </row>
    <row r="70" spans="1:11" x14ac:dyDescent="0.35">
      <c r="A70" t="s">
        <v>79</v>
      </c>
      <c r="B70" t="s">
        <v>113</v>
      </c>
      <c r="C70" t="s">
        <v>120</v>
      </c>
      <c r="D70" t="s">
        <v>120</v>
      </c>
      <c r="E70" t="s">
        <v>128</v>
      </c>
      <c r="F70">
        <v>614</v>
      </c>
      <c r="G70">
        <v>322</v>
      </c>
      <c r="H70" t="s">
        <v>135</v>
      </c>
      <c r="I70" s="1">
        <v>45548</v>
      </c>
      <c r="J70" t="s">
        <v>137</v>
      </c>
      <c r="K70">
        <v>1146778</v>
      </c>
    </row>
    <row r="71" spans="1:11" x14ac:dyDescent="0.35">
      <c r="A71" t="s">
        <v>80</v>
      </c>
      <c r="B71" t="s">
        <v>113</v>
      </c>
      <c r="C71" t="s">
        <v>117</v>
      </c>
      <c r="D71" t="s">
        <v>118</v>
      </c>
      <c r="E71" t="s">
        <v>126</v>
      </c>
      <c r="F71">
        <v>947</v>
      </c>
      <c r="G71">
        <v>346</v>
      </c>
      <c r="H71" t="s">
        <v>134</v>
      </c>
      <c r="I71" s="1">
        <v>45551</v>
      </c>
      <c r="J71" t="s">
        <v>137</v>
      </c>
      <c r="K71">
        <v>1671647</v>
      </c>
    </row>
    <row r="72" spans="1:11" x14ac:dyDescent="0.35">
      <c r="A72" t="s">
        <v>81</v>
      </c>
      <c r="B72" t="s">
        <v>113</v>
      </c>
      <c r="C72" t="s">
        <v>122</v>
      </c>
      <c r="D72" t="s">
        <v>125</v>
      </c>
      <c r="E72" t="s">
        <v>127</v>
      </c>
      <c r="F72">
        <v>389</v>
      </c>
      <c r="G72">
        <v>385</v>
      </c>
      <c r="H72" t="s">
        <v>136</v>
      </c>
      <c r="I72" s="1">
        <v>45559</v>
      </c>
      <c r="J72" t="s">
        <v>137</v>
      </c>
      <c r="K72">
        <v>678412</v>
      </c>
    </row>
    <row r="73" spans="1:11" x14ac:dyDescent="0.35">
      <c r="A73" t="s">
        <v>82</v>
      </c>
      <c r="B73" t="s">
        <v>115</v>
      </c>
      <c r="C73" t="s">
        <v>119</v>
      </c>
      <c r="D73" t="s">
        <v>117</v>
      </c>
      <c r="E73" t="s">
        <v>127</v>
      </c>
      <c r="F73">
        <v>141</v>
      </c>
      <c r="G73">
        <v>464</v>
      </c>
      <c r="H73" t="s">
        <v>130</v>
      </c>
      <c r="I73" s="1">
        <v>45560</v>
      </c>
      <c r="J73" t="s">
        <v>138</v>
      </c>
      <c r="K73">
        <v>348694</v>
      </c>
    </row>
    <row r="74" spans="1:11" x14ac:dyDescent="0.35">
      <c r="A74" t="s">
        <v>83</v>
      </c>
      <c r="B74" t="s">
        <v>115</v>
      </c>
      <c r="C74" t="s">
        <v>121</v>
      </c>
      <c r="D74" t="s">
        <v>120</v>
      </c>
      <c r="E74" t="s">
        <v>127</v>
      </c>
      <c r="F74">
        <v>416</v>
      </c>
      <c r="G74">
        <v>472</v>
      </c>
      <c r="H74" t="s">
        <v>136</v>
      </c>
      <c r="I74" s="1">
        <v>45561</v>
      </c>
      <c r="J74" t="s">
        <v>139</v>
      </c>
      <c r="K74">
        <v>787529</v>
      </c>
    </row>
    <row r="75" spans="1:11" x14ac:dyDescent="0.35">
      <c r="A75" t="s">
        <v>84</v>
      </c>
      <c r="B75" t="s">
        <v>113</v>
      </c>
      <c r="C75" t="s">
        <v>118</v>
      </c>
      <c r="D75" t="s">
        <v>123</v>
      </c>
      <c r="E75" t="s">
        <v>127</v>
      </c>
      <c r="F75">
        <v>504</v>
      </c>
      <c r="G75">
        <v>301</v>
      </c>
      <c r="H75" t="s">
        <v>131</v>
      </c>
      <c r="I75" s="1">
        <v>45565</v>
      </c>
      <c r="J75" t="s">
        <v>137</v>
      </c>
      <c r="K75">
        <v>1205591</v>
      </c>
    </row>
    <row r="76" spans="1:11" x14ac:dyDescent="0.35">
      <c r="A76" t="s">
        <v>85</v>
      </c>
      <c r="B76" t="s">
        <v>111</v>
      </c>
      <c r="C76" t="s">
        <v>118</v>
      </c>
      <c r="D76" t="s">
        <v>118</v>
      </c>
      <c r="E76" t="s">
        <v>129</v>
      </c>
      <c r="F76">
        <v>477</v>
      </c>
      <c r="G76">
        <v>402</v>
      </c>
      <c r="H76" t="s">
        <v>136</v>
      </c>
      <c r="I76" s="1">
        <v>45567</v>
      </c>
      <c r="J76" t="s">
        <v>137</v>
      </c>
      <c r="K76">
        <v>1016553</v>
      </c>
    </row>
    <row r="77" spans="1:11" x14ac:dyDescent="0.35">
      <c r="A77" t="s">
        <v>86</v>
      </c>
      <c r="B77" t="s">
        <v>116</v>
      </c>
      <c r="C77" t="s">
        <v>120</v>
      </c>
      <c r="D77" t="s">
        <v>118</v>
      </c>
      <c r="E77" t="s">
        <v>128</v>
      </c>
      <c r="F77">
        <v>558</v>
      </c>
      <c r="G77">
        <v>384</v>
      </c>
      <c r="H77" t="s">
        <v>132</v>
      </c>
      <c r="I77" s="1">
        <v>45570</v>
      </c>
      <c r="J77" t="s">
        <v>137</v>
      </c>
      <c r="K77">
        <v>1280505</v>
      </c>
    </row>
    <row r="78" spans="1:11" x14ac:dyDescent="0.35">
      <c r="A78" t="s">
        <v>87</v>
      </c>
      <c r="B78" t="s">
        <v>115</v>
      </c>
      <c r="C78" t="s">
        <v>117</v>
      </c>
      <c r="D78" t="s">
        <v>118</v>
      </c>
      <c r="E78" t="s">
        <v>127</v>
      </c>
      <c r="F78">
        <v>825</v>
      </c>
      <c r="G78">
        <v>344</v>
      </c>
      <c r="H78" t="s">
        <v>135</v>
      </c>
      <c r="I78" s="1">
        <v>45578</v>
      </c>
      <c r="J78" t="s">
        <v>138</v>
      </c>
      <c r="K78">
        <v>1652176</v>
      </c>
    </row>
    <row r="79" spans="1:11" x14ac:dyDescent="0.35">
      <c r="A79" t="s">
        <v>88</v>
      </c>
      <c r="B79" t="s">
        <v>116</v>
      </c>
      <c r="C79" t="s">
        <v>121</v>
      </c>
      <c r="D79" t="s">
        <v>120</v>
      </c>
      <c r="E79" t="s">
        <v>129</v>
      </c>
      <c r="F79">
        <v>992</v>
      </c>
      <c r="G79">
        <v>324</v>
      </c>
      <c r="H79" t="s">
        <v>135</v>
      </c>
      <c r="I79" s="1">
        <v>45581</v>
      </c>
      <c r="J79" t="s">
        <v>138</v>
      </c>
      <c r="K79">
        <v>2060289</v>
      </c>
    </row>
    <row r="80" spans="1:11" x14ac:dyDescent="0.35">
      <c r="A80" t="s">
        <v>89</v>
      </c>
      <c r="B80" t="s">
        <v>113</v>
      </c>
      <c r="C80" t="s">
        <v>121</v>
      </c>
      <c r="D80" t="s">
        <v>117</v>
      </c>
      <c r="E80" t="s">
        <v>129</v>
      </c>
      <c r="F80">
        <v>84</v>
      </c>
      <c r="G80">
        <v>368</v>
      </c>
      <c r="H80" t="s">
        <v>133</v>
      </c>
      <c r="I80" s="1">
        <v>45582</v>
      </c>
      <c r="J80" t="s">
        <v>137</v>
      </c>
      <c r="K80">
        <v>167371</v>
      </c>
    </row>
    <row r="81" spans="1:11" x14ac:dyDescent="0.35">
      <c r="A81" t="s">
        <v>90</v>
      </c>
      <c r="B81" t="s">
        <v>113</v>
      </c>
      <c r="C81" t="s">
        <v>121</v>
      </c>
      <c r="D81" t="s">
        <v>120</v>
      </c>
      <c r="E81" t="s">
        <v>126</v>
      </c>
      <c r="F81">
        <v>255</v>
      </c>
      <c r="G81">
        <v>489</v>
      </c>
      <c r="H81" t="s">
        <v>133</v>
      </c>
      <c r="I81" s="1">
        <v>45583</v>
      </c>
      <c r="J81" t="s">
        <v>137</v>
      </c>
      <c r="K81">
        <v>432287</v>
      </c>
    </row>
    <row r="82" spans="1:11" x14ac:dyDescent="0.35">
      <c r="A82" t="s">
        <v>91</v>
      </c>
      <c r="B82" t="s">
        <v>111</v>
      </c>
      <c r="C82" t="s">
        <v>118</v>
      </c>
      <c r="D82" t="s">
        <v>125</v>
      </c>
      <c r="E82" t="s">
        <v>127</v>
      </c>
      <c r="F82">
        <v>130</v>
      </c>
      <c r="G82">
        <v>365</v>
      </c>
      <c r="H82" t="s">
        <v>136</v>
      </c>
      <c r="I82" s="1">
        <v>45584</v>
      </c>
      <c r="J82" t="s">
        <v>137</v>
      </c>
      <c r="K82">
        <v>288919</v>
      </c>
    </row>
    <row r="83" spans="1:11" x14ac:dyDescent="0.35">
      <c r="A83" t="s">
        <v>92</v>
      </c>
      <c r="B83" t="s">
        <v>113</v>
      </c>
      <c r="C83" t="s">
        <v>118</v>
      </c>
      <c r="D83" t="s">
        <v>117</v>
      </c>
      <c r="E83" t="s">
        <v>129</v>
      </c>
      <c r="F83">
        <v>981</v>
      </c>
      <c r="G83">
        <v>404</v>
      </c>
      <c r="H83" t="s">
        <v>134</v>
      </c>
      <c r="I83" s="1">
        <v>45585</v>
      </c>
      <c r="J83" t="s">
        <v>137</v>
      </c>
      <c r="K83">
        <v>1746938</v>
      </c>
    </row>
    <row r="84" spans="1:11" x14ac:dyDescent="0.35">
      <c r="A84" t="s">
        <v>93</v>
      </c>
      <c r="B84" t="s">
        <v>111</v>
      </c>
      <c r="C84" t="s">
        <v>122</v>
      </c>
      <c r="D84" t="s">
        <v>120</v>
      </c>
      <c r="E84" t="s">
        <v>129</v>
      </c>
      <c r="F84">
        <v>611</v>
      </c>
      <c r="G84">
        <v>441</v>
      </c>
      <c r="H84" t="s">
        <v>136</v>
      </c>
      <c r="I84" s="1">
        <v>45590</v>
      </c>
      <c r="J84" t="s">
        <v>137</v>
      </c>
      <c r="K84">
        <v>931357</v>
      </c>
    </row>
    <row r="85" spans="1:11" x14ac:dyDescent="0.35">
      <c r="A85" t="s">
        <v>94</v>
      </c>
      <c r="B85" t="s">
        <v>115</v>
      </c>
      <c r="C85" t="s">
        <v>117</v>
      </c>
      <c r="D85" t="s">
        <v>117</v>
      </c>
      <c r="E85" t="s">
        <v>129</v>
      </c>
      <c r="F85">
        <v>921</v>
      </c>
      <c r="G85">
        <v>373</v>
      </c>
      <c r="H85" t="s">
        <v>133</v>
      </c>
      <c r="I85" s="1">
        <v>45591</v>
      </c>
      <c r="J85" t="s">
        <v>137</v>
      </c>
      <c r="K85">
        <v>1975980</v>
      </c>
    </row>
    <row r="86" spans="1:11" x14ac:dyDescent="0.35">
      <c r="A86" t="s">
        <v>95</v>
      </c>
      <c r="B86" t="s">
        <v>116</v>
      </c>
      <c r="C86" t="s">
        <v>121</v>
      </c>
      <c r="D86" t="s">
        <v>124</v>
      </c>
      <c r="E86" t="s">
        <v>129</v>
      </c>
      <c r="F86">
        <v>437</v>
      </c>
      <c r="G86">
        <v>494</v>
      </c>
      <c r="H86" t="s">
        <v>133</v>
      </c>
      <c r="I86" s="1">
        <v>45592</v>
      </c>
      <c r="J86" t="s">
        <v>137</v>
      </c>
      <c r="K86">
        <v>732897</v>
      </c>
    </row>
    <row r="87" spans="1:11" x14ac:dyDescent="0.35">
      <c r="A87" t="s">
        <v>96</v>
      </c>
      <c r="B87" t="s">
        <v>113</v>
      </c>
      <c r="C87" t="s">
        <v>121</v>
      </c>
      <c r="D87" t="s">
        <v>123</v>
      </c>
      <c r="E87" t="s">
        <v>129</v>
      </c>
      <c r="F87">
        <v>51</v>
      </c>
      <c r="G87">
        <v>493</v>
      </c>
      <c r="H87" t="s">
        <v>132</v>
      </c>
      <c r="I87" s="1">
        <v>45595</v>
      </c>
      <c r="J87" t="s">
        <v>137</v>
      </c>
      <c r="K87">
        <v>124463</v>
      </c>
    </row>
    <row r="88" spans="1:11" x14ac:dyDescent="0.35">
      <c r="A88" t="s">
        <v>97</v>
      </c>
      <c r="B88" t="s">
        <v>115</v>
      </c>
      <c r="C88" t="s">
        <v>122</v>
      </c>
      <c r="D88" t="s">
        <v>123</v>
      </c>
      <c r="E88" t="s">
        <v>128</v>
      </c>
      <c r="F88">
        <v>439</v>
      </c>
      <c r="G88">
        <v>350</v>
      </c>
      <c r="H88" t="s">
        <v>136</v>
      </c>
      <c r="I88" s="1">
        <v>45602</v>
      </c>
      <c r="J88" t="s">
        <v>137</v>
      </c>
      <c r="K88">
        <v>1077275</v>
      </c>
    </row>
    <row r="89" spans="1:11" x14ac:dyDescent="0.35">
      <c r="A89" t="s">
        <v>98</v>
      </c>
      <c r="B89" t="s">
        <v>111</v>
      </c>
      <c r="C89" t="s">
        <v>120</v>
      </c>
      <c r="D89" t="s">
        <v>118</v>
      </c>
      <c r="E89" t="s">
        <v>129</v>
      </c>
      <c r="F89">
        <v>615</v>
      </c>
      <c r="G89">
        <v>399</v>
      </c>
      <c r="H89" t="s">
        <v>133</v>
      </c>
      <c r="I89" s="1">
        <v>45603</v>
      </c>
      <c r="J89" t="s">
        <v>137</v>
      </c>
      <c r="K89">
        <v>1485142</v>
      </c>
    </row>
    <row r="90" spans="1:11" x14ac:dyDescent="0.35">
      <c r="A90" t="s">
        <v>99</v>
      </c>
      <c r="B90" t="s">
        <v>112</v>
      </c>
      <c r="C90" t="s">
        <v>120</v>
      </c>
      <c r="D90" t="s">
        <v>124</v>
      </c>
      <c r="E90" t="s">
        <v>126</v>
      </c>
      <c r="F90">
        <v>155</v>
      </c>
      <c r="G90">
        <v>360</v>
      </c>
      <c r="H90" t="s">
        <v>130</v>
      </c>
      <c r="I90" s="1">
        <v>45607</v>
      </c>
      <c r="J90" t="s">
        <v>137</v>
      </c>
      <c r="K90">
        <v>289875</v>
      </c>
    </row>
    <row r="91" spans="1:11" x14ac:dyDescent="0.35">
      <c r="A91" t="s">
        <v>100</v>
      </c>
      <c r="B91" t="s">
        <v>112</v>
      </c>
      <c r="C91" t="s">
        <v>121</v>
      </c>
      <c r="D91" t="s">
        <v>117</v>
      </c>
      <c r="E91" t="s">
        <v>127</v>
      </c>
      <c r="F91">
        <v>821</v>
      </c>
      <c r="G91">
        <v>357</v>
      </c>
      <c r="H91" t="s">
        <v>135</v>
      </c>
      <c r="I91" s="1">
        <v>45608</v>
      </c>
      <c r="J91" t="s">
        <v>138</v>
      </c>
      <c r="K91">
        <v>1244190</v>
      </c>
    </row>
    <row r="92" spans="1:11" x14ac:dyDescent="0.35">
      <c r="A92" t="s">
        <v>101</v>
      </c>
      <c r="B92" t="s">
        <v>112</v>
      </c>
      <c r="C92" t="s">
        <v>121</v>
      </c>
      <c r="D92" t="s">
        <v>118</v>
      </c>
      <c r="E92" t="s">
        <v>126</v>
      </c>
      <c r="F92">
        <v>871</v>
      </c>
      <c r="G92">
        <v>307</v>
      </c>
      <c r="H92" t="s">
        <v>131</v>
      </c>
      <c r="I92" s="1">
        <v>45616</v>
      </c>
      <c r="J92" t="s">
        <v>138</v>
      </c>
      <c r="K92">
        <v>2115065</v>
      </c>
    </row>
    <row r="93" spans="1:11" x14ac:dyDescent="0.35">
      <c r="A93" t="s">
        <v>102</v>
      </c>
      <c r="B93" t="s">
        <v>111</v>
      </c>
      <c r="C93" t="s">
        <v>120</v>
      </c>
      <c r="D93" t="s">
        <v>125</v>
      </c>
      <c r="E93" t="s">
        <v>127</v>
      </c>
      <c r="F93">
        <v>526</v>
      </c>
      <c r="G93">
        <v>422</v>
      </c>
      <c r="H93" t="s">
        <v>131</v>
      </c>
      <c r="I93" s="1">
        <v>45633</v>
      </c>
      <c r="J93" t="s">
        <v>137</v>
      </c>
      <c r="K93">
        <v>1014225</v>
      </c>
    </row>
    <row r="94" spans="1:11" x14ac:dyDescent="0.35">
      <c r="A94" t="s">
        <v>103</v>
      </c>
      <c r="B94" t="s">
        <v>114</v>
      </c>
      <c r="C94" t="s">
        <v>120</v>
      </c>
      <c r="D94" t="s">
        <v>120</v>
      </c>
      <c r="E94" t="s">
        <v>129</v>
      </c>
      <c r="F94">
        <v>752</v>
      </c>
      <c r="G94">
        <v>401</v>
      </c>
      <c r="H94" t="s">
        <v>130</v>
      </c>
      <c r="I94" s="1">
        <v>45634</v>
      </c>
      <c r="J94" t="s">
        <v>137</v>
      </c>
      <c r="K94">
        <v>1854924</v>
      </c>
    </row>
    <row r="95" spans="1:11" x14ac:dyDescent="0.35">
      <c r="A95" t="s">
        <v>104</v>
      </c>
      <c r="B95" t="s">
        <v>116</v>
      </c>
      <c r="C95" t="s">
        <v>122</v>
      </c>
      <c r="D95" t="s">
        <v>117</v>
      </c>
      <c r="E95" t="s">
        <v>127</v>
      </c>
      <c r="F95">
        <v>451</v>
      </c>
      <c r="G95">
        <v>310</v>
      </c>
      <c r="H95" t="s">
        <v>134</v>
      </c>
      <c r="I95" s="1">
        <v>45635</v>
      </c>
      <c r="J95" t="s">
        <v>138</v>
      </c>
      <c r="K95">
        <v>1111093</v>
      </c>
    </row>
    <row r="96" spans="1:11" x14ac:dyDescent="0.35">
      <c r="A96" t="s">
        <v>105</v>
      </c>
      <c r="B96" t="s">
        <v>112</v>
      </c>
      <c r="C96" t="s">
        <v>121</v>
      </c>
      <c r="D96" t="s">
        <v>125</v>
      </c>
      <c r="E96" t="s">
        <v>128</v>
      </c>
      <c r="F96">
        <v>779</v>
      </c>
      <c r="G96">
        <v>356</v>
      </c>
      <c r="H96" t="s">
        <v>136</v>
      </c>
      <c r="I96" s="1">
        <v>45641</v>
      </c>
      <c r="J96" t="s">
        <v>138</v>
      </c>
      <c r="K96">
        <v>1832994</v>
      </c>
    </row>
    <row r="97" spans="1:11" x14ac:dyDescent="0.35">
      <c r="A97" t="s">
        <v>106</v>
      </c>
      <c r="B97" t="s">
        <v>116</v>
      </c>
      <c r="C97" t="s">
        <v>122</v>
      </c>
      <c r="D97" t="s">
        <v>120</v>
      </c>
      <c r="E97" t="s">
        <v>129</v>
      </c>
      <c r="F97">
        <v>605</v>
      </c>
      <c r="G97">
        <v>482</v>
      </c>
      <c r="H97" t="s">
        <v>135</v>
      </c>
      <c r="I97" s="1">
        <v>45648</v>
      </c>
      <c r="J97" t="s">
        <v>137</v>
      </c>
      <c r="K97">
        <v>1085642</v>
      </c>
    </row>
    <row r="98" spans="1:11" x14ac:dyDescent="0.35">
      <c r="A98" t="s">
        <v>107</v>
      </c>
      <c r="B98" t="s">
        <v>115</v>
      </c>
      <c r="C98" t="s">
        <v>119</v>
      </c>
      <c r="D98" t="s">
        <v>124</v>
      </c>
      <c r="E98" t="s">
        <v>129</v>
      </c>
      <c r="F98">
        <v>211</v>
      </c>
      <c r="G98">
        <v>348</v>
      </c>
      <c r="H98" t="s">
        <v>136</v>
      </c>
      <c r="I98" s="1">
        <v>45649</v>
      </c>
      <c r="J98" t="s">
        <v>137</v>
      </c>
      <c r="K98">
        <v>397756</v>
      </c>
    </row>
    <row r="99" spans="1:11" x14ac:dyDescent="0.35">
      <c r="A99" t="s">
        <v>108</v>
      </c>
      <c r="B99" t="s">
        <v>111</v>
      </c>
      <c r="C99" t="s">
        <v>117</v>
      </c>
      <c r="D99" t="s">
        <v>118</v>
      </c>
      <c r="E99" t="s">
        <v>127</v>
      </c>
      <c r="F99">
        <v>251</v>
      </c>
      <c r="G99">
        <v>329</v>
      </c>
      <c r="H99" t="s">
        <v>131</v>
      </c>
      <c r="I99" s="1">
        <v>45650</v>
      </c>
      <c r="J99" t="s">
        <v>138</v>
      </c>
      <c r="K99">
        <v>590135</v>
      </c>
    </row>
    <row r="100" spans="1:11" x14ac:dyDescent="0.35">
      <c r="A100" t="s">
        <v>109</v>
      </c>
      <c r="B100" t="s">
        <v>115</v>
      </c>
      <c r="C100" t="s">
        <v>122</v>
      </c>
      <c r="D100" t="s">
        <v>118</v>
      </c>
      <c r="E100" t="s">
        <v>127</v>
      </c>
      <c r="F100">
        <v>319</v>
      </c>
      <c r="G100">
        <v>398</v>
      </c>
      <c r="H100" t="s">
        <v>130</v>
      </c>
      <c r="I100" s="1">
        <v>45654</v>
      </c>
      <c r="J100" t="s">
        <v>137</v>
      </c>
      <c r="K100">
        <v>579598</v>
      </c>
    </row>
    <row r="101" spans="1:11" x14ac:dyDescent="0.35">
      <c r="A101" t="s">
        <v>110</v>
      </c>
      <c r="B101" t="s">
        <v>115</v>
      </c>
      <c r="C101" t="s">
        <v>122</v>
      </c>
      <c r="D101" t="s">
        <v>123</v>
      </c>
      <c r="E101" t="s">
        <v>129</v>
      </c>
      <c r="F101">
        <v>912</v>
      </c>
      <c r="G101">
        <v>497</v>
      </c>
      <c r="H101" t="s">
        <v>134</v>
      </c>
      <c r="I101" s="1">
        <v>45657</v>
      </c>
      <c r="J101" t="s">
        <v>137</v>
      </c>
      <c r="K101">
        <v>1522577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53015-47C1-4ECE-9921-B61797295500}">
  <dimension ref="A1"/>
  <sheetViews>
    <sheetView workbookViewId="0">
      <selection activeCell="D25" sqref="D25"/>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F4AFF632-3F39-4590-AC59-D30AA7224CA8}">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D85BF1F7-AAD9-43A6-A8A2-86706E6C065C}">
  <ds:schemaRefs/>
</ds:datastoreItem>
</file>

<file path=customXml/itemProps3.xml><?xml version="1.0" encoding="utf-8"?>
<ds:datastoreItem xmlns:ds="http://schemas.openxmlformats.org/officeDocument/2006/customXml" ds:itemID="{69D39224-DFF1-4346-B126-68A6F1586F1A}">
  <ds:schemaRefs/>
</ds:datastoreItem>
</file>

<file path=customXml/itemProps4.xml><?xml version="1.0" encoding="utf-8"?>
<ds:datastoreItem xmlns:ds="http://schemas.openxmlformats.org/officeDocument/2006/customXml" ds:itemID="{952F1946-343E-45D2-984E-EA8AA60A7964}">
  <ds:schemaRefs/>
</ds:datastoreItem>
</file>

<file path=customXml/itemProps5.xml><?xml version="1.0" encoding="utf-8"?>
<ds:datastoreItem xmlns:ds="http://schemas.openxmlformats.org/officeDocument/2006/customXml" ds:itemID="{72C17930-EF9B-4565-8276-1860DB03D2CB}">
  <ds:schemaRefs/>
</ds:datastoreItem>
</file>

<file path=customXml/itemProps6.xml><?xml version="1.0" encoding="utf-8"?>
<ds:datastoreItem xmlns:ds="http://schemas.openxmlformats.org/officeDocument/2006/customXml" ds:itemID="{9189D454-877F-436E-9FD5-7D7D79E65D34}">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FF9387DB-954E-4846-968A-CEB6A73880D9}">
  <ds:schemaRefs/>
</ds:datastoreItem>
</file>

<file path=customXml/itemProps8.xml><?xml version="1.0" encoding="utf-8"?>
<ds:datastoreItem xmlns:ds="http://schemas.openxmlformats.org/officeDocument/2006/customXml" ds:itemID="{54F8106B-A331-4350-B981-6B51F70FB656}">
  <ds:schemaRefs/>
</ds:datastoreItem>
</file>

<file path=customXml/itemProps9.xml><?xml version="1.0" encoding="utf-8"?>
<ds:datastoreItem xmlns:ds="http://schemas.openxmlformats.org/officeDocument/2006/customXml" ds:itemID="{F1684E48-7773-491A-B3F3-BF137CF00B07}">
  <ds:schemaRefs>
    <ds:schemaRef ds:uri="http://www.w3.org/2001/XMLSchema"/>
    <ds:schemaRef ds:uri="http://microsoft.data.visualization.Client.Excel/1.0"/>
  </ds:schemaRefs>
</ds:datastoreItem>
</file>

<file path=customXml/itemProps10.xml><?xml version="1.0" encoding="utf-8"?>
<ds:datastoreItem xmlns:ds="http://schemas.openxmlformats.org/officeDocument/2006/customXml" ds:itemID="{E52B246E-7599-49B3-A18A-C80F08293F79}">
  <ds:schemaRefs/>
</ds:datastoreItem>
</file>

<file path=customXml/itemProps11.xml><?xml version="1.0" encoding="utf-8"?>
<ds:datastoreItem xmlns:ds="http://schemas.openxmlformats.org/officeDocument/2006/customXml" ds:itemID="{EFC65171-02AF-49A7-93C9-CD088E70373A}">
  <ds:schemaRefs/>
</ds:datastoreItem>
</file>

<file path=customXml/itemProps12.xml><?xml version="1.0" encoding="utf-8"?>
<ds:datastoreItem xmlns:ds="http://schemas.openxmlformats.org/officeDocument/2006/customXml" ds:itemID="{91B5701D-F63D-4FB9-B6D2-FEA973540A24}">
  <ds:schemaRefs/>
</ds:datastoreItem>
</file>

<file path=customXml/itemProps13.xml><?xml version="1.0" encoding="utf-8"?>
<ds:datastoreItem xmlns:ds="http://schemas.openxmlformats.org/officeDocument/2006/customXml" ds:itemID="{A4CD6CC1-03B0-4AF0-BD82-B3FDD3DAF43B}">
  <ds:schemaRefs>
    <ds:schemaRef ds:uri="http://www.w3.org/2001/XMLSchema"/>
    <ds:schemaRef ds:uri="http://microsoft.data.visualization.Client.Excel.CustomMapList/1.0"/>
  </ds:schemaRefs>
</ds:datastoreItem>
</file>

<file path=customXml/itemProps14.xml><?xml version="1.0" encoding="utf-8"?>
<ds:datastoreItem xmlns:ds="http://schemas.openxmlformats.org/officeDocument/2006/customXml" ds:itemID="{9B60A4D7-F981-473D-A951-54690E043358}">
  <ds:schemaRefs/>
</ds:datastoreItem>
</file>

<file path=customXml/itemProps15.xml><?xml version="1.0" encoding="utf-8"?>
<ds:datastoreItem xmlns:ds="http://schemas.openxmlformats.org/officeDocument/2006/customXml" ds:itemID="{5BB1DEB5-8128-49E1-B66A-C6BCC944D4C0}">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430938ED-AA4E-4ACC-9E5A-63EB29B8244F}">
  <ds:schemaRefs/>
</ds:datastoreItem>
</file>

<file path=customXml/itemProps17.xml><?xml version="1.0" encoding="utf-8"?>
<ds:datastoreItem xmlns:ds="http://schemas.openxmlformats.org/officeDocument/2006/customXml" ds:itemID="{14BE122A-4276-44C3-B779-43538AC2C7D8}">
  <ds:schemaRefs/>
</ds:datastoreItem>
</file>

<file path=customXml/itemProps18.xml><?xml version="1.0" encoding="utf-8"?>
<ds:datastoreItem xmlns:ds="http://schemas.openxmlformats.org/officeDocument/2006/customXml" ds:itemID="{83AF13A8-562F-4EDE-8A6C-EE30B52FC6C7}">
  <ds:schemaRefs/>
</ds:datastoreItem>
</file>

<file path=customXml/itemProps19.xml><?xml version="1.0" encoding="utf-8"?>
<ds:datastoreItem xmlns:ds="http://schemas.openxmlformats.org/officeDocument/2006/customXml" ds:itemID="{78829C8B-0E6B-424B-A6A0-46E62A737C49}">
  <ds:schemaRefs/>
</ds:datastoreItem>
</file>

<file path=customXml/itemProps20.xml><?xml version="1.0" encoding="utf-8"?>
<ds:datastoreItem xmlns:ds="http://schemas.openxmlformats.org/officeDocument/2006/customXml" ds:itemID="{CFD90097-3938-4D19-9AB9-E0EE157F1C28}">
  <ds:schemaRefs/>
</ds:datastoreItem>
</file>

<file path=customXml/itemProps21.xml><?xml version="1.0" encoding="utf-8"?>
<ds:datastoreItem xmlns:ds="http://schemas.openxmlformats.org/officeDocument/2006/customXml" ds:itemID="{5EBCB193-8403-43EE-B5B3-515BEB3490F9}">
  <ds:schemaRefs/>
</ds:datastoreItem>
</file>

<file path=customXml/itemProps22.xml><?xml version="1.0" encoding="utf-8"?>
<ds:datastoreItem xmlns:ds="http://schemas.openxmlformats.org/officeDocument/2006/customXml" ds:itemID="{52AA62EC-1186-4257-91B1-7353FEFF1203}">
  <ds:schemaRefs/>
</ds:datastoreItem>
</file>

<file path=customXml/itemProps23.xml><?xml version="1.0" encoding="utf-8"?>
<ds:datastoreItem xmlns:ds="http://schemas.openxmlformats.org/officeDocument/2006/customXml" ds:itemID="{6A0D0E3E-D885-43EE-A17F-B43905FCF9CF}">
  <ds:schemaRefs/>
</ds:datastoreItem>
</file>

<file path=customXml/itemProps24.xml><?xml version="1.0" encoding="utf-8"?>
<ds:datastoreItem xmlns:ds="http://schemas.openxmlformats.org/officeDocument/2006/customXml" ds:itemID="{19BB8C5D-64E9-4B5F-B96E-307F727466F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Db-Revenue</vt:lpstr>
      <vt:lpstr>Db-Operational</vt:lpstr>
      <vt:lpstr>Db-ServiceLevel</vt:lpstr>
      <vt:lpstr>Revenue</vt:lpstr>
      <vt:lpstr>Operational</vt:lpstr>
      <vt:lpstr>Service Level</vt:lpstr>
      <vt:lpstr>DATA DUMMY(CLEAN)</vt:lpstr>
      <vt:lpstr>DATA DUMMY(SOUCE)</vt:lpstr>
      <vt:lpstr>Graphic Resource</vt:lpstr>
      <vt:lpstr>'Db-Revenue'!Print_Area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fiqartsam@gmail.com</dc:creator>
  <cp:lastModifiedBy>Fiqri Artsam</cp:lastModifiedBy>
  <cp:lastPrinted>2025-10-19T06:04:38Z</cp:lastPrinted>
  <dcterms:created xsi:type="dcterms:W3CDTF">2025-08-23T02:29:54Z</dcterms:created>
  <dcterms:modified xsi:type="dcterms:W3CDTF">2025-10-19T06:36:56Z</dcterms:modified>
  <cp:category>for Deliveree's Recruitment</cp:category>
</cp:coreProperties>
</file>