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8.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23.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24.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X302266\Desktop\Nueva carpeta\"/>
    </mc:Choice>
  </mc:AlternateContent>
  <bookViews>
    <workbookView xWindow="0" yWindow="0" windowWidth="15345" windowHeight="4635" tabRatio="730" firstSheet="2" activeTab="2"/>
  </bookViews>
  <sheets>
    <sheet name="SCAN" sheetId="83" state="hidden" r:id="rId1"/>
    <sheet name="Hoja2" sheetId="84" state="hidden" r:id="rId2"/>
    <sheet name="General" sheetId="14" r:id="rId3"/>
    <sheet name="Scoring" sheetId="60" state="hidden" r:id="rId4"/>
    <sheet name="ParametrosPry" sheetId="58" state="hidden" r:id="rId5"/>
    <sheet name="Info Entrada" sheetId="40" r:id="rId6"/>
    <sheet name="P4" sheetId="86" r:id="rId7"/>
    <sheet name="Bases Proy" sheetId="74" r:id="rId8"/>
    <sheet name="Cuadros" sheetId="25" r:id="rId9"/>
    <sheet name="Datos Financieros Consolidados" sheetId="56" state="hidden" r:id="rId10"/>
    <sheet name="EEFF Moneda" sheetId="85" r:id="rId11"/>
    <sheet name="Potencial de Apoyo" sheetId="82" state="hidden" r:id="rId12"/>
    <sheet name="Data" sheetId="75" state="hidden" r:id="rId13"/>
    <sheet name="FEVE" sheetId="73" state="hidden" r:id="rId14"/>
    <sheet name="AR" sheetId="13" r:id="rId15"/>
    <sheet name="Activos" sheetId="62" r:id="rId16"/>
    <sheet name="Pasivos" sheetId="11" r:id="rId17"/>
    <sheet name="Estado de Resultados" sheetId="10" r:id="rId18"/>
    <sheet name="Indicadores" sheetId="9" r:id="rId19"/>
    <sheet name="Resumen Cuadros" sheetId="39" r:id="rId20"/>
    <sheet name="Activos (USD)" sheetId="63" state="hidden" r:id="rId21"/>
    <sheet name="Pasivos (USD)" sheetId="64" state="hidden" r:id="rId22"/>
    <sheet name="AR (USD)" sheetId="69" state="hidden" r:id="rId23"/>
    <sheet name="Posiciones (USD)" sheetId="68" state="hidden" r:id="rId24"/>
    <sheet name="Estado de Resultados (USD)" sheetId="65" state="hidden" r:id="rId25"/>
    <sheet name="Indicadores (USD)" sheetId="66" state="hidden" r:id="rId26"/>
    <sheet name="Resumen Cuadros (USD)" sheetId="67" state="hidden" r:id="rId27"/>
    <sheet name="Datos relevantes" sheetId="33" r:id="rId28"/>
    <sheet name="Duración" sheetId="48" state="hidden" r:id="rId29"/>
    <sheet name="Revisión" sheetId="49" state="hidden" r:id="rId30"/>
    <sheet name="Descripción" sheetId="51" r:id="rId31"/>
    <sheet name="Graficos con proy" sheetId="70" state="hidden" r:id="rId32"/>
    <sheet name="Rating" sheetId="54" r:id="rId33"/>
    <sheet name="Datos Finan" sheetId="52" r:id="rId34"/>
    <sheet name="Cash Flow" sheetId="53" r:id="rId35"/>
    <sheet name="WGI" sheetId="77" state="hidden" r:id="rId36"/>
    <sheet name="GDPGrowth" sheetId="78" state="hidden" r:id="rId37"/>
    <sheet name="GDPpercapita" sheetId="79" state="hidden" r:id="rId38"/>
    <sheet name="Parametros" sheetId="80" r:id="rId39"/>
    <sheet name="Estructura de la Deuda" sheetId="72" r:id="rId40"/>
    <sheet name="Comparables" sheetId="81" r:id="rId41"/>
    <sheet name="Posiciones" sheetId="8" r:id="rId42"/>
    <sheet name="Simulacion individual" sheetId="76" r:id="rId43"/>
    <sheet name="Resumen EEFF" sheetId="35" r:id="rId44"/>
    <sheet name="Plan de Negocio" sheetId="57" state="hidden" r:id="rId45"/>
    <sheet name="Posición" sheetId="55" state="hidden" r:id="rId46"/>
    <sheet name="Resumen BBDD" sheetId="46" state="hidden" r:id="rId47"/>
    <sheet name="BBDD Estado Cash Flow" sheetId="47" state="hidden" r:id="rId48"/>
    <sheet name="CIIU" sheetId="31" state="hidden" r:id="rId49"/>
  </sheets>
  <functionGroups builtInGroupCount="18"/>
  <externalReferences>
    <externalReference r:id="rId50"/>
    <externalReference r:id="rId51"/>
    <externalReference r:id="rId52"/>
    <externalReference r:id="rId53"/>
    <externalReference r:id="rId54"/>
    <externalReference r:id="rId55"/>
    <externalReference r:id="rId56"/>
  </externalReferences>
  <definedNames>
    <definedName name="_AMO_UniqueIdentifier" hidden="1">"'ccec813e-8d70-4904-9866-a700fde989cd'"</definedName>
    <definedName name="_f" hidden="1">{"Efecto Variaciones Modelo",#N/A,TRUE,"Variations";"Hipotesis Variaciones Modelo",#N/A,TRUE,"Hipot Varia"}</definedName>
    <definedName name="_xlnm._FilterDatabase" localSheetId="36" hidden="1">GDPGrowth!$A$1:$E$265</definedName>
    <definedName name="_xlnm._FilterDatabase" localSheetId="37" hidden="1">GDPpercapita!$A$1:$E$265</definedName>
    <definedName name="_xlnm._FilterDatabase" localSheetId="3" hidden="1">Scoring!$A$13</definedName>
    <definedName name="_r" hidden="1">{"DCF1",#N/A,TRUE,"DCF";"Analisis Wacc",#N/A,TRUE,"WACC"}</definedName>
    <definedName name="a"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aa" hidden="1">{"DCF1",#N/A,TRUE,"DCF";"Analisis Wacc",#N/A,TRUE,"WACC"}</definedName>
    <definedName name="aaaa" hidden="1">{"DCF1",#N/A,TRUE,"DCF";"Analisis Wacc",#N/A,TRUE,"WACC"}</definedName>
    <definedName name="ADSF"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ADSGASG" hidden="1">{"DCF1",#N/A,TRUE,"DCF";"Analisis Wacc",#N/A,TRUE,"WACC"}</definedName>
    <definedName name="AGDAG" hidden="1">{"PYGP",#N/A,TRUE,"PandL";"BALANCEP",#N/A,TRUE,"BS";"Estado Cash Flow",#N/A,TRUE,"CFlow";"debt",#N/A,TRUE,"Debt";"worcap",#N/A,TRUE,"WorCap";"Analisis Impuestos",#N/A,TRUE,"Tax"}</definedName>
    <definedName name="AGFD"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_xlnm.Print_Area" localSheetId="15">Activos!$A$1:$M$62</definedName>
    <definedName name="_xlnm.Print_Area" localSheetId="14">AR!$A$1:$M$161</definedName>
    <definedName name="_xlnm.Print_Area" localSheetId="22">'AR (USD)'!$A$1:$M$162</definedName>
    <definedName name="_xlnm.Print_Area" localSheetId="34">'Cash Flow'!$A$1:$I$39</definedName>
    <definedName name="_xlnm.Print_Area" localSheetId="8">Cuadros!$L$26:$X$86</definedName>
    <definedName name="_xlnm.Print_Area" localSheetId="33">'Datos Finan'!$A$1:$H$39</definedName>
    <definedName name="_xlnm.Print_Area" localSheetId="9">'Datos Financieros Consolidados'!$A$1:$N$42</definedName>
    <definedName name="_xlnm.Print_Area" localSheetId="30">Descripción!$A$1:$O$40</definedName>
    <definedName name="_xlnm.Print_Area" localSheetId="10">'EEFF Moneda'!$A$9:$J$129</definedName>
    <definedName name="_xlnm.Print_Area" localSheetId="17">'Estado de Resultados'!$A$1:$M$60</definedName>
    <definedName name="_xlnm.Print_Area" localSheetId="39">'Estructura de la Deuda'!$A$1:$N$40</definedName>
    <definedName name="_xlnm.Print_Area" localSheetId="13">FEVE!$B$3:$N$162</definedName>
    <definedName name="_xlnm.Print_Area" localSheetId="2">General!$A$5:$I$42</definedName>
    <definedName name="_xlnm.Print_Area" localSheetId="31">'Graficos con proy'!$A$1:$N$42</definedName>
    <definedName name="_xlnm.Print_Area" localSheetId="18">Indicadores!$A$1:$H$50</definedName>
    <definedName name="_xlnm.Print_Area" localSheetId="25">'Indicadores (USD)'!$A$1:$H$51</definedName>
    <definedName name="_xlnm.Print_Area" localSheetId="5">'Info Entrada'!$A$1:$M$411</definedName>
    <definedName name="_xlnm.Print_Area" localSheetId="6">'P4'!$A$1:$P$47</definedName>
    <definedName name="_xlnm.Print_Area" localSheetId="16">Pasivos!$A$1:$M$72</definedName>
    <definedName name="_xlnm.Print_Area" localSheetId="21">'Pasivos (USD)'!$A$1:$M$75</definedName>
    <definedName name="_xlnm.Print_Area" localSheetId="44">'Plan de Negocio'!$A$1:$M$41</definedName>
    <definedName name="_xlnm.Print_Area" localSheetId="45">Posición!$A$1:$L$41</definedName>
    <definedName name="_xlnm.Print_Area" localSheetId="41">Posiciones!$A$1:$K$116</definedName>
    <definedName name="_xlnm.Print_Area" localSheetId="23">'Posiciones (USD)'!$A$1:$K$116</definedName>
    <definedName name="_xlnm.Print_Area" localSheetId="32">Rating!$A$1:$N$42</definedName>
    <definedName name="_xlnm.Print_Area" localSheetId="19">'Resumen Cuadros'!$A$1:$Q$53</definedName>
    <definedName name="_xlnm.Print_Area" localSheetId="43">'Resumen EEFF'!$A$9:$J$129</definedName>
    <definedName name="_xlnm.Print_Area" localSheetId="29">Revisión!$A$1:$L$156</definedName>
    <definedName name="_xlnm.Print_Area" localSheetId="0">SCAN!$B$3:$N$154</definedName>
    <definedName name="as" hidden="1">{"DCF1",#N/A,TRUE,"DCF";"Analisis Wacc",#N/A,TRUE,"WACC"}</definedName>
    <definedName name="ASDG" hidden="1">{"Resumen Hipotesis 1",#N/A,TRUE,"Resumen1";"Resumen de Hipotesis 2",#N/A,TRUE,"Resumen2";"Resumen Hipotesis 3",#N/A,TRUE,"Resumen3"}</definedName>
    <definedName name="ass"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asss" hidden="1">{"Resumen Hipotesis 1",#N/A,TRUE,"Resumen1";"Resumen de Hipotesis 2",#N/A,TRUE,"Resumen2";"Resumen Hipotesis 3",#N/A,TRUE,"Resumen3"}</definedName>
    <definedName name="assss" hidden="1">{"Efecto Variaciones Modelo",#N/A,TRUE,"Variations";"Hipotesis Variaciones Modelo",#N/A,TRUE,"Hipot Varia"}</definedName>
    <definedName name="assssss" hidden="1">{"PYGP",#N/A,TRUE,"PandL";"BALANCEP",#N/A,TRUE,"BS";"Estado Cash Flow",#N/A,TRUE,"CFlow";"debt",#N/A,TRUE,"Debt";"worcap",#N/A,TRUE,"WorCap";"Analisis Impuestos",#N/A,TRUE,"Tax"}</definedName>
    <definedName name="AVDF" hidden="1">{"Resumen Hipotesis 1",#N/A,TRUE,"Resumen1";"Resumen de Hipotesis 2",#N/A,TRUE,"Resumen2";"Resumen Hipotesis 3",#N/A,TRUE,"Resumen3"}</definedName>
    <definedName name="b"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bb" hidden="1">{"Efecto Variaciones Modelo",#N/A,TRUE,"Variations";"Hipotesis Variaciones Modelo",#N/A,TRUE,"Hipot Varia"}</definedName>
    <definedName name="bbbb" hidden="1">{"Efecto Variaciones Modelo",#N/A,TRUE,"Variations";"Hipotesis Variaciones Modelo",#N/A,TRUE,"Hipot Varia"}</definedName>
    <definedName name="Beneficio_Bruto_Residencial">#REF!</definedName>
    <definedName name="Beneficio_Bruto_Total">#REF!</definedName>
    <definedName name="cccc"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cierres" localSheetId="40">'[1]Info Entrada'!$A$5001:$A$5003</definedName>
    <definedName name="cierres" localSheetId="13">'[2]Info Entrada'!$A$5001:$A$5003</definedName>
    <definedName name="cierres" localSheetId="0">'[3]Info Entrada'!$A$5001:$A$5003</definedName>
    <definedName name="cierres">'Info Entrada'!$A$5001:$A$5003</definedName>
    <definedName name="CIIU" localSheetId="40">[1]CIIU!$A$2:$J$447</definedName>
    <definedName name="CIIU" localSheetId="13">[2]CIIU!$A$2:$J$447</definedName>
    <definedName name="CIIU" localSheetId="0">[3]CIIU!$A$2:$J$447</definedName>
    <definedName name="CIIU">CIIU!$A$2:$J$447</definedName>
    <definedName name="CodCIIU" localSheetId="22">'AR (USD)'!$G$6</definedName>
    <definedName name="CodCIIU" localSheetId="40">[1]AR!$G$6</definedName>
    <definedName name="CodCIIU" localSheetId="13">FEVE!$H$15</definedName>
    <definedName name="CodCIIU" localSheetId="0">SCAN!#REF!</definedName>
    <definedName name="CodCIIU">AR!$G$6</definedName>
    <definedName name="d" hidden="1">{"Resumen Hipotesis 1",#N/A,TRUE,"Resumen1";"Resumen de Hipotesis 2",#N/A,TRUE,"Resumen2";"Resumen Hipotesis 3",#N/A,TRUE,"Resumen3"}</definedName>
    <definedName name="dddd"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DSGFVA" hidden="1">{"PYGP",#N/A,TRUE,"PandL";"BALANCEP",#N/A,TRUE,"BS";"Estado Cash Flow",#N/A,TRUE,"CFlow";"debt",#N/A,TRUE,"Debt";"worcap",#N/A,TRUE,"WorCap";"Analisis Impuestos",#N/A,TRUE,"Tax"}</definedName>
    <definedName name="e" hidden="1">{"DCF1",#N/A,TRUE,"DCF";"Analisis Wacc",#N/A,TRUE,"WACC"}</definedName>
    <definedName name="EE" hidden="1">{"Efecto Variaciones Modelo",#N/A,TRUE,"Variations";"Hipotesis Variaciones Modelo",#N/A,TRUE,"Hipot Varia"}</definedName>
    <definedName name="eeee"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EREREE" hidden="1">{"DCF1",#N/A,TRUE,"DCF";"Analisis Wacc",#N/A,TRUE,"WACC"}</definedName>
    <definedName name="ERERER" hidden="1">{"Resumen Hipotesis 1",#N/A,TRUE,"Resumen1";"Resumen de Hipotesis 2",#N/A,TRUE,"Resumen2";"Resumen Hipotesis 3",#N/A,TRUE,"Resumen3"}</definedName>
    <definedName name="Facilidad" localSheetId="40">[1]Duración!$C$8</definedName>
    <definedName name="Facilidad" localSheetId="13">[2]Duración!$C$8</definedName>
    <definedName name="Facilidad" localSheetId="0">[3]Duración!$C$8</definedName>
    <definedName name="Facilidad">Duración!$C$8</definedName>
    <definedName name="FEVE" localSheetId="22">'AR (USD)'!$P$13:$P$16</definedName>
    <definedName name="FEVE" localSheetId="40">[1]AR!$P$13:$P$16</definedName>
    <definedName name="FEVE" localSheetId="13">FEVE!$Q$15:$Q$18</definedName>
    <definedName name="FEVE" localSheetId="0">SCAN!$Q$15:$Q$18</definedName>
    <definedName name="FEVE">AR!$P$13:$P$16</definedName>
    <definedName name="ff" hidden="1">{"PYGP",#N/A,TRUE,"PandL";"BALANCEP",#N/A,TRUE,"BS";"Estado Cash Flow",#N/A,TRUE,"CFlow";"debt",#N/A,TRUE,"Debt";"worcap",#N/A,TRUE,"WorCap";"Analisis Impuestos",#N/A,TRUE,"Tax"}</definedName>
    <definedName name="ffff" hidden="1">{"DCF1",#N/A,TRUE,"DCF";"Analisis Wacc",#N/A,TRUE,"WACC"}</definedName>
    <definedName name="Financieros"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G" hidden="1">{"DCF1",#N/A,TRUE,"DCF";"Analisis Wacc",#N/A,TRUE,"WACC"}</definedName>
    <definedName name="GASGF"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gggg" hidden="1">{"PYGP",#N/A,TRUE,"PandL";"BALANCEP",#N/A,TRUE,"BS";"Estado Cash Flow",#N/A,TRUE,"CFlow";"debt",#N/A,TRUE,"Debt";"worcap",#N/A,TRUE,"WorCap";"Analisis Impuestos",#N/A,TRUE,"Tax"}</definedName>
    <definedName name="hhhh"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i"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iiii"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Ingresos_Empresas">#REF!</definedName>
    <definedName name="Ingresos_Internet">#REF!</definedName>
    <definedName name="Ingresos_Telefonía">#REF!</definedName>
    <definedName name="Ingresos_Totales">#REF!</definedName>
    <definedName name="Ingresos_TV">#REF!</definedName>
    <definedName name="inicio" localSheetId="40">'[1]Info Entrada'!$B$1</definedName>
    <definedName name="inicio" localSheetId="13">'[2]Info Entrada'!$B$1</definedName>
    <definedName name="inicio" localSheetId="0">'[3]Info Entrada'!$B$1</definedName>
    <definedName name="inicio">'Info Entrada'!$B$1</definedName>
    <definedName name="ioio" hidden="1">{"Resumen Hipotesis 1",#N/A,TRUE,"Resumen1";"Resumen de Hipotesis 2",#N/A,TRUE,"Resumen2";"Resumen Hipotesis 3",#N/A,TRUE,"Resumen3"}</definedName>
    <definedName name="IUIUI" hidden="1">{"PYGP",#N/A,TRUE,"PandL";"BALANCEP",#N/A,TRUE,"BS";"Estado Cash Flow",#N/A,TRUE,"CFlow";"debt",#N/A,TRUE,"Debt";"worcap",#N/A,TRUE,"WorCap";"Analisis Impuestos",#N/A,TRUE,"Tax"}</definedName>
    <definedName name="jjjj" hidden="1">{"Resumen Hipotesis 1",#N/A,TRUE,"Resumen1";"Resumen de Hipotesis 2",#N/A,TRUE,"Resumen2";"Resumen Hipotesis 3",#N/A,TRUE,"Resumen3"}</definedName>
    <definedName name="kk"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kkkk" hidden="1">{"Resumen Hipotesis 1",#N/A,TRUE,"Resumen1";"Resumen de Hipotesis 2",#N/A,TRUE,"Resumen2";"Resumen Hipotesis 3",#N/A,TRUE,"Resumen3"}</definedName>
    <definedName name="llll" hidden="1">{"Efecto Variaciones Modelo",#N/A,TRUE,"Variations";"Hipotesis Variaciones Modelo",#N/A,TRUE,"Hipot Varia"}</definedName>
    <definedName name="m"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Margen_Bruto_Empresas">#REF!</definedName>
    <definedName name="Margen_bruto_internet">#REF!</definedName>
    <definedName name="Margen_bruto_telefonía">#REF!</definedName>
    <definedName name="Margen_bruto_TV">#REF!</definedName>
    <definedName name="mmmm"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NCiiu" localSheetId="40">[1]CIIU!$A$2:$A$447</definedName>
    <definedName name="NCiiu" localSheetId="13">[2]CIIU!$A$2:$A$447</definedName>
    <definedName name="NCiiu" localSheetId="0">[3]CIIU!$A$2:$A$447</definedName>
    <definedName name="NCiiu">CIIU!$A$2:$A$447</definedName>
    <definedName name="NMes" localSheetId="15">#REF!</definedName>
    <definedName name="NMes" localSheetId="20">#REF!</definedName>
    <definedName name="NMes" localSheetId="22">#REF!</definedName>
    <definedName name="NMes" localSheetId="40">#REF!</definedName>
    <definedName name="NMes" localSheetId="10">#REF!</definedName>
    <definedName name="NMes" localSheetId="24">#REF!</definedName>
    <definedName name="NMes" localSheetId="39">#REF!</definedName>
    <definedName name="NMes" localSheetId="13">#REF!</definedName>
    <definedName name="NMes" localSheetId="31">#REF!</definedName>
    <definedName name="NMes" localSheetId="25">#REF!</definedName>
    <definedName name="NMes" localSheetId="21">#REF!</definedName>
    <definedName name="NMes" localSheetId="23">#REF!</definedName>
    <definedName name="NMes" localSheetId="26">#REF!</definedName>
    <definedName name="NMes" localSheetId="0">#REF!</definedName>
    <definedName name="NMes">#REF!</definedName>
    <definedName name="nnnn"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ñ" hidden="1">{"DCF1",#N/A,TRUE,"DCF";"Analisis Wacc",#N/A,TRUE,"WACC"}</definedName>
    <definedName name="o" hidden="1">{"PYGP",#N/A,TRUE,"PandL";"BALANCEP",#N/A,TRUE,"BS";"Estado Cash Flow",#N/A,TRUE,"CFlow";"debt",#N/A,TRUE,"Debt";"worcap",#N/A,TRUE,"WorCap";"Analisis Impuestos",#N/A,TRUE,"Tax"}</definedName>
    <definedName name="oioi" hidden="1">{"DCF1",#N/A,TRUE,"DCF";"Analisis Wacc",#N/A,TRUE,"WACC"}</definedName>
    <definedName name="opop" hidden="1">{"Efecto Variaciones Modelo",#N/A,TRUE,"Variations";"Hipotesis Variaciones Modelo",#N/A,TRUE,"Hipot Varia"}</definedName>
    <definedName name="P" hidden="1">{"PYGP",#N/A,TRUE,"PandL";"BALANCEP",#N/A,TRUE,"BS";"Estado Cash Flow",#N/A,TRUE,"CFlow";"debt",#N/A,TRUE,"Debt";"worcap",#N/A,TRUE,"WorCap";"Analisis Impuestos",#N/A,TRUE,"Tax"}</definedName>
    <definedName name="PED" hidden="1">{"DCF1",#N/A,TRUE,"DCF";"Analisis Wacc",#N/A,TRUE,"WACC"}</definedName>
    <definedName name="PEDRO" hidden="1">{"PYGP",#N/A,TRUE,"PandL";"BALANCEP",#N/A,TRUE,"BS";"Estado Cash Flow",#N/A,TRUE,"CFlow";"debt",#N/A,TRUE,"Debt";"worcap",#N/A,TRUE,"WorCap";"Analisis Impuestos",#N/A,TRUE,"Tax"}</definedName>
    <definedName name="Plazo">Duración!$F$8</definedName>
    <definedName name="POPO"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PPP"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PPPP" hidden="1">{"Resumen Hipotesis 1",#N/A,TRUE,"Resumen1";"Resumen de Hipotesis 2",#N/A,TRUE,"Resumen2";"Resumen Hipotesis 3",#N/A,TRUE,"Resumen3"}</definedName>
    <definedName name="PPPPP" hidden="1">{"DCF1",#N/A,TRUE,"DCF";"Analisis Wacc",#N/A,TRUE,"WACC"}</definedName>
    <definedName name="Precio" localSheetId="40">[1]Duración!$G$8</definedName>
    <definedName name="Precio" localSheetId="13">[2]Duración!$G$8</definedName>
    <definedName name="Precio" localSheetId="0">[3]Duración!$G$8</definedName>
    <definedName name="Precio">Duración!$G$8</definedName>
    <definedName name="prog" hidden="1">{"PYGP",#N/A,TRUE,"PandL";"BALANCEP",#N/A,TRUE,"BS";"Estado Cash Flow",#N/A,TRUE,"CFlow";"debt",#N/A,TRUE,"Debt";"worcap",#N/A,TRUE,"WorCap";"Analisis Impuestos",#N/A,TRUE,"Tax"}</definedName>
    <definedName name="Proyeccion" localSheetId="40">'[1]Resumen EEFF'!$A$137:$A$138</definedName>
    <definedName name="Proyeccion" localSheetId="10">'EEFF Moneda'!$A$134:$A$135</definedName>
    <definedName name="Proyeccion" localSheetId="13">'[2]Resumen EEFF'!$A$137:$A$138</definedName>
    <definedName name="Proyeccion" localSheetId="0">'[3]Resumen EEFF'!$A$137:$A$138</definedName>
    <definedName name="Proyeccion">'Resumen EEFF'!$A$134:$A$135</definedName>
    <definedName name="Q" localSheetId="15">#REF!</definedName>
    <definedName name="Q" localSheetId="20">#REF!</definedName>
    <definedName name="Q" localSheetId="22">#REF!</definedName>
    <definedName name="Q" localSheetId="40">#REF!</definedName>
    <definedName name="Q" localSheetId="10">#REF!</definedName>
    <definedName name="Q" localSheetId="24">#REF!</definedName>
    <definedName name="Q" localSheetId="39">#REF!</definedName>
    <definedName name="Q" localSheetId="13">#REF!</definedName>
    <definedName name="Q" localSheetId="31">#REF!</definedName>
    <definedName name="Q" localSheetId="25">#REF!</definedName>
    <definedName name="Q" localSheetId="21">#REF!</definedName>
    <definedName name="Q" localSheetId="23">#REF!</definedName>
    <definedName name="Q" localSheetId="26">#REF!</definedName>
    <definedName name="Q" localSheetId="0">#REF!</definedName>
    <definedName name="Q">#REF!</definedName>
    <definedName name="qqqq"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RATING">'P4'!$Y$4:$AB$11</definedName>
    <definedName name="RERE"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RESUMEN1" localSheetId="15">#REF!</definedName>
    <definedName name="RESUMEN1" localSheetId="20">#REF!</definedName>
    <definedName name="RESUMEN1" localSheetId="22">#REF!</definedName>
    <definedName name="RESUMEN1" localSheetId="40">#REF!</definedName>
    <definedName name="RESUMEN1" localSheetId="10">#REF!</definedName>
    <definedName name="RESUMEN1" localSheetId="24">#REF!</definedName>
    <definedName name="RESUMEN1" localSheetId="39">#REF!</definedName>
    <definedName name="RESUMEN1" localSheetId="13">#REF!</definedName>
    <definedName name="RESUMEN1" localSheetId="31">#REF!</definedName>
    <definedName name="RESUMEN1" localSheetId="25">#REF!</definedName>
    <definedName name="RESUMEN1" localSheetId="21">#REF!</definedName>
    <definedName name="RESUMEN1" localSheetId="23">#REF!</definedName>
    <definedName name="RESUMEN1" localSheetId="26">#REF!</definedName>
    <definedName name="RESUMEN1" localSheetId="0">#REF!</definedName>
    <definedName name="RESUMEN1">#REF!</definedName>
    <definedName name="RESUMEN2" localSheetId="15">#REF!</definedName>
    <definedName name="RESUMEN2" localSheetId="20">#REF!</definedName>
    <definedName name="RESUMEN2" localSheetId="22">#REF!</definedName>
    <definedName name="RESUMEN2" localSheetId="40">#REF!</definedName>
    <definedName name="RESUMEN2" localSheetId="10">#REF!</definedName>
    <definedName name="RESUMEN2" localSheetId="24">#REF!</definedName>
    <definedName name="RESUMEN2" localSheetId="39">#REF!</definedName>
    <definedName name="RESUMEN2" localSheetId="13">#REF!</definedName>
    <definedName name="RESUMEN2" localSheetId="31">#REF!</definedName>
    <definedName name="RESUMEN2" localSheetId="25">#REF!</definedName>
    <definedName name="RESUMEN2" localSheetId="21">#REF!</definedName>
    <definedName name="RESUMEN2" localSheetId="23">#REF!</definedName>
    <definedName name="RESUMEN2" localSheetId="26">#REF!</definedName>
    <definedName name="RESUMEN2" localSheetId="0">#REF!</definedName>
    <definedName name="RESUMEN2">#REF!</definedName>
    <definedName name="rorac" localSheetId="22">'AR (USD)'!$P$8:$P$9</definedName>
    <definedName name="rorac" localSheetId="40">[1]AR!$P$8:$P$9</definedName>
    <definedName name="rorac" localSheetId="13">FEVE!$Q$10:$Q$11</definedName>
    <definedName name="rorac" localSheetId="0">SCAN!$Q$10:$Q$11</definedName>
    <definedName name="rorac">AR!$P$8:$P$9</definedName>
    <definedName name="roraccc" localSheetId="22">'AR (USD)'!$P$10:$P$11</definedName>
    <definedName name="roraccc" localSheetId="13">FEVE!$Q$12:$Q$13</definedName>
    <definedName name="roraccc" localSheetId="0">SCAN!$Q$12:$Q$13</definedName>
    <definedName name="roraccc">AR!$P$10:$P$11</definedName>
    <definedName name="rrrr"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SAF"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SAPBEXrevision" hidden="1">6</definedName>
    <definedName name="SAPBEXsysID" hidden="1">"CAS"</definedName>
    <definedName name="SAPBEXwbID" hidden="1">"6BUGRXUZ6QVLIPGFL1BB81Q71"</definedName>
    <definedName name="SDDDD"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SDGAG" hidden="1">{"Efecto Variaciones Modelo",#N/A,TRUE,"Variations";"Hipotesis Variaciones Modelo",#N/A,TRUE,"Hipot Varia"}</definedName>
    <definedName name="sdsd"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sencount" hidden="1">1</definedName>
    <definedName name="sensibilidad"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SiNo" localSheetId="22">'AR (USD)'!$P$2:$P$3</definedName>
    <definedName name="SiNo" localSheetId="40">[1]AR!$P$2:$P$3</definedName>
    <definedName name="SiNo" localSheetId="13">FEVE!$Q$4:$Q$5</definedName>
    <definedName name="SiNo" localSheetId="0">SCAN!$Q$4:$Q$5</definedName>
    <definedName name="SiNo">AR!$P$2:$P$3</definedName>
    <definedName name="SS"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ssss" hidden="1">{"DCF1",#N/A,TRUE,"DCF";"Analisis Wacc",#N/A,TRUE,"WACC"}</definedName>
    <definedName name="_xlnm.Print_Titles" localSheetId="5">'Info Entrada'!$1:$1</definedName>
    <definedName name="Total_Ingresos_Residencial">#REF!</definedName>
    <definedName name="TRM" localSheetId="40">[1]General!$C$27:$E$120</definedName>
    <definedName name="TRM" localSheetId="13">[2]General!$C$27:$E$120</definedName>
    <definedName name="TRM" localSheetId="0">[3]General!$C$27:$E$120</definedName>
    <definedName name="TRM">General!$C$36:$E$129</definedName>
    <definedName name="tttt" hidden="1">{"Efecto Variaciones Modelo",#N/A,TRUE,"Variations";"Hipotesis Variaciones Modelo",#N/A,TRUE,"Hipot Varia"}</definedName>
    <definedName name="uuuu"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vvvv" hidden="1">{"DCF1",#N/A,TRUE,"DCF";"Analisis Wacc",#N/A,TRUE,"WACC"}</definedName>
    <definedName name="WA" hidden="1">{"Efecto Variaciones Modelo",#N/A,TRUE,"Variations";"Hipotesis Variaciones Modelo",#N/A,TRUE,"Hipot Varia"}</definedName>
    <definedName name="WEW"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wrn.Cuentas._.de._.Resultados." hidden="1">{"PYGP",#N/A,TRUE,"PandL";"BALANCEP",#N/A,TRUE,"BS";"Estado Cash Flow",#N/A,TRUE,"CFlow";"debt",#N/A,TRUE,"Debt";"worcap",#N/A,TRUE,"WorCap";"Analisis Impuestos",#N/A,TRUE,"Tax"}</definedName>
    <definedName name="wrn.Informe._.Rebeca."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wrn.Modelo._.Base."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wrn.Resumen._.de._.Hipotesis." hidden="1">{"Resumen Hipotesis 1",#N/A,TRUE,"Resumen1";"Resumen de Hipotesis 2",#N/A,TRUE,"Resumen2";"Resumen Hipotesis 3",#N/A,TRUE,"Resumen3"}</definedName>
    <definedName name="wrn.Valoracion." hidden="1">{"DCF1",#N/A,TRUE,"DCF";"Analisis Wacc",#N/A,TRUE,"WACC"}</definedName>
    <definedName name="wrn.Variaciones._.del._.Modelo." hidden="1">{"Efecto Variaciones Modelo",#N/A,TRUE,"Variations";"Hipotesis Variaciones Modelo",#N/A,TRUE,"Hipot Varia"}</definedName>
    <definedName name="WSWS" hidden="1">{"PYGP",#N/A,TRUE,"PandL";"Abonados DTH",#N/A,TRUE,"SubAssDTH";"Abonados Cable",#N/A,TRUE,"SubAssCable";"Estadisticas Abonados",#N/A,TRUE,"SubStats";"Take Up DTH",#N/A,TRUE,"SubsDTH";"Precios DTH Dolar",#N/A,TRUE,"PriceDTH";"Resumen Hipotesis 1",#N/A,TRUE,"Resumen1";"Resumen de Hipotesis 2",#N/A,TRUE,"Resumen2";"Resumen Hipotesis 3",#N/A,TRUE,"Resumen3"}</definedName>
    <definedName name="WW" hidden="1">{"Efecto Variaciones Modelo",#N/A,TRUE,"Variations";"Hipotesis Variaciones Modelo",#N/A,TRUE,"Hipot Varia"}</definedName>
    <definedName name="WWW"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wwww" hidden="1">{"Efecto Variaciones Modelo",#N/A,TRUE,"Variations";"Hipotesis Variaciones Modelo",#N/A,TRUE,"Hipot Varia"}</definedName>
    <definedName name="xxxx" hidden="1">{"PYGP",#N/A,TRUE,"PandL";"BALANCEP",#N/A,TRUE,"BS";"Estado Cash Flow",#N/A,TRUE,"CFlow";"debt",#N/A,TRUE,"Debt";"worcap",#N/A,TRUE,"WorCap";"Analisis Impuestos",#N/A,TRUE,"Tax"}</definedName>
    <definedName name="yyyy" hidden="1">{"PYGP",#N/A,TRUE,"PandL";"BALANCEP",#N/A,TRUE,"BS";"Estado Cash Flow",#N/A,TRUE,"CFlow";"debt",#N/A,TRUE,"Debt";"worcap",#N/A,TRUE,"WorCap";"Analisis Impuestos",#N/A,TRUE,"Tax"}</definedName>
    <definedName name="ZSVG" hidden="1">{"Inputs Parcial",#N/A,TRUE,"Inputs";"Abonados DTH",#N/A,TRUE,"SubAssDTH";"Abonados Cable",#N/A,TRUE,"SubAssCable";"Estadisticas Abonados",#N/A,TRUE,"SubStats";"Take Up DTH",#N/A,TRUE,"SubsDTH";"Precios DTH Pesetas Solo",#N/A,TRUE,"PriceDTH";"Cuotas Inscripcion",#N/A,TRUE,"SubsFee";"Ingresos DTH",#N/A,TRUE,"RevDTH";"Ingresos Cable",#N/A,TRUE,"RevCable";"Gastos de Transmision",#N/A,TRUE,"BroadcastC";"Desglose Transpondedores",#N/A,TRUE,"Transpon";"Servicios Ocupados",#N/A,TRUE,"ServOcup";"Servicios a Refacturar",#N/A,TRUE,"ServRefac";"Entrada Canales",#N/A,TRUE,"Entrada";"Coste a Refacturar",#N/A,TRUE,"Refact";"Refacturacion de Transmision",#N/A,TRUE,"RefactT";"Refacturacion Transmision y Conrol",#N/A,TRUE,"RefactTC";"Resumen de Refacturacion",#N/A,TRUE,"RefacSum";"Canales propios Basico",#N/A,TRUE,"ProgramC0";"Costes Reales Basico",#N/A,TRUE,"ProgramC1";"Costes Programacion Cine y Deporte",#N/A,TRUE,"ProgramC2";"Programacion Reales III",#N/A,TRUE,"ProgramC3";"Programacion Reales IV",#N/A,TRUE,"ProgramC3";"Programacion Reales V",#N/A,TRUE,"ProgramC4";"Programacion Reales VI",#N/A,TRUE,"ProgramC4";"Costes Plataforma I",#N/A,TRUE,"ProgramC5";"Costes Plataforma II",#N/A,TRUE,"ProgramC6";"Costes Plataforma Resumen",#N/A,TRUE,"ProgramC7";"Comunidades I",#N/A,TRUE,"Subsmgmt1";"Comunidades II",#N/A,TRUE,"SubsMgmt2";"Costes Captacion I",#N/A,TRUE,"SubsMgmt3";"Costes Captacion II",#N/A,TRUE,"SubsMgmt4";"Costes Gestion I",#N/A,TRUE,"SubsMgmt5";"Costes Gestion II",#N/A,TRUE,"SubsMgmt6";"Costes Generales",#N/A,TRUE,"SGA";"Inversiones Diversas",#N/A,TRUE,"InvAmo";"Inversiones Descos",#N/A,TRUE,"DecoderAmo";"Cuenta CableAntena",#N/A,TRUE,"CA";"Cuenta CableAntena CSD",#N/A,TRUE,"CSDCA";"Cuenta Transcontrol",#N/A,TRUE,"TC";"Analisis Transmodulacion",#N/A,TRUE,"TM"}</definedName>
    <definedName name="zzzz" hidden="1">{"PYGP",#N/A,TRUE,"PandL";"BALANCEP",#N/A,TRUE,"BS";"Estado Cash Flow",#N/A,TRUE,"CFlow";"debt",#N/A,TRUE,"Debt";"worcap",#N/A,TRUE,"WorCap";"Analisis Impuestos",#N/A,TRUE,"Tax"}</definedName>
  </definedNames>
  <calcPr calcId="152511" iterate="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26" i="86" l="1"/>
  <c r="I26" i="86"/>
  <c r="H26" i="86"/>
  <c r="E26" i="86"/>
  <c r="D26" i="86"/>
  <c r="C26" i="86"/>
  <c r="J25" i="86"/>
  <c r="I25" i="86"/>
  <c r="H25" i="86"/>
  <c r="E25" i="86"/>
  <c r="D25" i="86"/>
  <c r="C25" i="86"/>
  <c r="B25" i="86"/>
  <c r="A25" i="86"/>
  <c r="J24" i="86"/>
  <c r="I24" i="86"/>
  <c r="H24" i="86"/>
  <c r="E24" i="86"/>
  <c r="D24" i="86"/>
  <c r="C24" i="86"/>
  <c r="B24" i="86"/>
  <c r="A24" i="86"/>
  <c r="E23" i="86"/>
  <c r="D23" i="86"/>
  <c r="C23" i="86"/>
  <c r="B23" i="86"/>
  <c r="B26" i="86" s="1"/>
  <c r="A23" i="86"/>
  <c r="B22" i="86"/>
  <c r="J21" i="86"/>
  <c r="I21" i="86"/>
  <c r="H21" i="86"/>
  <c r="B21" i="86"/>
  <c r="J20" i="86"/>
  <c r="I20" i="86"/>
  <c r="H20" i="86"/>
  <c r="B20" i="86"/>
  <c r="J19" i="86"/>
  <c r="I19" i="86"/>
  <c r="H19" i="86"/>
  <c r="B19" i="86"/>
  <c r="J18" i="86"/>
  <c r="E19" i="86" s="1"/>
  <c r="I18" i="86"/>
  <c r="D20" i="86" s="1"/>
  <c r="H18" i="86"/>
  <c r="I17" i="86"/>
  <c r="H17" i="86"/>
  <c r="B17" i="86"/>
  <c r="A17" i="86"/>
  <c r="J16" i="86"/>
  <c r="I16" i="86"/>
  <c r="H16" i="86"/>
  <c r="B16" i="86"/>
  <c r="A16" i="86"/>
  <c r="J15" i="86"/>
  <c r="I15" i="86"/>
  <c r="H15" i="86"/>
  <c r="B15" i="86"/>
  <c r="A15" i="86"/>
  <c r="J14" i="86"/>
  <c r="E18" i="86" s="1"/>
  <c r="I14" i="86"/>
  <c r="H14" i="86"/>
  <c r="B14" i="86"/>
  <c r="A14" i="86"/>
  <c r="J13" i="86"/>
  <c r="I13" i="86"/>
  <c r="H13" i="86"/>
  <c r="B13" i="86"/>
  <c r="A13" i="86"/>
  <c r="J12" i="86"/>
  <c r="E12" i="86" s="1"/>
  <c r="I12" i="86"/>
  <c r="D12" i="86" s="1"/>
  <c r="H12" i="86"/>
  <c r="D4" i="86"/>
  <c r="K6" i="86"/>
  <c r="G3" i="86"/>
  <c r="N2" i="86"/>
  <c r="B2" i="86"/>
  <c r="E16" i="86" l="1"/>
  <c r="D13" i="86"/>
  <c r="D15" i="86"/>
  <c r="D14" i="86"/>
  <c r="D18" i="86"/>
  <c r="E13" i="86"/>
  <c r="D19" i="86"/>
  <c r="D17" i="86"/>
  <c r="E20" i="86"/>
  <c r="D16" i="86"/>
  <c r="E15" i="86"/>
  <c r="E14" i="86"/>
  <c r="B27" i="35"/>
  <c r="U121" i="35" l="1"/>
  <c r="B121" i="35"/>
  <c r="V120" i="35"/>
  <c r="U120" i="35"/>
  <c r="D120" i="35"/>
  <c r="C120" i="35"/>
  <c r="B120" i="35"/>
  <c r="V119" i="35"/>
  <c r="U119" i="35"/>
  <c r="D119" i="35"/>
  <c r="C119" i="35"/>
  <c r="V118" i="35"/>
  <c r="U118" i="35"/>
  <c r="D118" i="35"/>
  <c r="C118" i="35"/>
  <c r="V116" i="35"/>
  <c r="U116" i="35"/>
  <c r="D116" i="35"/>
  <c r="C116" i="35"/>
  <c r="B116" i="35"/>
  <c r="V115" i="35"/>
  <c r="U115" i="35"/>
  <c r="D115" i="35"/>
  <c r="C115" i="35"/>
  <c r="B115" i="35"/>
  <c r="V114" i="35"/>
  <c r="U114" i="35"/>
  <c r="D114" i="35"/>
  <c r="C114" i="35"/>
  <c r="V113" i="35"/>
  <c r="U113" i="35"/>
  <c r="D113" i="35"/>
  <c r="C113" i="35"/>
  <c r="B113" i="35"/>
  <c r="V112" i="35"/>
  <c r="U112" i="35"/>
  <c r="D112" i="35"/>
  <c r="C112" i="35"/>
  <c r="B112" i="35"/>
  <c r="V111" i="35"/>
  <c r="U111" i="35"/>
  <c r="D111" i="35"/>
  <c r="C111" i="35"/>
  <c r="B111" i="35"/>
  <c r="V110" i="35"/>
  <c r="U110" i="35"/>
  <c r="D110" i="35"/>
  <c r="C110" i="35"/>
  <c r="B110" i="35"/>
  <c r="V109" i="35"/>
  <c r="U109" i="35"/>
  <c r="D109" i="35"/>
  <c r="C109" i="35"/>
  <c r="B109" i="35"/>
  <c r="M37" i="25" l="1"/>
  <c r="M36" i="25"/>
  <c r="M26" i="25"/>
  <c r="M35" i="25"/>
  <c r="M28" i="25"/>
  <c r="M27" i="25"/>
  <c r="G1" i="40" l="1"/>
  <c r="F1" i="40"/>
  <c r="E1" i="40"/>
  <c r="D1" i="40"/>
  <c r="T129" i="85" l="1"/>
  <c r="S129" i="85"/>
  <c r="R129" i="85"/>
  <c r="Q129" i="85"/>
  <c r="P129" i="85"/>
  <c r="O129" i="85"/>
  <c r="N129" i="85"/>
  <c r="M129" i="85"/>
  <c r="L129" i="85"/>
  <c r="K129" i="85"/>
  <c r="J129" i="85"/>
  <c r="I129" i="85"/>
  <c r="H129" i="85"/>
  <c r="G129" i="85"/>
  <c r="F129" i="85"/>
  <c r="E129" i="85"/>
  <c r="V128" i="85"/>
  <c r="U128" i="85"/>
  <c r="T128" i="85"/>
  <c r="S128" i="85"/>
  <c r="R128" i="85"/>
  <c r="Q128" i="85"/>
  <c r="P128" i="85"/>
  <c r="O128" i="85"/>
  <c r="N128" i="85"/>
  <c r="M128" i="85"/>
  <c r="L128" i="85"/>
  <c r="K128" i="85"/>
  <c r="J128" i="85"/>
  <c r="I128" i="85"/>
  <c r="H128" i="85"/>
  <c r="G128" i="85"/>
  <c r="F128" i="85"/>
  <c r="E128" i="85"/>
  <c r="D128" i="85"/>
  <c r="C128" i="85"/>
  <c r="B128" i="85"/>
  <c r="U44" i="85"/>
  <c r="T43" i="85"/>
  <c r="S43" i="85"/>
  <c r="R43" i="85"/>
  <c r="Q43" i="85"/>
  <c r="P43" i="85"/>
  <c r="O43" i="85"/>
  <c r="N43" i="85"/>
  <c r="M43" i="85"/>
  <c r="L43" i="85"/>
  <c r="K43" i="85"/>
  <c r="J43" i="85"/>
  <c r="I43" i="85"/>
  <c r="H43" i="85"/>
  <c r="G43" i="85"/>
  <c r="F43" i="85"/>
  <c r="E43" i="85"/>
  <c r="B43" i="85"/>
  <c r="T42" i="85"/>
  <c r="S42" i="85"/>
  <c r="R42" i="85"/>
  <c r="Q42" i="85"/>
  <c r="P42" i="85"/>
  <c r="O42" i="85"/>
  <c r="N42" i="85"/>
  <c r="M42" i="85"/>
  <c r="L42" i="85"/>
  <c r="K42" i="85"/>
  <c r="J42" i="85"/>
  <c r="I42" i="85"/>
  <c r="H42" i="85"/>
  <c r="G42" i="85"/>
  <c r="F42" i="85"/>
  <c r="E42" i="85"/>
  <c r="B42" i="85"/>
  <c r="P18" i="85"/>
  <c r="V12" i="85"/>
  <c r="U12" i="85"/>
  <c r="D12" i="85"/>
  <c r="C12" i="85"/>
  <c r="C45" i="85" s="1"/>
  <c r="B12" i="85"/>
  <c r="A8" i="85"/>
  <c r="V96" i="85" s="1"/>
  <c r="B6" i="85"/>
  <c r="B5" i="85" s="1"/>
  <c r="B4" i="85"/>
  <c r="B3" i="85" s="1"/>
  <c r="B2" i="85"/>
  <c r="B1" i="85" s="1"/>
  <c r="Q14" i="85" l="1"/>
  <c r="K17" i="85"/>
  <c r="D18" i="85"/>
  <c r="K24" i="85"/>
  <c r="Q47" i="85"/>
  <c r="J13" i="85"/>
  <c r="J15" i="85" s="1"/>
  <c r="B14" i="85"/>
  <c r="P14" i="85"/>
  <c r="F16" i="85"/>
  <c r="R16" i="85"/>
  <c r="J17" i="85"/>
  <c r="V17" i="85"/>
  <c r="N18" i="85"/>
  <c r="F21" i="85"/>
  <c r="R21" i="85"/>
  <c r="J24" i="85"/>
  <c r="B25" i="85"/>
  <c r="D28" i="85"/>
  <c r="H29" i="85"/>
  <c r="V29" i="85"/>
  <c r="M30" i="85"/>
  <c r="D32" i="85"/>
  <c r="I47" i="85"/>
  <c r="C56" i="85"/>
  <c r="C114" i="85" s="1"/>
  <c r="R95" i="85"/>
  <c r="M13" i="85"/>
  <c r="G16" i="85"/>
  <c r="U21" i="85"/>
  <c r="C25" i="85"/>
  <c r="B30" i="85"/>
  <c r="V37" i="85"/>
  <c r="G57" i="85"/>
  <c r="B99" i="85"/>
  <c r="N13" i="85"/>
  <c r="R14" i="85"/>
  <c r="V16" i="85"/>
  <c r="M17" i="85"/>
  <c r="E18" i="85"/>
  <c r="Q18" i="85"/>
  <c r="I21" i="85"/>
  <c r="V21" i="85"/>
  <c r="N24" i="85"/>
  <c r="U25" i="85"/>
  <c r="K29" i="85"/>
  <c r="C30" i="85"/>
  <c r="Q30" i="85"/>
  <c r="S57" i="85"/>
  <c r="D14" i="85"/>
  <c r="E14" i="85"/>
  <c r="B13" i="85"/>
  <c r="B15" i="85" s="1"/>
  <c r="O13" i="85"/>
  <c r="H14" i="85"/>
  <c r="T14" i="85"/>
  <c r="J16" i="85"/>
  <c r="B17" i="85"/>
  <c r="N17" i="85"/>
  <c r="F18" i="85"/>
  <c r="T18" i="85"/>
  <c r="J21" i="85"/>
  <c r="B24" i="85"/>
  <c r="O24" i="85"/>
  <c r="V25" i="85"/>
  <c r="N29" i="85"/>
  <c r="E30" i="85"/>
  <c r="R30" i="85"/>
  <c r="B34" i="85"/>
  <c r="G49" i="85"/>
  <c r="B62" i="85"/>
  <c r="E13" i="85"/>
  <c r="E15" i="85" s="1"/>
  <c r="Q13" i="85"/>
  <c r="I14" i="85"/>
  <c r="K16" i="85"/>
  <c r="C17" i="85"/>
  <c r="Q17" i="85"/>
  <c r="H18" i="85"/>
  <c r="U18" i="85"/>
  <c r="M21" i="85"/>
  <c r="C24" i="85"/>
  <c r="P24" i="85"/>
  <c r="D26" i="85"/>
  <c r="D120" i="85" s="1"/>
  <c r="B29" i="85"/>
  <c r="O29" i="85"/>
  <c r="F30" i="85"/>
  <c r="S30" i="85"/>
  <c r="U34" i="85"/>
  <c r="O49" i="85"/>
  <c r="U68" i="85"/>
  <c r="V79" i="85"/>
  <c r="F13" i="85"/>
  <c r="R13" i="85"/>
  <c r="R15" i="85" s="1"/>
  <c r="J14" i="85"/>
  <c r="N16" i="85"/>
  <c r="E17" i="85"/>
  <c r="R17" i="85"/>
  <c r="I18" i="85"/>
  <c r="V18" i="85"/>
  <c r="N21" i="85"/>
  <c r="F24" i="85"/>
  <c r="R24" i="85"/>
  <c r="U26" i="85"/>
  <c r="U120" i="85" s="1"/>
  <c r="C29" i="85"/>
  <c r="P29" i="85"/>
  <c r="I30" i="85"/>
  <c r="U30" i="85"/>
  <c r="V34" i="85"/>
  <c r="F46" i="85"/>
  <c r="B50" i="85"/>
  <c r="N69" i="85"/>
  <c r="U83" i="85"/>
  <c r="S16" i="85"/>
  <c r="G21" i="85"/>
  <c r="J29" i="85"/>
  <c r="N30" i="85"/>
  <c r="M77" i="85"/>
  <c r="H16" i="85"/>
  <c r="G13" i="85"/>
  <c r="U13" i="85"/>
  <c r="L14" i="85"/>
  <c r="O16" i="85"/>
  <c r="F17" i="85"/>
  <c r="S17" i="85"/>
  <c r="L18" i="85"/>
  <c r="B21" i="85"/>
  <c r="O21" i="85"/>
  <c r="G24" i="85"/>
  <c r="S24" i="85"/>
  <c r="V26" i="85"/>
  <c r="V120" i="85" s="1"/>
  <c r="F29" i="85"/>
  <c r="R29" i="85"/>
  <c r="J30" i="85"/>
  <c r="V30" i="85"/>
  <c r="B37" i="85"/>
  <c r="N46" i="85"/>
  <c r="P54" i="85"/>
  <c r="V71" i="85"/>
  <c r="D87" i="85"/>
  <c r="I13" i="85"/>
  <c r="I15" i="85" s="1"/>
  <c r="V13" i="85"/>
  <c r="M14" i="85"/>
  <c r="C16" i="85"/>
  <c r="P16" i="85"/>
  <c r="I17" i="85"/>
  <c r="U17" i="85"/>
  <c r="M18" i="85"/>
  <c r="E21" i="85"/>
  <c r="Q21" i="85"/>
  <c r="H24" i="85"/>
  <c r="V24" i="85"/>
  <c r="V27" i="85" s="1"/>
  <c r="C28" i="85"/>
  <c r="G29" i="85"/>
  <c r="S29" i="85"/>
  <c r="K30" i="85"/>
  <c r="C32" i="85"/>
  <c r="C37" i="85"/>
  <c r="I55" i="85"/>
  <c r="B75" i="85"/>
  <c r="B92" i="85"/>
  <c r="B141" i="85"/>
  <c r="B122" i="85"/>
  <c r="B45" i="85"/>
  <c r="B74" i="85"/>
  <c r="B106" i="85" s="1"/>
  <c r="D141" i="85"/>
  <c r="D122" i="85"/>
  <c r="D74" i="85"/>
  <c r="D106" i="85" s="1"/>
  <c r="D45" i="85"/>
  <c r="V141" i="85"/>
  <c r="V122" i="85"/>
  <c r="V74" i="85"/>
  <c r="V106" i="85" s="1"/>
  <c r="V45" i="85"/>
  <c r="Q15" i="85"/>
  <c r="C141" i="85"/>
  <c r="C122" i="85"/>
  <c r="C74" i="85"/>
  <c r="C106" i="85" s="1"/>
  <c r="U141" i="85"/>
  <c r="U122" i="85"/>
  <c r="H13" i="85"/>
  <c r="H15" i="85" s="1"/>
  <c r="P13" i="85"/>
  <c r="P15" i="85" s="1"/>
  <c r="C14" i="85"/>
  <c r="K14" i="85"/>
  <c r="S14" i="85"/>
  <c r="I16" i="85"/>
  <c r="Q16" i="85"/>
  <c r="D17" i="85"/>
  <c r="L17" i="85"/>
  <c r="T17" i="85"/>
  <c r="G18" i="85"/>
  <c r="O18" i="85"/>
  <c r="H21" i="85"/>
  <c r="P21" i="85"/>
  <c r="I24" i="85"/>
  <c r="Q24" i="85"/>
  <c r="D25" i="85"/>
  <c r="I29" i="85"/>
  <c r="Q29" i="85"/>
  <c r="D30" i="85"/>
  <c r="L30" i="85"/>
  <c r="T30" i="85"/>
  <c r="B32" i="85"/>
  <c r="G46" i="85"/>
  <c r="O46" i="85"/>
  <c r="B47" i="85"/>
  <c r="J47" i="85"/>
  <c r="R47" i="85"/>
  <c r="H49" i="85"/>
  <c r="P49" i="85"/>
  <c r="B52" i="85"/>
  <c r="G54" i="85"/>
  <c r="S54" i="85"/>
  <c r="K55" i="85"/>
  <c r="D56" i="85"/>
  <c r="D114" i="85" s="1"/>
  <c r="H57" i="85"/>
  <c r="V63" i="85"/>
  <c r="B69" i="85"/>
  <c r="O69" i="85"/>
  <c r="D75" i="85"/>
  <c r="U76" i="85"/>
  <c r="P77" i="85"/>
  <c r="B81" i="85"/>
  <c r="C84" i="85"/>
  <c r="I87" i="85"/>
  <c r="V88" i="85"/>
  <c r="R90" i="85"/>
  <c r="V95" i="85"/>
  <c r="U45" i="85"/>
  <c r="H46" i="85"/>
  <c r="P46" i="85"/>
  <c r="C47" i="85"/>
  <c r="K47" i="85"/>
  <c r="S47" i="85"/>
  <c r="I49" i="85"/>
  <c r="Q49" i="85"/>
  <c r="H54" i="85"/>
  <c r="T54" i="85"/>
  <c r="L55" i="85"/>
  <c r="J57" i="85"/>
  <c r="B61" i="85"/>
  <c r="D64" i="85"/>
  <c r="V65" i="85"/>
  <c r="C69" i="85"/>
  <c r="P69" i="85"/>
  <c r="U70" i="85"/>
  <c r="B77" i="85"/>
  <c r="S77" i="85"/>
  <c r="Q87" i="85"/>
  <c r="G89" i="85"/>
  <c r="T90" i="85"/>
  <c r="M96" i="85"/>
  <c r="I46" i="85"/>
  <c r="Q46" i="85"/>
  <c r="D47" i="85"/>
  <c r="L47" i="85"/>
  <c r="T47" i="85"/>
  <c r="B49" i="85"/>
  <c r="J49" i="85"/>
  <c r="R49" i="85"/>
  <c r="U50" i="85"/>
  <c r="I54" i="85"/>
  <c r="O55" i="85"/>
  <c r="K57" i="85"/>
  <c r="U62" i="85"/>
  <c r="U67" i="85"/>
  <c r="F69" i="85"/>
  <c r="R69" i="85"/>
  <c r="C77" i="85"/>
  <c r="T77" i="85"/>
  <c r="S87" i="85"/>
  <c r="I89" i="85"/>
  <c r="U90" i="85"/>
  <c r="N96" i="85"/>
  <c r="C13" i="85"/>
  <c r="C15" i="85" s="1"/>
  <c r="K13" i="85"/>
  <c r="K15" i="85" s="1"/>
  <c r="S13" i="85"/>
  <c r="S15" i="85" s="1"/>
  <c r="F14" i="85"/>
  <c r="N14" i="85"/>
  <c r="N15" i="85" s="1"/>
  <c r="D16" i="85"/>
  <c r="L16" i="85"/>
  <c r="T16" i="85"/>
  <c r="G17" i="85"/>
  <c r="O17" i="85"/>
  <c r="B18" i="85"/>
  <c r="J18" i="85"/>
  <c r="R18" i="85"/>
  <c r="R19" i="85" s="1"/>
  <c r="C21" i="85"/>
  <c r="K21" i="85"/>
  <c r="S21" i="85"/>
  <c r="D24" i="85"/>
  <c r="D27" i="85" s="1"/>
  <c r="L24" i="85"/>
  <c r="T24" i="85"/>
  <c r="B26" i="85"/>
  <c r="D29" i="85"/>
  <c r="L29" i="85"/>
  <c r="T29" i="85"/>
  <c r="G30" i="85"/>
  <c r="O30" i="85"/>
  <c r="U32" i="85"/>
  <c r="C34" i="85"/>
  <c r="D37" i="85"/>
  <c r="B46" i="85"/>
  <c r="J46" i="85"/>
  <c r="R46" i="85"/>
  <c r="E47" i="85"/>
  <c r="M47" i="85"/>
  <c r="U47" i="85"/>
  <c r="C49" i="85"/>
  <c r="K49" i="85"/>
  <c r="S49" i="85"/>
  <c r="K54" i="85"/>
  <c r="P55" i="85"/>
  <c r="U56" i="85"/>
  <c r="N57" i="85"/>
  <c r="V62" i="85"/>
  <c r="G69" i="85"/>
  <c r="S69" i="85"/>
  <c r="D71" i="85"/>
  <c r="U75" i="85"/>
  <c r="V77" i="85"/>
  <c r="E83" i="85"/>
  <c r="T87" i="85"/>
  <c r="Q89" i="85"/>
  <c r="V125" i="85"/>
  <c r="V126" i="85" s="1"/>
  <c r="U125" i="85"/>
  <c r="U126" i="85" s="1"/>
  <c r="S105" i="85"/>
  <c r="K105" i="85"/>
  <c r="C105" i="85"/>
  <c r="D99" i="85"/>
  <c r="V97" i="85"/>
  <c r="N97" i="85"/>
  <c r="F97" i="85"/>
  <c r="S96" i="85"/>
  <c r="K96" i="85"/>
  <c r="C96" i="85"/>
  <c r="P95" i="85"/>
  <c r="H95" i="85"/>
  <c r="U94" i="85"/>
  <c r="D125" i="85"/>
  <c r="D126" i="85" s="1"/>
  <c r="C125" i="85"/>
  <c r="C126" i="85" s="1"/>
  <c r="B125" i="85"/>
  <c r="B126" i="85" s="1"/>
  <c r="P105" i="85"/>
  <c r="H105" i="85"/>
  <c r="D100" i="85"/>
  <c r="S97" i="85"/>
  <c r="K97" i="85"/>
  <c r="C97" i="85"/>
  <c r="P96" i="85"/>
  <c r="H96" i="85"/>
  <c r="U95" i="85"/>
  <c r="M95" i="85"/>
  <c r="E95" i="85"/>
  <c r="O105" i="85"/>
  <c r="G105" i="85"/>
  <c r="C100" i="85"/>
  <c r="R97" i="85"/>
  <c r="J97" i="85"/>
  <c r="B97" i="85"/>
  <c r="O96" i="85"/>
  <c r="G96" i="85"/>
  <c r="T95" i="85"/>
  <c r="L95" i="85"/>
  <c r="D95" i="85"/>
  <c r="U105" i="85"/>
  <c r="T105" i="85"/>
  <c r="F105" i="85"/>
  <c r="V99" i="85"/>
  <c r="M97" i="85"/>
  <c r="U96" i="85"/>
  <c r="I96" i="85"/>
  <c r="Q95" i="85"/>
  <c r="C95" i="85"/>
  <c r="D91" i="85"/>
  <c r="Q90" i="85"/>
  <c r="V89" i="85"/>
  <c r="N89" i="85"/>
  <c r="F89" i="85"/>
  <c r="C88" i="85"/>
  <c r="P87" i="85"/>
  <c r="H87" i="85"/>
  <c r="T83" i="85"/>
  <c r="L83" i="85"/>
  <c r="D83" i="85"/>
  <c r="V81" i="85"/>
  <c r="U78" i="85"/>
  <c r="R77" i="85"/>
  <c r="R105" i="85"/>
  <c r="E105" i="85"/>
  <c r="U99" i="85"/>
  <c r="L97" i="85"/>
  <c r="T96" i="85"/>
  <c r="F96" i="85"/>
  <c r="O95" i="85"/>
  <c r="B95" i="85"/>
  <c r="D94" i="85"/>
  <c r="V92" i="85"/>
  <c r="C91" i="85"/>
  <c r="P90" i="85"/>
  <c r="U89" i="85"/>
  <c r="M89" i="85"/>
  <c r="E89" i="85"/>
  <c r="B88" i="85"/>
  <c r="O87" i="85"/>
  <c r="G87" i="85"/>
  <c r="V84" i="85"/>
  <c r="S83" i="85"/>
  <c r="K83" i="85"/>
  <c r="C83" i="85"/>
  <c r="U81" i="85"/>
  <c r="D78" i="85"/>
  <c r="Q77" i="85"/>
  <c r="Q105" i="85"/>
  <c r="D105" i="85"/>
  <c r="I97" i="85"/>
  <c r="R96" i="85"/>
  <c r="E96" i="85"/>
  <c r="N95" i="85"/>
  <c r="V94" i="85"/>
  <c r="C94" i="85"/>
  <c r="U92" i="85"/>
  <c r="B91" i="85"/>
  <c r="O90" i="85"/>
  <c r="T89" i="85"/>
  <c r="L89" i="85"/>
  <c r="D89" i="85"/>
  <c r="V87" i="85"/>
  <c r="N87" i="85"/>
  <c r="F87" i="85"/>
  <c r="U84" i="85"/>
  <c r="R83" i="85"/>
  <c r="J83" i="85"/>
  <c r="B83" i="85"/>
  <c r="D81" i="85"/>
  <c r="N105" i="85"/>
  <c r="B105" i="85"/>
  <c r="U97" i="85"/>
  <c r="H97" i="85"/>
  <c r="Q96" i="85"/>
  <c r="D96" i="85"/>
  <c r="K95" i="85"/>
  <c r="B94" i="85"/>
  <c r="D92" i="85"/>
  <c r="V90" i="85"/>
  <c r="N90" i="85"/>
  <c r="S89" i="85"/>
  <c r="K89" i="85"/>
  <c r="C89" i="85"/>
  <c r="U87" i="85"/>
  <c r="M87" i="85"/>
  <c r="E87" i="85"/>
  <c r="D84" i="85"/>
  <c r="Q83" i="85"/>
  <c r="I83" i="85"/>
  <c r="V82" i="85"/>
  <c r="M105" i="85"/>
  <c r="V105" i="85"/>
  <c r="J105" i="85"/>
  <c r="P97" i="85"/>
  <c r="D97" i="85"/>
  <c r="L96" i="85"/>
  <c r="S95" i="85"/>
  <c r="G95" i="85"/>
  <c r="V91" i="85"/>
  <c r="S90" i="85"/>
  <c r="C90" i="85"/>
  <c r="P89" i="85"/>
  <c r="H89" i="85"/>
  <c r="U88" i="85"/>
  <c r="R87" i="85"/>
  <c r="J87" i="85"/>
  <c r="B87" i="85"/>
  <c r="V83" i="85"/>
  <c r="N83" i="85"/>
  <c r="F83" i="85"/>
  <c r="C82" i="85"/>
  <c r="L105" i="85"/>
  <c r="T97" i="85"/>
  <c r="J96" i="85"/>
  <c r="M90" i="85"/>
  <c r="O89" i="85"/>
  <c r="L87" i="85"/>
  <c r="M83" i="85"/>
  <c r="O77" i="85"/>
  <c r="B76" i="85"/>
  <c r="U69" i="85"/>
  <c r="M69" i="85"/>
  <c r="E69" i="85"/>
  <c r="C64" i="85"/>
  <c r="D62" i="85"/>
  <c r="V57" i="85"/>
  <c r="M57" i="85"/>
  <c r="E57" i="85"/>
  <c r="B56" i="85"/>
  <c r="N55" i="85"/>
  <c r="F55" i="85"/>
  <c r="R54" i="85"/>
  <c r="J54" i="85"/>
  <c r="I105" i="85"/>
  <c r="Q97" i="85"/>
  <c r="B96" i="85"/>
  <c r="L90" i="85"/>
  <c r="J89" i="85"/>
  <c r="K87" i="85"/>
  <c r="H83" i="85"/>
  <c r="D79" i="85"/>
  <c r="C78" i="85"/>
  <c r="N77" i="85"/>
  <c r="D77" i="85"/>
  <c r="V75" i="85"/>
  <c r="U72" i="85"/>
  <c r="B71" i="85"/>
  <c r="T69" i="85"/>
  <c r="L69" i="85"/>
  <c r="D69" i="85"/>
  <c r="B66" i="85"/>
  <c r="B64" i="85"/>
  <c r="C62" i="85"/>
  <c r="T57" i="85"/>
  <c r="L57" i="85"/>
  <c r="D57" i="85"/>
  <c r="M55" i="85"/>
  <c r="Q54" i="85"/>
  <c r="C99" i="85"/>
  <c r="C102" i="85" s="1"/>
  <c r="O97" i="85"/>
  <c r="E97" i="85"/>
  <c r="J95" i="85"/>
  <c r="C92" i="85"/>
  <c r="D90" i="85"/>
  <c r="B89" i="85"/>
  <c r="D88" i="85"/>
  <c r="C87" i="85"/>
  <c r="B84" i="85"/>
  <c r="U82" i="85"/>
  <c r="B82" i="85"/>
  <c r="C81" i="85"/>
  <c r="C85" i="85" s="1"/>
  <c r="U79" i="85"/>
  <c r="V78" i="85"/>
  <c r="U77" i="85"/>
  <c r="V76" i="85"/>
  <c r="C75" i="85"/>
  <c r="U73" i="85"/>
  <c r="Q69" i="85"/>
  <c r="I69" i="85"/>
  <c r="C65" i="85"/>
  <c r="U61" i="85"/>
  <c r="Q57" i="85"/>
  <c r="I57" i="85"/>
  <c r="V56" i="85"/>
  <c r="R55" i="85"/>
  <c r="J55" i="85"/>
  <c r="B55" i="85"/>
  <c r="N54" i="85"/>
  <c r="F54" i="85"/>
  <c r="D13" i="85"/>
  <c r="L13" i="85"/>
  <c r="L15" i="85" s="1"/>
  <c r="L19" i="85" s="1"/>
  <c r="T13" i="85"/>
  <c r="T15" i="85" s="1"/>
  <c r="T19" i="85" s="1"/>
  <c r="G14" i="85"/>
  <c r="O14" i="85"/>
  <c r="O15" i="85" s="1"/>
  <c r="E16" i="85"/>
  <c r="E19" i="85" s="1"/>
  <c r="M16" i="85"/>
  <c r="U16" i="85"/>
  <c r="H17" i="85"/>
  <c r="P17" i="85"/>
  <c r="C18" i="85"/>
  <c r="K18" i="85"/>
  <c r="S18" i="85"/>
  <c r="D21" i="85"/>
  <c r="L21" i="85"/>
  <c r="T21" i="85"/>
  <c r="E24" i="85"/>
  <c r="M24" i="85"/>
  <c r="U24" i="85"/>
  <c r="U27" i="85" s="1"/>
  <c r="C26" i="85"/>
  <c r="C120" i="85" s="1"/>
  <c r="B28" i="85"/>
  <c r="E29" i="85"/>
  <c r="M29" i="85"/>
  <c r="U29" i="85"/>
  <c r="H30" i="85"/>
  <c r="P30" i="85"/>
  <c r="V32" i="85"/>
  <c r="D34" i="85"/>
  <c r="U37" i="85"/>
  <c r="C46" i="85"/>
  <c r="K46" i="85"/>
  <c r="S46" i="85"/>
  <c r="F47" i="85"/>
  <c r="N47" i="85"/>
  <c r="V47" i="85"/>
  <c r="D49" i="85"/>
  <c r="L49" i="85"/>
  <c r="T49" i="85"/>
  <c r="B54" i="85"/>
  <c r="L54" i="85"/>
  <c r="Q55" i="85"/>
  <c r="B57" i="85"/>
  <c r="O57" i="85"/>
  <c r="B63" i="85"/>
  <c r="V64" i="85"/>
  <c r="H69" i="85"/>
  <c r="V69" i="85"/>
  <c r="E71" i="85"/>
  <c r="C76" i="85"/>
  <c r="B78" i="85"/>
  <c r="G83" i="85"/>
  <c r="R89" i="85"/>
  <c r="G97" i="85"/>
  <c r="D46" i="85"/>
  <c r="L46" i="85"/>
  <c r="T46" i="85"/>
  <c r="G47" i="85"/>
  <c r="O47" i="85"/>
  <c r="B48" i="85"/>
  <c r="B73" i="85" s="1"/>
  <c r="E49" i="85"/>
  <c r="M49" i="85"/>
  <c r="U49" i="85"/>
  <c r="M54" i="85"/>
  <c r="G55" i="85"/>
  <c r="S55" i="85"/>
  <c r="P57" i="85"/>
  <c r="D63" i="85"/>
  <c r="B65" i="85"/>
  <c r="J69" i="85"/>
  <c r="U74" i="85"/>
  <c r="U106" i="85" s="1"/>
  <c r="D76" i="85"/>
  <c r="B79" i="85"/>
  <c r="O83" i="85"/>
  <c r="B90" i="85"/>
  <c r="F95" i="85"/>
  <c r="E46" i="85"/>
  <c r="M46" i="85"/>
  <c r="H47" i="85"/>
  <c r="P47" i="85"/>
  <c r="F49" i="85"/>
  <c r="N49" i="85"/>
  <c r="V49" i="85"/>
  <c r="O54" i="85"/>
  <c r="H55" i="85"/>
  <c r="T55" i="85"/>
  <c r="F57" i="85"/>
  <c r="R57" i="85"/>
  <c r="D65" i="85"/>
  <c r="K69" i="85"/>
  <c r="U71" i="85"/>
  <c r="L77" i="85"/>
  <c r="C79" i="85"/>
  <c r="D82" i="85"/>
  <c r="P83" i="85"/>
  <c r="U91" i="85"/>
  <c r="I95" i="85"/>
  <c r="B43" i="35"/>
  <c r="M15" i="85" l="1"/>
  <c r="M19" i="85"/>
  <c r="O19" i="85"/>
  <c r="O22" i="85" s="1"/>
  <c r="D102" i="85"/>
  <c r="D109" i="85" s="1"/>
  <c r="G15" i="85"/>
  <c r="G19" i="85" s="1"/>
  <c r="G22" i="85" s="1"/>
  <c r="B80" i="85"/>
  <c r="V98" i="85"/>
  <c r="N19" i="85"/>
  <c r="N22" i="85" s="1"/>
  <c r="D15" i="85"/>
  <c r="D19" i="85" s="1"/>
  <c r="F15" i="85"/>
  <c r="F19" i="85" s="1"/>
  <c r="I19" i="85"/>
  <c r="I20" i="85" s="1"/>
  <c r="E20" i="85"/>
  <c r="E22" i="85"/>
  <c r="F22" i="85"/>
  <c r="F20" i="85"/>
  <c r="R22" i="85"/>
  <c r="R20" i="85"/>
  <c r="M20" i="85"/>
  <c r="M22" i="85"/>
  <c r="D127" i="85"/>
  <c r="D129" i="85"/>
  <c r="D117" i="85"/>
  <c r="U127" i="85"/>
  <c r="U117" i="85"/>
  <c r="T22" i="85"/>
  <c r="T20" i="85"/>
  <c r="B98" i="85"/>
  <c r="B51" i="85"/>
  <c r="L22" i="85"/>
  <c r="L20" i="85"/>
  <c r="D98" i="85"/>
  <c r="C107" i="85"/>
  <c r="C93" i="85"/>
  <c r="S19" i="85"/>
  <c r="C27" i="85"/>
  <c r="V127" i="85"/>
  <c r="V117" i="85"/>
  <c r="D20" i="85"/>
  <c r="D22" i="85"/>
  <c r="C98" i="85"/>
  <c r="U98" i="85"/>
  <c r="K19" i="85"/>
  <c r="Q19" i="85"/>
  <c r="J19" i="85"/>
  <c r="B93" i="85"/>
  <c r="B107" i="85"/>
  <c r="V85" i="85"/>
  <c r="C19" i="85"/>
  <c r="V107" i="85"/>
  <c r="V93" i="85"/>
  <c r="D107" i="85"/>
  <c r="D93" i="85"/>
  <c r="V80" i="85"/>
  <c r="U85" i="85"/>
  <c r="D80" i="85"/>
  <c r="P19" i="85"/>
  <c r="B129" i="85"/>
  <c r="B127" i="85"/>
  <c r="B117" i="85"/>
  <c r="C80" i="85"/>
  <c r="C109" i="85"/>
  <c r="C110" i="85"/>
  <c r="C111" i="85"/>
  <c r="U107" i="85"/>
  <c r="U93" i="85"/>
  <c r="D85" i="85"/>
  <c r="U80" i="85"/>
  <c r="B59" i="85"/>
  <c r="H19" i="85"/>
  <c r="C129" i="85"/>
  <c r="C127" i="85"/>
  <c r="C117" i="85"/>
  <c r="B67" i="85"/>
  <c r="B39" i="85"/>
  <c r="B44" i="85" s="1"/>
  <c r="B85" i="85"/>
  <c r="D16" i="14"/>
  <c r="D15" i="14"/>
  <c r="D14" i="14"/>
  <c r="B86" i="85" l="1"/>
  <c r="B123" i="85"/>
  <c r="B124" i="85" s="1"/>
  <c r="I22" i="85"/>
  <c r="D111" i="85"/>
  <c r="D110" i="85"/>
  <c r="N20" i="85"/>
  <c r="G20" i="85"/>
  <c r="O20" i="85"/>
  <c r="D123" i="85"/>
  <c r="D124" i="85" s="1"/>
  <c r="D115" i="85"/>
  <c r="D86" i="85"/>
  <c r="D23" i="85"/>
  <c r="D31" i="85"/>
  <c r="D33" i="85" s="1"/>
  <c r="D35" i="85" s="1"/>
  <c r="U103" i="85"/>
  <c r="U116" i="85"/>
  <c r="U112" i="85"/>
  <c r="U108" i="85"/>
  <c r="U113" i="85" s="1"/>
  <c r="J20" i="85"/>
  <c r="J22" i="85"/>
  <c r="C108" i="85"/>
  <c r="C113" i="85" s="1"/>
  <c r="C112" i="85"/>
  <c r="B121" i="85"/>
  <c r="B60" i="85"/>
  <c r="B68" i="85" s="1"/>
  <c r="B70" i="85" s="1"/>
  <c r="B72" i="85" s="1"/>
  <c r="M23" i="85"/>
  <c r="F23" i="85"/>
  <c r="I23" i="85"/>
  <c r="O23" i="85"/>
  <c r="C116" i="85"/>
  <c r="C103" i="85"/>
  <c r="C104" i="85" s="1"/>
  <c r="V116" i="85"/>
  <c r="V103" i="85"/>
  <c r="G23" i="85"/>
  <c r="V108" i="85"/>
  <c r="V112" i="85"/>
  <c r="Q20" i="85"/>
  <c r="Q22" i="85"/>
  <c r="E23" i="85"/>
  <c r="D116" i="85"/>
  <c r="D103" i="85"/>
  <c r="D104" i="85" s="1"/>
  <c r="B103" i="85"/>
  <c r="B116" i="85"/>
  <c r="K22" i="85"/>
  <c r="K20" i="85"/>
  <c r="L23" i="85"/>
  <c r="B115" i="85"/>
  <c r="V123" i="85"/>
  <c r="V124" i="85" s="1"/>
  <c r="V115" i="85"/>
  <c r="V86" i="85"/>
  <c r="B108" i="85"/>
  <c r="N23" i="85"/>
  <c r="H20" i="85"/>
  <c r="H22" i="85"/>
  <c r="D108" i="85"/>
  <c r="D113" i="85" s="1"/>
  <c r="D112" i="85"/>
  <c r="C22" i="85"/>
  <c r="C20" i="85"/>
  <c r="T23" i="85"/>
  <c r="U115" i="85"/>
  <c r="U123" i="85"/>
  <c r="U124" i="85" s="1"/>
  <c r="U86" i="85"/>
  <c r="C123" i="85"/>
  <c r="C124" i="85" s="1"/>
  <c r="C115" i="85"/>
  <c r="C86" i="85"/>
  <c r="P20" i="85"/>
  <c r="P22" i="85"/>
  <c r="S22" i="85"/>
  <c r="S20" i="85"/>
  <c r="R23" i="85"/>
  <c r="U44" i="35"/>
  <c r="C31" i="85" l="1"/>
  <c r="C33" i="85" s="1"/>
  <c r="C35" i="85" s="1"/>
  <c r="C23" i="85"/>
  <c r="D118" i="85"/>
  <c r="D119" i="85"/>
  <c r="D42" i="85"/>
  <c r="D38" i="85"/>
  <c r="D36" i="85"/>
  <c r="Q23" i="85"/>
  <c r="H23" i="85"/>
  <c r="K23" i="85"/>
  <c r="S23" i="85"/>
  <c r="P23" i="85"/>
  <c r="J23" i="85"/>
  <c r="F27" i="83"/>
  <c r="F26" i="83"/>
  <c r="E27" i="83"/>
  <c r="E26" i="83"/>
  <c r="D27" i="83"/>
  <c r="C27" i="83"/>
  <c r="D26" i="83"/>
  <c r="C26" i="83"/>
  <c r="B27" i="83"/>
  <c r="B26" i="83"/>
  <c r="D15" i="83"/>
  <c r="D14" i="83"/>
  <c r="I92" i="83"/>
  <c r="N92" i="83" s="1"/>
  <c r="N95" i="83" s="1"/>
  <c r="N17" i="83" s="1"/>
  <c r="N18" i="83" s="1"/>
  <c r="B90" i="83"/>
  <c r="D66" i="83"/>
  <c r="H54" i="83"/>
  <c r="D54" i="83"/>
  <c r="D53" i="83"/>
  <c r="D55" i="83" s="1"/>
  <c r="D46" i="83"/>
  <c r="D45" i="83"/>
  <c r="D44" i="83"/>
  <c r="H53" i="83" s="1"/>
  <c r="D43" i="83"/>
  <c r="F38" i="83"/>
  <c r="E38" i="83"/>
  <c r="D38" i="83"/>
  <c r="C38" i="83"/>
  <c r="B38" i="83"/>
  <c r="F37" i="83"/>
  <c r="E37" i="83"/>
  <c r="D37" i="83"/>
  <c r="C37" i="83"/>
  <c r="B37" i="83"/>
  <c r="F36" i="83"/>
  <c r="E36" i="83"/>
  <c r="D36" i="83"/>
  <c r="C36" i="83"/>
  <c r="B36" i="83"/>
  <c r="F35" i="83"/>
  <c r="E35" i="83"/>
  <c r="D35" i="83"/>
  <c r="C35" i="83"/>
  <c r="B35" i="83"/>
  <c r="F34" i="83"/>
  <c r="E34" i="83"/>
  <c r="D34" i="83"/>
  <c r="C34" i="83"/>
  <c r="B34" i="83"/>
  <c r="F33" i="83"/>
  <c r="E33" i="83"/>
  <c r="D33" i="83"/>
  <c r="C33" i="83"/>
  <c r="B33" i="83"/>
  <c r="C32" i="83"/>
  <c r="B32" i="83"/>
  <c r="C31" i="83"/>
  <c r="B31" i="83"/>
  <c r="C30" i="83"/>
  <c r="B30" i="83"/>
  <c r="C29" i="83"/>
  <c r="B29" i="83"/>
  <c r="C28" i="83"/>
  <c r="B28" i="83"/>
  <c r="G22" i="83"/>
  <c r="D22" i="83"/>
  <c r="N16" i="83"/>
  <c r="G11" i="83"/>
  <c r="C10" i="83"/>
  <c r="P8" i="83"/>
  <c r="D17" i="14"/>
  <c r="D13" i="14"/>
  <c r="D12" i="14"/>
  <c r="C119" i="85" l="1"/>
  <c r="C118" i="85"/>
  <c r="C42" i="85"/>
  <c r="C38" i="85"/>
  <c r="C36" i="85"/>
  <c r="H55" i="83"/>
  <c r="D39" i="83"/>
  <c r="C76" i="14"/>
  <c r="C77" i="14" s="1"/>
  <c r="C78" i="14" s="1"/>
  <c r="C79" i="14" s="1"/>
  <c r="W348" i="40" l="1"/>
  <c r="V348" i="40"/>
  <c r="U348" i="40"/>
  <c r="T348" i="40"/>
  <c r="S348" i="40"/>
  <c r="R348" i="40"/>
  <c r="Q348" i="40"/>
  <c r="P348" i="40"/>
  <c r="O348" i="40"/>
  <c r="F49" i="56"/>
  <c r="E49" i="56"/>
  <c r="D49" i="56"/>
  <c r="A8" i="35" l="1"/>
  <c r="B2" i="35"/>
  <c r="B1" i="35" s="1"/>
  <c r="B4" i="35"/>
  <c r="B13" i="35" l="1"/>
  <c r="U69" i="35"/>
  <c r="U50" i="35"/>
  <c r="U72" i="35"/>
  <c r="U73" i="35"/>
  <c r="U49" i="35"/>
  <c r="U70" i="35"/>
  <c r="U47" i="35"/>
  <c r="U68" i="35"/>
  <c r="U67" i="35"/>
  <c r="U62" i="35"/>
  <c r="U61" i="35"/>
  <c r="U71" i="35"/>
  <c r="U56" i="35"/>
  <c r="W384" i="40"/>
  <c r="V384" i="40"/>
  <c r="U384" i="40"/>
  <c r="T384" i="40"/>
  <c r="S384" i="40"/>
  <c r="R384" i="40"/>
  <c r="Q384" i="40"/>
  <c r="P384" i="40"/>
  <c r="O384" i="40"/>
  <c r="H231" i="40"/>
  <c r="I231" i="40" s="1"/>
  <c r="J231" i="40" s="1"/>
  <c r="K231" i="40" s="1"/>
  <c r="L231" i="40" s="1"/>
  <c r="M231" i="40" s="1"/>
  <c r="N231" i="40" s="1"/>
  <c r="O231" i="40" s="1"/>
  <c r="P231" i="40" s="1"/>
  <c r="Q231" i="40" s="1"/>
  <c r="R231" i="40" s="1"/>
  <c r="S231" i="40" s="1"/>
  <c r="T231" i="40" s="1"/>
  <c r="U231" i="40" s="1"/>
  <c r="V231" i="40" s="1"/>
  <c r="W231" i="40" s="1"/>
  <c r="H230" i="40"/>
  <c r="I230" i="40" s="1"/>
  <c r="J230" i="40" s="1"/>
  <c r="K230" i="40" s="1"/>
  <c r="L230" i="40" s="1"/>
  <c r="M230" i="40" s="1"/>
  <c r="N230" i="40" s="1"/>
  <c r="O230" i="40" s="1"/>
  <c r="P230" i="40" s="1"/>
  <c r="Q230" i="40" s="1"/>
  <c r="R230" i="40" s="1"/>
  <c r="S230" i="40" s="1"/>
  <c r="T230" i="40" s="1"/>
  <c r="U230" i="40" s="1"/>
  <c r="V230" i="40" s="1"/>
  <c r="W230" i="40" s="1"/>
  <c r="H303" i="40"/>
  <c r="I303" i="40" s="1"/>
  <c r="J303" i="40" s="1"/>
  <c r="K303" i="40" s="1"/>
  <c r="L303" i="40" s="1"/>
  <c r="M303" i="40" s="1"/>
  <c r="N303" i="40" s="1"/>
  <c r="O303" i="40" s="1"/>
  <c r="P303" i="40" s="1"/>
  <c r="Q303" i="40" s="1"/>
  <c r="R303" i="40" s="1"/>
  <c r="S303" i="40" s="1"/>
  <c r="T303" i="40" s="1"/>
  <c r="U303" i="40" s="1"/>
  <c r="V303" i="40" s="1"/>
  <c r="W303" i="40" s="1"/>
  <c r="H296" i="40"/>
  <c r="I296" i="40" s="1"/>
  <c r="J296" i="40" s="1"/>
  <c r="K296" i="40" s="1"/>
  <c r="L296" i="40" s="1"/>
  <c r="M296" i="40" s="1"/>
  <c r="N296" i="40" s="1"/>
  <c r="O296" i="40" s="1"/>
  <c r="P296" i="40" s="1"/>
  <c r="Q296" i="40" s="1"/>
  <c r="R296" i="40" s="1"/>
  <c r="S296" i="40" s="1"/>
  <c r="T296" i="40" s="1"/>
  <c r="U296" i="40" s="1"/>
  <c r="V296" i="40" s="1"/>
  <c r="W296" i="40" s="1"/>
  <c r="H294" i="40"/>
  <c r="I294" i="40" s="1"/>
  <c r="J294" i="40" s="1"/>
  <c r="K294" i="40" s="1"/>
  <c r="L294" i="40" s="1"/>
  <c r="M294" i="40" s="1"/>
  <c r="N294" i="40" s="1"/>
  <c r="O294" i="40" s="1"/>
  <c r="P294" i="40" s="1"/>
  <c r="Q294" i="40" s="1"/>
  <c r="R294" i="40" s="1"/>
  <c r="S294" i="40" s="1"/>
  <c r="T294" i="40" s="1"/>
  <c r="U294" i="40" s="1"/>
  <c r="V294" i="40" s="1"/>
  <c r="W294" i="40" s="1"/>
  <c r="H291" i="40"/>
  <c r="I291" i="40" s="1"/>
  <c r="J291" i="40" s="1"/>
  <c r="K291" i="40" s="1"/>
  <c r="L291" i="40" s="1"/>
  <c r="M291" i="40" s="1"/>
  <c r="N291" i="40" s="1"/>
  <c r="O291" i="40" s="1"/>
  <c r="P291" i="40" s="1"/>
  <c r="Q291" i="40" s="1"/>
  <c r="R291" i="40" s="1"/>
  <c r="S291" i="40" s="1"/>
  <c r="T291" i="40" s="1"/>
  <c r="U291" i="40" s="1"/>
  <c r="V291" i="40" s="1"/>
  <c r="W291" i="40" s="1"/>
  <c r="H220" i="40"/>
  <c r="I220" i="40" s="1"/>
  <c r="J220" i="40" s="1"/>
  <c r="K220" i="40" s="1"/>
  <c r="L220" i="40" s="1"/>
  <c r="M220" i="40" s="1"/>
  <c r="N220" i="40" s="1"/>
  <c r="O220" i="40" s="1"/>
  <c r="P220" i="40" s="1"/>
  <c r="Q220" i="40" s="1"/>
  <c r="R220" i="40" s="1"/>
  <c r="S220" i="40" s="1"/>
  <c r="T220" i="40" s="1"/>
  <c r="U220" i="40" s="1"/>
  <c r="V220" i="40" s="1"/>
  <c r="W220" i="40" s="1"/>
  <c r="W218" i="40"/>
  <c r="V218" i="40"/>
  <c r="U218" i="40"/>
  <c r="T218" i="40"/>
  <c r="S218" i="40"/>
  <c r="R218" i="40"/>
  <c r="Q218" i="40"/>
  <c r="P218" i="40"/>
  <c r="O218" i="40"/>
  <c r="W370" i="40"/>
  <c r="V370" i="40"/>
  <c r="U370" i="40"/>
  <c r="T370" i="40"/>
  <c r="S370" i="40"/>
  <c r="R370" i="40"/>
  <c r="Q370" i="40"/>
  <c r="P370" i="40"/>
  <c r="O370" i="40"/>
  <c r="W371" i="40"/>
  <c r="V371" i="40"/>
  <c r="U371" i="40"/>
  <c r="T371" i="40"/>
  <c r="S371" i="40"/>
  <c r="R371" i="40"/>
  <c r="Q371" i="40"/>
  <c r="P371" i="40"/>
  <c r="O371" i="40"/>
  <c r="H101" i="40" l="1"/>
  <c r="H110" i="40" s="1"/>
  <c r="I101" i="40" l="1"/>
  <c r="J101" i="40" s="1"/>
  <c r="K101" i="40" s="1"/>
  <c r="L101" i="40" s="1"/>
  <c r="M101" i="40" s="1"/>
  <c r="N101" i="40" s="1"/>
  <c r="O101" i="40" s="1"/>
  <c r="P101" i="40" s="1"/>
  <c r="Q101" i="40" s="1"/>
  <c r="R101" i="40" s="1"/>
  <c r="S101" i="40" s="1"/>
  <c r="T101" i="40" s="1"/>
  <c r="U101" i="40" s="1"/>
  <c r="V101" i="40" s="1"/>
  <c r="W101" i="40" s="1"/>
  <c r="W111" i="40"/>
  <c r="V111" i="40"/>
  <c r="U111" i="40"/>
  <c r="T111" i="40"/>
  <c r="S111" i="40"/>
  <c r="R111" i="40"/>
  <c r="Q111" i="40"/>
  <c r="P111" i="40"/>
  <c r="O111" i="40"/>
  <c r="H357" i="40"/>
  <c r="W351" i="40"/>
  <c r="V351" i="40"/>
  <c r="U351" i="40"/>
  <c r="T351" i="40"/>
  <c r="S351" i="40"/>
  <c r="R351" i="40"/>
  <c r="Q351" i="40"/>
  <c r="P351" i="40"/>
  <c r="O351" i="40"/>
  <c r="L16" i="74"/>
  <c r="K16" i="74"/>
  <c r="J16" i="74"/>
  <c r="I16" i="74"/>
  <c r="H16" i="74"/>
  <c r="L15" i="74"/>
  <c r="K15" i="74"/>
  <c r="J15" i="74"/>
  <c r="I15" i="74"/>
  <c r="H15" i="74"/>
  <c r="G16" i="74"/>
  <c r="G15" i="74"/>
  <c r="F16" i="74"/>
  <c r="F15" i="74"/>
  <c r="W26" i="40"/>
  <c r="V26" i="40"/>
  <c r="U26" i="40"/>
  <c r="T26" i="40"/>
  <c r="S26" i="40"/>
  <c r="R26" i="40"/>
  <c r="Q26" i="40"/>
  <c r="P26" i="40"/>
  <c r="O26" i="40"/>
  <c r="N26" i="40"/>
  <c r="M26" i="40"/>
  <c r="L26" i="40"/>
  <c r="K26" i="40"/>
  <c r="J26" i="40"/>
  <c r="I26" i="40"/>
  <c r="H26" i="40"/>
  <c r="F5001" i="40" l="1"/>
  <c r="E46" i="74" l="1"/>
  <c r="F46" i="74" s="1"/>
  <c r="G46" i="74" s="1"/>
  <c r="H46" i="74" s="1"/>
  <c r="I46" i="74" s="1"/>
  <c r="J46" i="74" s="1"/>
  <c r="K46" i="74" s="1"/>
  <c r="L46" i="74" s="1"/>
  <c r="D46" i="74"/>
  <c r="C46" i="74"/>
  <c r="B46" i="74"/>
  <c r="E45" i="74"/>
  <c r="D45" i="74"/>
  <c r="C45" i="74"/>
  <c r="C30" i="74"/>
  <c r="H234" i="40"/>
  <c r="I234" i="40" s="1"/>
  <c r="J234" i="40" s="1"/>
  <c r="K234" i="40" s="1"/>
  <c r="L234" i="40" s="1"/>
  <c r="M234" i="40" s="1"/>
  <c r="N234" i="40" s="1"/>
  <c r="O234" i="40" s="1"/>
  <c r="P234" i="40" s="1"/>
  <c r="Q234" i="40" s="1"/>
  <c r="R234" i="40" s="1"/>
  <c r="S234" i="40" s="1"/>
  <c r="T234" i="40" s="1"/>
  <c r="U234" i="40" s="1"/>
  <c r="V234" i="40" s="1"/>
  <c r="W234" i="40" s="1"/>
  <c r="H232" i="40"/>
  <c r="I232" i="40" s="1"/>
  <c r="J232" i="40" s="1"/>
  <c r="K232" i="40" s="1"/>
  <c r="L232" i="40" s="1"/>
  <c r="M232" i="40" s="1"/>
  <c r="N232" i="40" s="1"/>
  <c r="O232" i="40" s="1"/>
  <c r="P232" i="40" s="1"/>
  <c r="Q232" i="40" s="1"/>
  <c r="R232" i="40" s="1"/>
  <c r="S232" i="40" s="1"/>
  <c r="T232" i="40" s="1"/>
  <c r="U232" i="40" s="1"/>
  <c r="V232" i="40" s="1"/>
  <c r="W232" i="40" s="1"/>
  <c r="H202" i="40"/>
  <c r="I202" i="40" s="1"/>
  <c r="J202" i="40" s="1"/>
  <c r="K202" i="40" s="1"/>
  <c r="L202" i="40" s="1"/>
  <c r="M202" i="40" s="1"/>
  <c r="N202" i="40" s="1"/>
  <c r="O202" i="40" s="1"/>
  <c r="P202" i="40" s="1"/>
  <c r="Q202" i="40" s="1"/>
  <c r="R202" i="40" s="1"/>
  <c r="S202" i="40" s="1"/>
  <c r="T202" i="40" s="1"/>
  <c r="U202" i="40" s="1"/>
  <c r="V202" i="40" s="1"/>
  <c r="W202" i="40" s="1"/>
  <c r="H207" i="40"/>
  <c r="I207" i="40" s="1"/>
  <c r="J207" i="40" s="1"/>
  <c r="K207" i="40" s="1"/>
  <c r="L207" i="40" s="1"/>
  <c r="M207" i="40" s="1"/>
  <c r="N207" i="40" s="1"/>
  <c r="O207" i="40" s="1"/>
  <c r="P207" i="40" s="1"/>
  <c r="Q207" i="40" s="1"/>
  <c r="R207" i="40" s="1"/>
  <c r="S207" i="40" s="1"/>
  <c r="T207" i="40" s="1"/>
  <c r="U207" i="40" s="1"/>
  <c r="V207" i="40" s="1"/>
  <c r="W207" i="40" s="1"/>
  <c r="H206" i="40"/>
  <c r="I206" i="40" s="1"/>
  <c r="J206" i="40" s="1"/>
  <c r="K206" i="40" s="1"/>
  <c r="L206" i="40" s="1"/>
  <c r="M206" i="40" s="1"/>
  <c r="N206" i="40" s="1"/>
  <c r="O206" i="40" s="1"/>
  <c r="P206" i="40" s="1"/>
  <c r="Q206" i="40" s="1"/>
  <c r="R206" i="40" s="1"/>
  <c r="S206" i="40" s="1"/>
  <c r="T206" i="40" s="1"/>
  <c r="U206" i="40" s="1"/>
  <c r="V206" i="40" s="1"/>
  <c r="W206" i="40" s="1"/>
  <c r="H205" i="40"/>
  <c r="I205" i="40" s="1"/>
  <c r="J205" i="40" s="1"/>
  <c r="K205" i="40" s="1"/>
  <c r="L205" i="40" s="1"/>
  <c r="M205" i="40" s="1"/>
  <c r="N205" i="40" s="1"/>
  <c r="O205" i="40" s="1"/>
  <c r="P205" i="40" s="1"/>
  <c r="Q205" i="40" s="1"/>
  <c r="R205" i="40" s="1"/>
  <c r="S205" i="40" s="1"/>
  <c r="T205" i="40" s="1"/>
  <c r="U205" i="40" s="1"/>
  <c r="V205" i="40" s="1"/>
  <c r="W205" i="40" s="1"/>
  <c r="W184" i="40"/>
  <c r="V184" i="40"/>
  <c r="U184" i="40"/>
  <c r="T184" i="40"/>
  <c r="S184" i="40"/>
  <c r="R184" i="40"/>
  <c r="Q184" i="40"/>
  <c r="P184" i="40"/>
  <c r="O184" i="40"/>
  <c r="W95" i="40"/>
  <c r="V95" i="40"/>
  <c r="U95" i="40"/>
  <c r="T95" i="40"/>
  <c r="S95" i="40"/>
  <c r="R95" i="40"/>
  <c r="Q95" i="40"/>
  <c r="P95" i="40"/>
  <c r="O95" i="40"/>
  <c r="W90" i="40"/>
  <c r="V90" i="40"/>
  <c r="U90" i="40"/>
  <c r="T90" i="40"/>
  <c r="S90" i="40"/>
  <c r="R90" i="40"/>
  <c r="Q90" i="40"/>
  <c r="P90" i="40"/>
  <c r="O90" i="40"/>
  <c r="B6" i="35"/>
  <c r="J26" i="81" l="1"/>
  <c r="I26" i="81"/>
  <c r="H26" i="81"/>
  <c r="G26" i="81"/>
  <c r="F26" i="81"/>
  <c r="E26" i="81"/>
  <c r="D26" i="81"/>
  <c r="J24" i="81"/>
  <c r="I24" i="81"/>
  <c r="H24" i="81"/>
  <c r="G24" i="81"/>
  <c r="F24" i="81"/>
  <c r="E24" i="81"/>
  <c r="D24" i="81"/>
  <c r="B17" i="81"/>
  <c r="J39" i="81"/>
  <c r="I39" i="81"/>
  <c r="H39" i="81"/>
  <c r="G39" i="81"/>
  <c r="F39" i="81"/>
  <c r="E39" i="81"/>
  <c r="D39" i="81"/>
  <c r="J37" i="81"/>
  <c r="I37" i="81"/>
  <c r="H37" i="81"/>
  <c r="G37" i="81"/>
  <c r="F37" i="81"/>
  <c r="E37" i="81"/>
  <c r="D37" i="81"/>
  <c r="J36" i="81"/>
  <c r="I36" i="81"/>
  <c r="H36" i="81"/>
  <c r="G36" i="81"/>
  <c r="F36" i="81"/>
  <c r="E36" i="81"/>
  <c r="D36" i="81"/>
  <c r="J35" i="81"/>
  <c r="I35" i="81"/>
  <c r="H35" i="81"/>
  <c r="G35" i="81"/>
  <c r="F35" i="81"/>
  <c r="E35" i="81"/>
  <c r="D35" i="81"/>
  <c r="E31" i="74"/>
  <c r="D31" i="74"/>
  <c r="C31" i="74"/>
  <c r="C17" i="81" l="1"/>
  <c r="J32" i="81" l="1"/>
  <c r="I32" i="81"/>
  <c r="H32" i="81"/>
  <c r="G32" i="81"/>
  <c r="F32" i="81"/>
  <c r="E32" i="81"/>
  <c r="D32" i="81"/>
  <c r="C15" i="81"/>
  <c r="H40" i="81" l="1"/>
  <c r="H38" i="81"/>
  <c r="D38" i="81"/>
  <c r="D40" i="81"/>
  <c r="E38" i="81"/>
  <c r="E40" i="81"/>
  <c r="F40" i="81"/>
  <c r="F38" i="81"/>
  <c r="G38" i="81"/>
  <c r="G40" i="81"/>
  <c r="I40" i="81"/>
  <c r="I38" i="81"/>
  <c r="J40" i="81"/>
  <c r="J38" i="81"/>
  <c r="D48" i="72"/>
  <c r="Y14" i="33" l="1"/>
  <c r="Y13" i="33"/>
  <c r="AI13" i="33"/>
  <c r="AH13" i="33"/>
  <c r="M48" i="25" l="1"/>
  <c r="M34" i="25"/>
  <c r="M55" i="25" l="1"/>
  <c r="O45" i="25"/>
  <c r="O44" i="25"/>
  <c r="O43" i="25"/>
  <c r="O42" i="25"/>
  <c r="O37" i="25"/>
  <c r="O36" i="25"/>
  <c r="O35" i="25"/>
  <c r="D4" i="76" l="1"/>
  <c r="D3" i="76"/>
  <c r="N3" i="76" s="1"/>
  <c r="E61" i="80"/>
  <c r="E60" i="80"/>
  <c r="E59" i="80"/>
  <c r="E58" i="80"/>
  <c r="E57" i="80"/>
  <c r="E56" i="80"/>
  <c r="E55" i="80"/>
  <c r="E54" i="80"/>
  <c r="E53" i="80"/>
  <c r="E52" i="80"/>
  <c r="E51" i="80"/>
  <c r="E50" i="80"/>
  <c r="E49" i="80"/>
  <c r="E48" i="80"/>
  <c r="E47" i="80"/>
  <c r="E46" i="80"/>
  <c r="E45" i="80"/>
  <c r="E44" i="80"/>
  <c r="E43" i="80"/>
  <c r="E42" i="80"/>
  <c r="E41" i="80"/>
  <c r="E40" i="80"/>
  <c r="E39" i="80"/>
  <c r="E38" i="80"/>
  <c r="E37" i="80"/>
  <c r="E36" i="80"/>
  <c r="E35" i="80"/>
  <c r="E34" i="80"/>
  <c r="E33" i="80"/>
  <c r="E32" i="80"/>
  <c r="E31" i="80"/>
  <c r="E30" i="80"/>
  <c r="E29" i="80"/>
  <c r="E28" i="80"/>
  <c r="E27" i="80"/>
  <c r="E26" i="80"/>
  <c r="E25" i="80"/>
  <c r="E24" i="80"/>
  <c r="E23" i="80"/>
  <c r="E22" i="80"/>
  <c r="E21" i="80"/>
  <c r="E20" i="80"/>
  <c r="E19" i="80"/>
  <c r="E18" i="80"/>
  <c r="E17" i="80"/>
  <c r="E16" i="80"/>
  <c r="E15" i="80"/>
  <c r="E14" i="80"/>
  <c r="E13" i="80"/>
  <c r="E12" i="80"/>
  <c r="E11" i="80"/>
  <c r="E10" i="80"/>
  <c r="E9" i="80"/>
  <c r="E8" i="80"/>
  <c r="E7" i="80"/>
  <c r="E6" i="80"/>
  <c r="E5" i="80"/>
  <c r="E4" i="80"/>
  <c r="E3" i="80"/>
  <c r="E2" i="80"/>
  <c r="E105" i="76"/>
  <c r="E103" i="76"/>
  <c r="H66" i="76"/>
  <c r="CL8" i="76" s="1"/>
  <c r="CM8" i="76" s="1"/>
  <c r="CO8" i="76" s="1"/>
  <c r="H65" i="76"/>
  <c r="CL7" i="76" s="1"/>
  <c r="CM7" i="76" s="1"/>
  <c r="CO7" i="76" s="1"/>
  <c r="H64" i="76"/>
  <c r="CL6" i="76" s="1"/>
  <c r="CM6" i="76" s="1"/>
  <c r="CO6" i="76" s="1"/>
  <c r="H63" i="76"/>
  <c r="CL5" i="76" s="1"/>
  <c r="CM5" i="76" s="1"/>
  <c r="CO5" i="76" s="1"/>
  <c r="H62" i="76"/>
  <c r="CL4" i="76" s="1"/>
  <c r="CM4" i="76" s="1"/>
  <c r="CO4" i="76" s="1"/>
  <c r="H61" i="76"/>
  <c r="CL3" i="76" s="1"/>
  <c r="CM3" i="76" s="1"/>
  <c r="CO3" i="76" s="1"/>
  <c r="CB14" i="76"/>
  <c r="CB13" i="76"/>
  <c r="CB12" i="76"/>
  <c r="CB11" i="76"/>
  <c r="CB10" i="76"/>
  <c r="CB9" i="76"/>
  <c r="CB8" i="76"/>
  <c r="CB7" i="76"/>
  <c r="CB6" i="76"/>
  <c r="CB5" i="76"/>
  <c r="CB4" i="76"/>
  <c r="CB3" i="76"/>
  <c r="AE3" i="76"/>
  <c r="E72" i="76" s="1"/>
  <c r="AD3" i="76"/>
  <c r="E71" i="76" s="1"/>
  <c r="O3" i="76"/>
  <c r="AR3" i="76" s="1"/>
  <c r="BQ2" i="76"/>
  <c r="BP2" i="76"/>
  <c r="BO2" i="76"/>
  <c r="BN2" i="76"/>
  <c r="BM2" i="76"/>
  <c r="BL2" i="76"/>
  <c r="BK2" i="76"/>
  <c r="BJ2" i="76"/>
  <c r="BI2" i="76"/>
  <c r="BH2" i="76"/>
  <c r="BG2" i="76"/>
  <c r="BF2" i="76"/>
  <c r="BE2" i="76"/>
  <c r="BD2" i="76"/>
  <c r="BC2" i="76"/>
  <c r="BB2" i="76"/>
  <c r="BA2" i="76"/>
  <c r="AZ2" i="76"/>
  <c r="AY2" i="76"/>
  <c r="AX2" i="76"/>
  <c r="AW2" i="76"/>
  <c r="AV2" i="76"/>
  <c r="AU2" i="76"/>
  <c r="AT2" i="76"/>
  <c r="BE3" i="76" l="1"/>
  <c r="BQ3" i="76" s="1"/>
  <c r="H73" i="76"/>
  <c r="BB3" i="76"/>
  <c r="BN3" i="76" s="1"/>
  <c r="E68" i="76"/>
  <c r="BD3" i="76"/>
  <c r="BP3" i="76" s="1"/>
  <c r="F31" i="74"/>
  <c r="D32" i="74"/>
  <c r="C32" i="74"/>
  <c r="E64" i="74"/>
  <c r="D64" i="74"/>
  <c r="C64" i="74"/>
  <c r="E58" i="74"/>
  <c r="D58" i="74"/>
  <c r="C58" i="74"/>
  <c r="G4" i="74"/>
  <c r="H4" i="74" s="1"/>
  <c r="I4" i="74" s="1"/>
  <c r="J4" i="74" s="1"/>
  <c r="K4" i="74" s="1"/>
  <c r="L4" i="74" s="1"/>
  <c r="F28" i="74"/>
  <c r="F27" i="74"/>
  <c r="G26" i="74"/>
  <c r="G28" i="74" s="1"/>
  <c r="D24" i="74"/>
  <c r="D25" i="74" s="1"/>
  <c r="G23" i="74"/>
  <c r="H23" i="74" s="1"/>
  <c r="F22" i="74"/>
  <c r="F21" i="74"/>
  <c r="G20" i="74"/>
  <c r="G22" i="74" s="1"/>
  <c r="F19" i="74"/>
  <c r="E22" i="74"/>
  <c r="E25" i="74" s="1"/>
  <c r="E28" i="74" s="1"/>
  <c r="F18" i="74"/>
  <c r="G17" i="74"/>
  <c r="H17" i="74" s="1"/>
  <c r="E20" i="74"/>
  <c r="E23" i="74" s="1"/>
  <c r="E26" i="74" s="1"/>
  <c r="D12" i="74"/>
  <c r="D13" i="74" s="1"/>
  <c r="F13" i="74" s="1"/>
  <c r="G11" i="74"/>
  <c r="D9" i="74"/>
  <c r="F9" i="74" s="1"/>
  <c r="G8" i="74"/>
  <c r="D6" i="74"/>
  <c r="F6" i="74" s="1"/>
  <c r="G5" i="74"/>
  <c r="C99" i="74"/>
  <c r="E21" i="74"/>
  <c r="E24" i="74" s="1"/>
  <c r="E27" i="74" s="1"/>
  <c r="D180" i="40"/>
  <c r="C180" i="40"/>
  <c r="C250" i="40"/>
  <c r="D46" i="11" s="1"/>
  <c r="R26" i="51"/>
  <c r="R27" i="51"/>
  <c r="R25" i="51"/>
  <c r="R11" i="51"/>
  <c r="H233" i="40"/>
  <c r="I233" i="40" s="1"/>
  <c r="L40" i="40"/>
  <c r="K40" i="40"/>
  <c r="J40" i="40"/>
  <c r="I40" i="40"/>
  <c r="H40" i="40"/>
  <c r="L39" i="40"/>
  <c r="K39" i="40"/>
  <c r="J39" i="40"/>
  <c r="I39" i="40"/>
  <c r="H39" i="40"/>
  <c r="E95" i="74"/>
  <c r="F92" i="74" s="1"/>
  <c r="E89" i="74"/>
  <c r="F86" i="74" s="1"/>
  <c r="F89" i="74" s="1"/>
  <c r="G86" i="74" s="1"/>
  <c r="G89" i="74" s="1"/>
  <c r="H86" i="74" s="1"/>
  <c r="H89" i="74" s="1"/>
  <c r="I86" i="74" s="1"/>
  <c r="I89" i="74" s="1"/>
  <c r="J86" i="74" s="1"/>
  <c r="J89" i="74" s="1"/>
  <c r="K86" i="74" s="1"/>
  <c r="K89" i="74" s="1"/>
  <c r="L86" i="74" s="1"/>
  <c r="L89" i="74" s="1"/>
  <c r="E83" i="74"/>
  <c r="D83" i="74"/>
  <c r="C83" i="74"/>
  <c r="V128" i="35"/>
  <c r="U128" i="35"/>
  <c r="W185" i="40"/>
  <c r="W266" i="40" s="1"/>
  <c r="W408" i="40" s="1"/>
  <c r="W410" i="40" s="1"/>
  <c r="W88" i="40" s="1"/>
  <c r="V185" i="40"/>
  <c r="V266" i="40" s="1"/>
  <c r="U185" i="40"/>
  <c r="U266" i="40" s="1"/>
  <c r="U406" i="40" s="1"/>
  <c r="T185" i="40"/>
  <c r="T266" i="40" s="1"/>
  <c r="S185" i="40"/>
  <c r="S266" i="40" s="1"/>
  <c r="R185" i="40"/>
  <c r="R266" i="40" s="1"/>
  <c r="R408" i="40" s="1"/>
  <c r="Q185" i="40"/>
  <c r="Q266" i="40" s="1"/>
  <c r="Q406" i="40" s="1"/>
  <c r="P185" i="40"/>
  <c r="P266" i="40" s="1"/>
  <c r="O185" i="40"/>
  <c r="O266" i="40" s="1"/>
  <c r="O409" i="40" s="1"/>
  <c r="W177" i="40"/>
  <c r="V177" i="40"/>
  <c r="U177" i="40"/>
  <c r="T177" i="40"/>
  <c r="S177" i="40"/>
  <c r="R177" i="40"/>
  <c r="Q177" i="40"/>
  <c r="P177" i="40"/>
  <c r="O177" i="40"/>
  <c r="G275" i="40"/>
  <c r="F275" i="40"/>
  <c r="E275" i="40"/>
  <c r="E74" i="58" s="1"/>
  <c r="H75" i="58" s="1"/>
  <c r="J75" i="58" s="1"/>
  <c r="K75" i="58" s="1"/>
  <c r="L75" i="58" s="1"/>
  <c r="M75" i="58" s="1"/>
  <c r="N75" i="58" s="1"/>
  <c r="O75" i="58" s="1"/>
  <c r="P75" i="58" s="1"/>
  <c r="Q75" i="58" s="1"/>
  <c r="R75" i="58" s="1"/>
  <c r="S75" i="58" s="1"/>
  <c r="T75" i="58" s="1"/>
  <c r="U75" i="58" s="1"/>
  <c r="V75" i="58" s="1"/>
  <c r="W75" i="58" s="1"/>
  <c r="X75" i="58" s="1"/>
  <c r="D275" i="40"/>
  <c r="D74" i="58" s="1"/>
  <c r="G274" i="40"/>
  <c r="F274" i="40"/>
  <c r="E274" i="40"/>
  <c r="E72" i="58" s="1"/>
  <c r="H73" i="58" s="1"/>
  <c r="J73" i="58" s="1"/>
  <c r="K73" i="58" s="1"/>
  <c r="L73" i="58" s="1"/>
  <c r="M73" i="58" s="1"/>
  <c r="N73" i="58" s="1"/>
  <c r="O73" i="58" s="1"/>
  <c r="P73" i="58" s="1"/>
  <c r="Q73" i="58" s="1"/>
  <c r="R73" i="58" s="1"/>
  <c r="S73" i="58" s="1"/>
  <c r="T73" i="58" s="1"/>
  <c r="U73" i="58" s="1"/>
  <c r="V73" i="58" s="1"/>
  <c r="W73" i="58" s="1"/>
  <c r="X73" i="58" s="1"/>
  <c r="D274" i="40"/>
  <c r="D72" i="58" s="1"/>
  <c r="C275" i="40"/>
  <c r="C74" i="58" s="1"/>
  <c r="C274" i="40"/>
  <c r="C72" i="58" s="1"/>
  <c r="W81" i="40"/>
  <c r="V81" i="40"/>
  <c r="U81" i="40"/>
  <c r="T81" i="40"/>
  <c r="S81" i="40"/>
  <c r="R81" i="40"/>
  <c r="Q81" i="40"/>
  <c r="P81" i="40"/>
  <c r="O81" i="40"/>
  <c r="E30" i="74"/>
  <c r="E35" i="74" s="1"/>
  <c r="E40" i="74" s="1"/>
  <c r="E57" i="74" s="1"/>
  <c r="E63" i="74" s="1"/>
  <c r="E69" i="74" s="1"/>
  <c r="E74" i="74" s="1"/>
  <c r="E79" i="74" s="1"/>
  <c r="E85" i="74" s="1"/>
  <c r="E91" i="74" s="1"/>
  <c r="E98" i="74" s="1"/>
  <c r="D30" i="74"/>
  <c r="D35" i="74" s="1"/>
  <c r="D40" i="74" s="1"/>
  <c r="D57" i="74" s="1"/>
  <c r="D63" i="74" s="1"/>
  <c r="D69" i="74" s="1"/>
  <c r="D74" i="74" s="1"/>
  <c r="D79" i="74" s="1"/>
  <c r="D85" i="74" s="1"/>
  <c r="D91" i="74" s="1"/>
  <c r="D98" i="74" s="1"/>
  <c r="C35" i="74"/>
  <c r="C40" i="74" s="1"/>
  <c r="C57" i="74" s="1"/>
  <c r="C63" i="74" s="1"/>
  <c r="C69" i="74" s="1"/>
  <c r="C74" i="74" s="1"/>
  <c r="C79" i="74" s="1"/>
  <c r="C85" i="74" s="1"/>
  <c r="C91" i="74" s="1"/>
  <c r="C98" i="74" s="1"/>
  <c r="H1" i="40"/>
  <c r="E12" i="85" s="1"/>
  <c r="O6" i="52"/>
  <c r="O5" i="53" s="1"/>
  <c r="N6" i="52"/>
  <c r="N5" i="53" s="1"/>
  <c r="C236" i="40"/>
  <c r="C227" i="40"/>
  <c r="C200" i="40"/>
  <c r="F32" i="73"/>
  <c r="E32" i="73"/>
  <c r="C32" i="73"/>
  <c r="B32" i="73"/>
  <c r="F31" i="73"/>
  <c r="E31" i="73"/>
  <c r="C31" i="73"/>
  <c r="B31" i="73"/>
  <c r="F30" i="73"/>
  <c r="E30" i="73"/>
  <c r="C30" i="73"/>
  <c r="B30" i="73"/>
  <c r="F29" i="73"/>
  <c r="E29" i="73"/>
  <c r="C29" i="73"/>
  <c r="B29" i="73"/>
  <c r="F28" i="73"/>
  <c r="E28" i="73"/>
  <c r="C28" i="73"/>
  <c r="B28" i="73"/>
  <c r="F27" i="73"/>
  <c r="E27" i="73"/>
  <c r="C27" i="73"/>
  <c r="B27" i="73"/>
  <c r="F26" i="73"/>
  <c r="E26" i="73"/>
  <c r="C26" i="73"/>
  <c r="B26" i="73"/>
  <c r="F25" i="73"/>
  <c r="E25" i="73"/>
  <c r="C25" i="73"/>
  <c r="B25" i="73"/>
  <c r="D15" i="73"/>
  <c r="D14" i="73"/>
  <c r="I86" i="73"/>
  <c r="N86" i="73"/>
  <c r="N89" i="73" s="1"/>
  <c r="N17" i="73" s="1"/>
  <c r="N18" i="73" s="1"/>
  <c r="B84" i="73"/>
  <c r="D60" i="73"/>
  <c r="H48" i="73"/>
  <c r="H49" i="73" s="1"/>
  <c r="F48" i="73"/>
  <c r="D48" i="73"/>
  <c r="D49" i="73" s="1"/>
  <c r="H47" i="73"/>
  <c r="D47" i="73"/>
  <c r="C23" i="73"/>
  <c r="N16" i="73"/>
  <c r="H16" i="73"/>
  <c r="C10" i="73"/>
  <c r="P8" i="73"/>
  <c r="E180" i="40"/>
  <c r="D185" i="40"/>
  <c r="E185" i="40"/>
  <c r="D200" i="40"/>
  <c r="E200" i="40"/>
  <c r="E210" i="40" s="1"/>
  <c r="G19" i="25"/>
  <c r="H19" i="25" s="1"/>
  <c r="G18" i="25"/>
  <c r="H18" i="25" s="1"/>
  <c r="G17" i="25"/>
  <c r="H17" i="25" s="1"/>
  <c r="G16" i="25"/>
  <c r="H16" i="25" s="1"/>
  <c r="G15" i="25"/>
  <c r="H15" i="25" s="1"/>
  <c r="G14" i="25"/>
  <c r="H14" i="25" s="1"/>
  <c r="G13" i="25"/>
  <c r="H13" i="25" s="1"/>
  <c r="G12" i="25"/>
  <c r="H12" i="25" s="1"/>
  <c r="G11" i="25"/>
  <c r="H11" i="25" s="1"/>
  <c r="D32" i="73"/>
  <c r="G10" i="25"/>
  <c r="H10" i="25" s="1"/>
  <c r="G9" i="25"/>
  <c r="H9" i="25" s="1"/>
  <c r="D30" i="73"/>
  <c r="G8" i="25"/>
  <c r="H8" i="25" s="1"/>
  <c r="G7" i="25"/>
  <c r="H7" i="25" s="1"/>
  <c r="G6" i="25"/>
  <c r="H6" i="25" s="1"/>
  <c r="D27" i="73"/>
  <c r="G5" i="25"/>
  <c r="H5" i="25" s="1"/>
  <c r="D26" i="73"/>
  <c r="G4" i="25"/>
  <c r="H4" i="25" s="1"/>
  <c r="E19" i="33"/>
  <c r="E42" i="33" s="1"/>
  <c r="D19" i="33"/>
  <c r="D42" i="33"/>
  <c r="E18" i="33"/>
  <c r="E41" i="33" s="1"/>
  <c r="D18" i="33"/>
  <c r="D41" i="33" s="1"/>
  <c r="C18" i="33"/>
  <c r="B18" i="33"/>
  <c r="AI10" i="33"/>
  <c r="AH10" i="33"/>
  <c r="F250" i="40"/>
  <c r="J46" i="11" s="1"/>
  <c r="E250" i="40"/>
  <c r="H46" i="11" s="1"/>
  <c r="D250" i="40"/>
  <c r="F46" i="11" s="1"/>
  <c r="F20" i="25"/>
  <c r="E20" i="25"/>
  <c r="D20" i="25"/>
  <c r="C20" i="25"/>
  <c r="C30" i="25"/>
  <c r="C33" i="25"/>
  <c r="N104" i="25"/>
  <c r="O76" i="25"/>
  <c r="M40" i="39"/>
  <c r="M39" i="39"/>
  <c r="O73" i="25"/>
  <c r="M33" i="39"/>
  <c r="M32" i="39"/>
  <c r="M31" i="39"/>
  <c r="N49" i="25"/>
  <c r="L45" i="39" s="1"/>
  <c r="N45" i="25"/>
  <c r="N76" i="25" s="1"/>
  <c r="N44" i="25"/>
  <c r="L40" i="39" s="1"/>
  <c r="N43" i="25"/>
  <c r="N37" i="25"/>
  <c r="L33" i="39" s="1"/>
  <c r="N36" i="25"/>
  <c r="N67" i="25" s="1"/>
  <c r="N35" i="25"/>
  <c r="N66" i="25" s="1"/>
  <c r="C50" i="72"/>
  <c r="C49" i="72"/>
  <c r="C48" i="72"/>
  <c r="J8" i="56"/>
  <c r="E8" i="56"/>
  <c r="F49" i="70"/>
  <c r="M49" i="70" s="1"/>
  <c r="M56" i="70" s="1"/>
  <c r="E49" i="70"/>
  <c r="E56" i="70" s="1"/>
  <c r="D49" i="70"/>
  <c r="D56" i="70" s="1"/>
  <c r="B6" i="52"/>
  <c r="B5" i="53" s="1"/>
  <c r="E12" i="51"/>
  <c r="G12" i="51"/>
  <c r="H12" i="51"/>
  <c r="E13" i="51"/>
  <c r="G13" i="51"/>
  <c r="H13" i="51"/>
  <c r="E14" i="51"/>
  <c r="G14" i="51"/>
  <c r="H14" i="51"/>
  <c r="G15" i="51"/>
  <c r="H15" i="51"/>
  <c r="M5" i="51"/>
  <c r="F40" i="9"/>
  <c r="F41" i="9" s="1"/>
  <c r="E40" i="9"/>
  <c r="E41" i="9" s="1"/>
  <c r="D40" i="9"/>
  <c r="N50" i="25"/>
  <c r="C63" i="85" s="1"/>
  <c r="J212" i="58"/>
  <c r="K212" i="58"/>
  <c r="I212" i="58"/>
  <c r="K211" i="58"/>
  <c r="J211" i="58"/>
  <c r="L181" i="58"/>
  <c r="M211" i="58"/>
  <c r="L238" i="58" s="1"/>
  <c r="M181" i="58"/>
  <c r="N211" i="58"/>
  <c r="M238" i="58" s="1"/>
  <c r="N181" i="58"/>
  <c r="O211" i="58"/>
  <c r="N238" i="58" s="1"/>
  <c r="O181" i="58"/>
  <c r="P211" i="58" s="1"/>
  <c r="O238" i="58" s="1"/>
  <c r="P181" i="58"/>
  <c r="Q211" i="58" s="1"/>
  <c r="P238" i="58" s="1"/>
  <c r="K181" i="58"/>
  <c r="L211" i="58" s="1"/>
  <c r="K238" i="58" s="1"/>
  <c r="J177" i="58"/>
  <c r="J176" i="58"/>
  <c r="J178" i="58"/>
  <c r="K176" i="58"/>
  <c r="L176" i="58"/>
  <c r="M176" i="58"/>
  <c r="I177" i="58"/>
  <c r="M175" i="58"/>
  <c r="L175" i="58"/>
  <c r="K175" i="58"/>
  <c r="J175" i="58"/>
  <c r="H176" i="58"/>
  <c r="I175" i="58"/>
  <c r="H175" i="58"/>
  <c r="I174" i="58"/>
  <c r="J174" i="58"/>
  <c r="K174" i="58"/>
  <c r="L174" i="58"/>
  <c r="M174" i="58"/>
  <c r="N83" i="58"/>
  <c r="M83" i="58"/>
  <c r="L83" i="58"/>
  <c r="K83" i="58"/>
  <c r="J83" i="58"/>
  <c r="H83" i="58"/>
  <c r="J163" i="58"/>
  <c r="L182" i="58" s="1"/>
  <c r="O161" i="58"/>
  <c r="M155" i="58"/>
  <c r="M150" i="58" s="1"/>
  <c r="K155" i="58"/>
  <c r="K162" i="58" s="1"/>
  <c r="L155" i="58"/>
  <c r="L150" i="58"/>
  <c r="K29" i="58"/>
  <c r="L29" i="58"/>
  <c r="M29" i="58"/>
  <c r="N29" i="58"/>
  <c r="O29" i="58"/>
  <c r="P29" i="58"/>
  <c r="Q29" i="58"/>
  <c r="R29" i="58"/>
  <c r="S29" i="58"/>
  <c r="T29" i="58"/>
  <c r="U29" i="58"/>
  <c r="V29" i="58"/>
  <c r="W29" i="58"/>
  <c r="X29" i="58"/>
  <c r="O30" i="58"/>
  <c r="P30" i="58"/>
  <c r="Q30" i="58"/>
  <c r="R30" i="58"/>
  <c r="S30" i="58"/>
  <c r="T30" i="58"/>
  <c r="U30" i="58"/>
  <c r="V30" i="58"/>
  <c r="W30" i="58"/>
  <c r="X30" i="58"/>
  <c r="J29" i="58"/>
  <c r="H29" i="58"/>
  <c r="M63" i="58"/>
  <c r="L284" i="40" s="1"/>
  <c r="L63" i="58"/>
  <c r="K284" i="40"/>
  <c r="K63" i="58"/>
  <c r="J63" i="58"/>
  <c r="I284" i="40"/>
  <c r="H63" i="58"/>
  <c r="H179" i="40"/>
  <c r="H264" i="40" s="1"/>
  <c r="J150" i="58"/>
  <c r="O154" i="58"/>
  <c r="N110" i="40"/>
  <c r="V30" i="25" s="1"/>
  <c r="O110" i="40"/>
  <c r="P110" i="40"/>
  <c r="X30" i="25" s="1"/>
  <c r="Q110" i="40"/>
  <c r="Y30" i="25" s="1"/>
  <c r="R110" i="40"/>
  <c r="S110" i="40"/>
  <c r="AA30" i="25" s="1"/>
  <c r="T110" i="40"/>
  <c r="AB30" i="25" s="1"/>
  <c r="U110" i="40"/>
  <c r="AC30" i="25" s="1"/>
  <c r="V110" i="40"/>
  <c r="AD30" i="25" s="1"/>
  <c r="W110" i="40"/>
  <c r="AE30" i="25" s="1"/>
  <c r="M67" i="58"/>
  <c r="L267" i="40" s="1"/>
  <c r="L67" i="58"/>
  <c r="K267" i="40" s="1"/>
  <c r="K67" i="58"/>
  <c r="J267" i="40"/>
  <c r="H284" i="40"/>
  <c r="H67" i="58"/>
  <c r="H267" i="40"/>
  <c r="J67" i="58"/>
  <c r="I267" i="40"/>
  <c r="P30" i="25"/>
  <c r="J30" i="69"/>
  <c r="J31" i="69"/>
  <c r="J32" i="69"/>
  <c r="J33" i="69"/>
  <c r="J29" i="69"/>
  <c r="C79" i="69"/>
  <c r="D79" i="69"/>
  <c r="E79" i="69"/>
  <c r="F79" i="69"/>
  <c r="G79" i="69"/>
  <c r="B79" i="69"/>
  <c r="K47" i="69"/>
  <c r="L47" i="69"/>
  <c r="L14" i="64"/>
  <c r="L14" i="65"/>
  <c r="J14" i="64"/>
  <c r="J14" i="65"/>
  <c r="H14" i="64"/>
  <c r="H14" i="65" s="1"/>
  <c r="F14" i="64"/>
  <c r="F14" i="65"/>
  <c r="D14" i="64"/>
  <c r="D14" i="65"/>
  <c r="B7" i="11"/>
  <c r="B7" i="10"/>
  <c r="L13" i="11"/>
  <c r="L13" i="10" s="1"/>
  <c r="J13" i="11"/>
  <c r="J13" i="10"/>
  <c r="H13" i="11"/>
  <c r="H13" i="10"/>
  <c r="F13" i="11"/>
  <c r="F13" i="10"/>
  <c r="D13" i="11"/>
  <c r="D13" i="10" s="1"/>
  <c r="D16" i="69"/>
  <c r="C16" i="69"/>
  <c r="D15" i="69"/>
  <c r="C15" i="69"/>
  <c r="D14" i="69"/>
  <c r="C14" i="69"/>
  <c r="C17" i="69"/>
  <c r="E34" i="69"/>
  <c r="D34" i="69"/>
  <c r="I11" i="69"/>
  <c r="F11" i="69"/>
  <c r="D11" i="69"/>
  <c r="D10" i="69"/>
  <c r="B10" i="69"/>
  <c r="C7" i="69"/>
  <c r="G7" i="69"/>
  <c r="D3" i="69"/>
  <c r="D2" i="69"/>
  <c r="A161" i="69"/>
  <c r="B9" i="69"/>
  <c r="G108" i="68"/>
  <c r="F108" i="68"/>
  <c r="G107" i="68"/>
  <c r="F107" i="68"/>
  <c r="G106" i="68"/>
  <c r="F106" i="68"/>
  <c r="F109" i="68"/>
  <c r="G103" i="68"/>
  <c r="F103" i="68"/>
  <c r="G102" i="68"/>
  <c r="F102" i="68"/>
  <c r="G101" i="68"/>
  <c r="G104" i="68" s="1"/>
  <c r="G112" i="68" s="1"/>
  <c r="F101" i="68"/>
  <c r="G98" i="68"/>
  <c r="F98" i="68"/>
  <c r="G97" i="68"/>
  <c r="F97" i="68"/>
  <c r="G96" i="68"/>
  <c r="F96" i="68"/>
  <c r="G93" i="68"/>
  <c r="F93" i="68"/>
  <c r="G92" i="68"/>
  <c r="F92" i="68"/>
  <c r="G91" i="68"/>
  <c r="G94" i="68"/>
  <c r="F91" i="68"/>
  <c r="F94" i="68" s="1"/>
  <c r="F112" i="68" s="1"/>
  <c r="G88" i="68"/>
  <c r="F88" i="68"/>
  <c r="G87" i="68"/>
  <c r="F87" i="68"/>
  <c r="G86" i="68"/>
  <c r="F86" i="68"/>
  <c r="G83" i="68"/>
  <c r="F83" i="68"/>
  <c r="G82" i="68"/>
  <c r="F82" i="68"/>
  <c r="G81" i="68"/>
  <c r="F81" i="68"/>
  <c r="G78" i="68"/>
  <c r="F78" i="68"/>
  <c r="G77" i="68"/>
  <c r="F77" i="68"/>
  <c r="G76" i="68"/>
  <c r="G79" i="68"/>
  <c r="F76" i="68"/>
  <c r="F79" i="68"/>
  <c r="G73" i="68"/>
  <c r="F73" i="68"/>
  <c r="G72" i="68"/>
  <c r="F72" i="68"/>
  <c r="G71" i="68"/>
  <c r="G74" i="68"/>
  <c r="F71" i="68"/>
  <c r="G59" i="68"/>
  <c r="F59" i="68"/>
  <c r="G58" i="68"/>
  <c r="F58" i="68"/>
  <c r="G57" i="68"/>
  <c r="G61" i="68" s="1"/>
  <c r="F57" i="68"/>
  <c r="F61" i="68" s="1"/>
  <c r="G53" i="68"/>
  <c r="F53" i="68"/>
  <c r="G52" i="68"/>
  <c r="F52" i="68"/>
  <c r="G51" i="68"/>
  <c r="G55" i="68" s="1"/>
  <c r="F51" i="68"/>
  <c r="G47" i="68"/>
  <c r="F47" i="68"/>
  <c r="G46" i="68"/>
  <c r="F46" i="68"/>
  <c r="G45" i="68"/>
  <c r="G49" i="68" s="1"/>
  <c r="F45" i="68"/>
  <c r="F49" i="68"/>
  <c r="G41" i="68"/>
  <c r="F41" i="68"/>
  <c r="G40" i="68"/>
  <c r="F40" i="68"/>
  <c r="G39" i="68"/>
  <c r="F39" i="68"/>
  <c r="F43" i="68" s="1"/>
  <c r="G35" i="68"/>
  <c r="F35" i="68"/>
  <c r="G34" i="68"/>
  <c r="F34" i="68"/>
  <c r="G33" i="68"/>
  <c r="F33" i="68"/>
  <c r="G29" i="68"/>
  <c r="F29" i="68"/>
  <c r="G28" i="68"/>
  <c r="F28" i="68"/>
  <c r="G27" i="68"/>
  <c r="G31" i="68" s="1"/>
  <c r="F27" i="68"/>
  <c r="F31" i="68" s="1"/>
  <c r="G22" i="68"/>
  <c r="F22" i="68"/>
  <c r="G21" i="68"/>
  <c r="F21" i="68"/>
  <c r="G20" i="68"/>
  <c r="G25" i="68" s="1"/>
  <c r="G63" i="68" s="1"/>
  <c r="F20" i="68"/>
  <c r="F25" i="68" s="1"/>
  <c r="F11" i="68"/>
  <c r="G11" i="68"/>
  <c r="F12" i="68"/>
  <c r="G12" i="68"/>
  <c r="F13" i="68"/>
  <c r="G13" i="68"/>
  <c r="F14" i="68"/>
  <c r="G14" i="68"/>
  <c r="G10" i="68"/>
  <c r="F10" i="68"/>
  <c r="F18" i="68" s="1"/>
  <c r="F63" i="68" s="1"/>
  <c r="J42" i="33"/>
  <c r="I42" i="33"/>
  <c r="H42" i="33"/>
  <c r="C42" i="33"/>
  <c r="J41" i="33"/>
  <c r="I41" i="33"/>
  <c r="H41" i="33"/>
  <c r="J40" i="33"/>
  <c r="I40" i="33"/>
  <c r="H40" i="33"/>
  <c r="C40" i="33"/>
  <c r="B40" i="33"/>
  <c r="C39" i="33"/>
  <c r="B39" i="33"/>
  <c r="J35" i="33"/>
  <c r="I35" i="33"/>
  <c r="H35" i="33"/>
  <c r="C33" i="33"/>
  <c r="B33" i="33"/>
  <c r="J30" i="33"/>
  <c r="I30" i="33"/>
  <c r="H30" i="33"/>
  <c r="A162" i="69"/>
  <c r="M158" i="69"/>
  <c r="K155" i="69"/>
  <c r="C150" i="69"/>
  <c r="B149" i="69"/>
  <c r="A79" i="69"/>
  <c r="A77" i="69"/>
  <c r="A75" i="69"/>
  <c r="C55" i="69"/>
  <c r="E43" i="69"/>
  <c r="J34" i="69"/>
  <c r="A34" i="69"/>
  <c r="A33" i="69"/>
  <c r="A32" i="69"/>
  <c r="A31" i="69"/>
  <c r="A30" i="69"/>
  <c r="A29" i="69"/>
  <c r="A28" i="69"/>
  <c r="A27" i="69"/>
  <c r="A25" i="69"/>
  <c r="A24" i="69"/>
  <c r="A23" i="69"/>
  <c r="D21" i="69"/>
  <c r="C33" i="69" s="1"/>
  <c r="B21" i="69"/>
  <c r="D17" i="69"/>
  <c r="I13" i="69"/>
  <c r="I26" i="69" s="1"/>
  <c r="H29" i="69" s="1"/>
  <c r="H13" i="69"/>
  <c r="L13" i="69" s="1"/>
  <c r="M11" i="69"/>
  <c r="M10" i="69"/>
  <c r="M7" i="69"/>
  <c r="O6" i="69"/>
  <c r="B6" i="69"/>
  <c r="B5" i="69"/>
  <c r="G109" i="68"/>
  <c r="A106" i="68"/>
  <c r="F104" i="68"/>
  <c r="A101" i="68"/>
  <c r="G99" i="68"/>
  <c r="F99" i="68"/>
  <c r="A96" i="68"/>
  <c r="A91" i="68"/>
  <c r="G89" i="68"/>
  <c r="F89" i="68"/>
  <c r="A86" i="68"/>
  <c r="G84" i="68"/>
  <c r="F84" i="68"/>
  <c r="A81" i="68"/>
  <c r="A76" i="68"/>
  <c r="F74" i="68"/>
  <c r="F55" i="68"/>
  <c r="G43" i="68"/>
  <c r="G37" i="68"/>
  <c r="F37" i="68"/>
  <c r="G18" i="68"/>
  <c r="C6" i="68"/>
  <c r="H52" i="67"/>
  <c r="H51" i="67"/>
  <c r="H50" i="67"/>
  <c r="H49" i="67"/>
  <c r="H48" i="67"/>
  <c r="H47" i="67"/>
  <c r="H46" i="67"/>
  <c r="H45" i="67"/>
  <c r="H44" i="67"/>
  <c r="H43" i="67"/>
  <c r="H42" i="67"/>
  <c r="H41" i="67"/>
  <c r="H40" i="67"/>
  <c r="H39" i="67"/>
  <c r="H38" i="67"/>
  <c r="H37" i="67"/>
  <c r="H36" i="67"/>
  <c r="H35" i="67"/>
  <c r="H34" i="67"/>
  <c r="H33" i="67"/>
  <c r="H32" i="67"/>
  <c r="H31" i="67"/>
  <c r="H30" i="67"/>
  <c r="H29" i="67"/>
  <c r="H28" i="67"/>
  <c r="H27" i="67"/>
  <c r="H26" i="67"/>
  <c r="H25" i="67"/>
  <c r="H24" i="67"/>
  <c r="D16" i="67"/>
  <c r="C16" i="67"/>
  <c r="F14" i="67"/>
  <c r="P11" i="67" s="1"/>
  <c r="E14" i="67"/>
  <c r="E35" i="67" s="1"/>
  <c r="D14" i="67"/>
  <c r="D35" i="67" s="1"/>
  <c r="C14" i="67"/>
  <c r="C42" i="67" s="1"/>
  <c r="B14" i="67"/>
  <c r="B11" i="67" s="1"/>
  <c r="A5" i="67"/>
  <c r="H10" i="66"/>
  <c r="H11" i="66" s="1"/>
  <c r="H34" i="66" s="1"/>
  <c r="G10" i="66"/>
  <c r="G11" i="66" s="1"/>
  <c r="G34" i="66" s="1"/>
  <c r="F10" i="66"/>
  <c r="F11" i="66"/>
  <c r="E10" i="66"/>
  <c r="E11" i="66" s="1"/>
  <c r="D10" i="66"/>
  <c r="D11" i="66" s="1"/>
  <c r="F6" i="66"/>
  <c r="B6" i="66"/>
  <c r="F5" i="66"/>
  <c r="B5" i="66"/>
  <c r="L44" i="65"/>
  <c r="C8" i="65"/>
  <c r="I7" i="65"/>
  <c r="C7" i="65"/>
  <c r="B7" i="65"/>
  <c r="C6" i="65"/>
  <c r="C5" i="65"/>
  <c r="A47" i="64"/>
  <c r="A46" i="64"/>
  <c r="A45" i="64"/>
  <c r="A44" i="64"/>
  <c r="A43" i="64"/>
  <c r="A42" i="64"/>
  <c r="A41" i="64"/>
  <c r="A40" i="64"/>
  <c r="A39" i="64"/>
  <c r="A38" i="64"/>
  <c r="A37" i="64"/>
  <c r="A36" i="64"/>
  <c r="A35" i="64"/>
  <c r="A34" i="64"/>
  <c r="A33" i="64"/>
  <c r="A32" i="64"/>
  <c r="A31" i="64"/>
  <c r="A30" i="64"/>
  <c r="A29" i="64"/>
  <c r="A28" i="64"/>
  <c r="A27" i="64"/>
  <c r="A26" i="64"/>
  <c r="A25" i="64"/>
  <c r="A24" i="64"/>
  <c r="A23" i="64"/>
  <c r="A22" i="64"/>
  <c r="A21" i="64"/>
  <c r="A20" i="64"/>
  <c r="A19" i="64"/>
  <c r="A18" i="64"/>
  <c r="A17" i="64"/>
  <c r="A16" i="64"/>
  <c r="C8" i="64"/>
  <c r="I7" i="64"/>
  <c r="C7" i="64"/>
  <c r="B7" i="64"/>
  <c r="C6" i="64"/>
  <c r="C5" i="64"/>
  <c r="A46" i="63"/>
  <c r="A45" i="63"/>
  <c r="A44" i="63"/>
  <c r="A43" i="63"/>
  <c r="A42" i="63"/>
  <c r="A41" i="63"/>
  <c r="A40" i="63"/>
  <c r="A39" i="63"/>
  <c r="A38" i="63"/>
  <c r="A37" i="63"/>
  <c r="A36" i="63"/>
  <c r="A35" i="63"/>
  <c r="A34" i="63"/>
  <c r="A33" i="63"/>
  <c r="A32" i="63"/>
  <c r="A31" i="63"/>
  <c r="A30" i="63"/>
  <c r="A29" i="63"/>
  <c r="A28" i="63"/>
  <c r="A27" i="63"/>
  <c r="A26" i="63"/>
  <c r="A25" i="63"/>
  <c r="A24" i="63"/>
  <c r="A23" i="63"/>
  <c r="A22" i="63"/>
  <c r="A20" i="63"/>
  <c r="A19" i="63"/>
  <c r="A18" i="63"/>
  <c r="A17" i="63"/>
  <c r="A16" i="63"/>
  <c r="L11" i="63"/>
  <c r="L11" i="64" s="1"/>
  <c r="L11" i="65" s="1"/>
  <c r="J11" i="63"/>
  <c r="J11" i="64" s="1"/>
  <c r="J11" i="65" s="1"/>
  <c r="H11" i="63"/>
  <c r="H11" i="64"/>
  <c r="H11" i="65" s="1"/>
  <c r="F11" i="63"/>
  <c r="F11" i="64"/>
  <c r="F11" i="65" s="1"/>
  <c r="D11" i="63"/>
  <c r="D11" i="64" s="1"/>
  <c r="D11" i="65" s="1"/>
  <c r="L10" i="63"/>
  <c r="L10" i="64"/>
  <c r="H10" i="63"/>
  <c r="H10" i="64" s="1"/>
  <c r="F10" i="63"/>
  <c r="F10" i="64" s="1"/>
  <c r="D10" i="63"/>
  <c r="D10" i="64" s="1"/>
  <c r="C8" i="63"/>
  <c r="I7" i="63"/>
  <c r="C7" i="63"/>
  <c r="C6" i="63"/>
  <c r="C5" i="63"/>
  <c r="A45" i="62"/>
  <c r="L44" i="62"/>
  <c r="J44" i="62"/>
  <c r="H44" i="62"/>
  <c r="F44" i="62"/>
  <c r="D44" i="62"/>
  <c r="A44" i="62"/>
  <c r="L43" i="62"/>
  <c r="J43" i="62"/>
  <c r="H43" i="62"/>
  <c r="F43" i="62"/>
  <c r="D43" i="62"/>
  <c r="A43" i="62"/>
  <c r="L42" i="62"/>
  <c r="J42" i="62"/>
  <c r="H42" i="62"/>
  <c r="F42" i="62"/>
  <c r="D42" i="62"/>
  <c r="A42" i="62"/>
  <c r="L41" i="62"/>
  <c r="J41" i="62"/>
  <c r="H41" i="62"/>
  <c r="F41" i="62"/>
  <c r="D41" i="62"/>
  <c r="A41" i="62"/>
  <c r="L40" i="62"/>
  <c r="J40" i="62"/>
  <c r="H40" i="62"/>
  <c r="F40" i="62"/>
  <c r="D40" i="62"/>
  <c r="A40" i="62"/>
  <c r="L39" i="62"/>
  <c r="J39" i="62"/>
  <c r="H39" i="62"/>
  <c r="F39" i="62"/>
  <c r="D39" i="62"/>
  <c r="A39" i="62"/>
  <c r="L38" i="62"/>
  <c r="J38" i="62"/>
  <c r="H38" i="62"/>
  <c r="F38" i="62"/>
  <c r="D38" i="62"/>
  <c r="A38" i="62"/>
  <c r="A37" i="62"/>
  <c r="L36" i="62"/>
  <c r="J36" i="62"/>
  <c r="H36" i="62"/>
  <c r="F36" i="62"/>
  <c r="D36" i="62"/>
  <c r="A36" i="62"/>
  <c r="L35" i="62"/>
  <c r="J35" i="62"/>
  <c r="H35" i="62"/>
  <c r="F35" i="62"/>
  <c r="D35" i="62"/>
  <c r="A35" i="62"/>
  <c r="L34" i="62"/>
  <c r="J34" i="62"/>
  <c r="H34" i="62"/>
  <c r="F34" i="62"/>
  <c r="D34" i="62"/>
  <c r="A34" i="62"/>
  <c r="L33" i="62"/>
  <c r="J33" i="62"/>
  <c r="H33" i="62"/>
  <c r="F33" i="62"/>
  <c r="D33" i="62"/>
  <c r="A33" i="62"/>
  <c r="A32" i="62"/>
  <c r="L31" i="62"/>
  <c r="J31" i="62"/>
  <c r="H31" i="62"/>
  <c r="F31" i="62"/>
  <c r="D31" i="62"/>
  <c r="A31" i="62"/>
  <c r="L30" i="62"/>
  <c r="J30" i="62"/>
  <c r="H30" i="62"/>
  <c r="F30" i="62"/>
  <c r="D30" i="62"/>
  <c r="A30" i="62"/>
  <c r="L29" i="62"/>
  <c r="J29" i="62"/>
  <c r="H29" i="62"/>
  <c r="F29" i="62"/>
  <c r="D29" i="62"/>
  <c r="A29" i="62"/>
  <c r="L28" i="62"/>
  <c r="J28" i="62"/>
  <c r="H28" i="62"/>
  <c r="F28" i="62"/>
  <c r="D28" i="62"/>
  <c r="A28" i="62"/>
  <c r="L27" i="62"/>
  <c r="J27" i="62"/>
  <c r="H27" i="62"/>
  <c r="F27" i="62"/>
  <c r="D27" i="62"/>
  <c r="A27" i="62"/>
  <c r="L26" i="62"/>
  <c r="J26" i="62"/>
  <c r="H26" i="62"/>
  <c r="F26" i="62"/>
  <c r="D26" i="62"/>
  <c r="A26" i="62"/>
  <c r="A25" i="62"/>
  <c r="L24" i="62"/>
  <c r="J24" i="62"/>
  <c r="H24" i="62"/>
  <c r="F24" i="62"/>
  <c r="D24" i="62"/>
  <c r="A24" i="62"/>
  <c r="L23" i="62"/>
  <c r="J23" i="62"/>
  <c r="H23" i="62"/>
  <c r="F23" i="62"/>
  <c r="D23" i="62"/>
  <c r="A23" i="62"/>
  <c r="L22" i="62"/>
  <c r="J22" i="62"/>
  <c r="H22" i="62"/>
  <c r="F22" i="62"/>
  <c r="D22" i="62"/>
  <c r="A22" i="62"/>
  <c r="A21" i="62"/>
  <c r="L19" i="62"/>
  <c r="J19" i="62"/>
  <c r="H19" i="62"/>
  <c r="F19" i="62"/>
  <c r="D19" i="62"/>
  <c r="A19" i="62"/>
  <c r="L18" i="62"/>
  <c r="J18" i="62"/>
  <c r="H18" i="62"/>
  <c r="F18" i="62"/>
  <c r="D18" i="62"/>
  <c r="A18" i="62"/>
  <c r="L17" i="62"/>
  <c r="J17" i="62"/>
  <c r="H17" i="62"/>
  <c r="F17" i="62"/>
  <c r="D17" i="62"/>
  <c r="A17" i="62"/>
  <c r="L16" i="62"/>
  <c r="J16" i="62"/>
  <c r="H16" i="62"/>
  <c r="F16" i="62"/>
  <c r="D16" i="62"/>
  <c r="A16" i="62"/>
  <c r="L15" i="62"/>
  <c r="J15" i="62"/>
  <c r="H15" i="62"/>
  <c r="F15" i="62"/>
  <c r="D15" i="62"/>
  <c r="A15" i="62"/>
  <c r="L11" i="62"/>
  <c r="L11" i="11"/>
  <c r="L11" i="10" s="1"/>
  <c r="J11" i="62"/>
  <c r="J11" i="11" s="1"/>
  <c r="J11" i="10" s="1"/>
  <c r="H11" i="62"/>
  <c r="H11" i="11" s="1"/>
  <c r="H11" i="10" s="1"/>
  <c r="F11" i="62"/>
  <c r="F11" i="11" s="1"/>
  <c r="F11" i="10" s="1"/>
  <c r="D11" i="62"/>
  <c r="D11" i="11"/>
  <c r="D11" i="10" s="1"/>
  <c r="L10" i="62"/>
  <c r="L10" i="11" s="1"/>
  <c r="H10" i="62"/>
  <c r="F10" i="62"/>
  <c r="F10" i="11" s="1"/>
  <c r="D10" i="62"/>
  <c r="D10" i="11" s="1"/>
  <c r="C8" i="62"/>
  <c r="I7" i="62"/>
  <c r="C7" i="62"/>
  <c r="C6" i="62"/>
  <c r="C5" i="62"/>
  <c r="N11" i="67"/>
  <c r="F16" i="67"/>
  <c r="L162" i="58"/>
  <c r="L163" i="58" s="1"/>
  <c r="N182" i="58" s="1"/>
  <c r="F13" i="51"/>
  <c r="F14" i="51"/>
  <c r="D14" i="13"/>
  <c r="D17" i="13" s="1"/>
  <c r="M157" i="13"/>
  <c r="J49" i="57" s="1"/>
  <c r="A78" i="13"/>
  <c r="G55" i="58"/>
  <c r="F55" i="58"/>
  <c r="E56" i="58"/>
  <c r="D56" i="58"/>
  <c r="E66" i="58"/>
  <c r="D66" i="58"/>
  <c r="E62" i="58"/>
  <c r="D62" i="58"/>
  <c r="E144" i="58"/>
  <c r="H150" i="58" s="1"/>
  <c r="I161" i="58" s="1"/>
  <c r="I163" i="58" s="1"/>
  <c r="K182" i="58" s="1"/>
  <c r="D70" i="58"/>
  <c r="H71" i="58" s="1"/>
  <c r="J71" i="58" s="1"/>
  <c r="K71" i="58" s="1"/>
  <c r="L71" i="58" s="1"/>
  <c r="M71" i="58" s="1"/>
  <c r="N71" i="58" s="1"/>
  <c r="O71" i="58" s="1"/>
  <c r="P71" i="58" s="1"/>
  <c r="Q71" i="58" s="1"/>
  <c r="R71" i="58" s="1"/>
  <c r="S71" i="58" s="1"/>
  <c r="T71" i="58" s="1"/>
  <c r="U71" i="58" s="1"/>
  <c r="V71" i="58" s="1"/>
  <c r="W71" i="58" s="1"/>
  <c r="X71" i="58" s="1"/>
  <c r="E70" i="58"/>
  <c r="F70" i="58"/>
  <c r="G70" i="58"/>
  <c r="C70" i="58"/>
  <c r="U12" i="35"/>
  <c r="U45" i="35" s="1"/>
  <c r="V12" i="35"/>
  <c r="V45" i="35" s="1"/>
  <c r="L59" i="58"/>
  <c r="K59" i="58"/>
  <c r="M59" i="58"/>
  <c r="N59" i="58" s="1"/>
  <c r="O59" i="58" s="1"/>
  <c r="P59" i="58" s="1"/>
  <c r="Q59" i="58" s="1"/>
  <c r="R59" i="58" s="1"/>
  <c r="S59" i="58" s="1"/>
  <c r="T59" i="58" s="1"/>
  <c r="U59" i="58" s="1"/>
  <c r="V59" i="58" s="1"/>
  <c r="W59" i="58" s="1"/>
  <c r="X59" i="58" s="1"/>
  <c r="J59" i="58"/>
  <c r="H59" i="58"/>
  <c r="D114" i="58"/>
  <c r="H115" i="58" s="1"/>
  <c r="J115" i="58" s="1"/>
  <c r="K115" i="58" s="1"/>
  <c r="L115" i="58" s="1"/>
  <c r="M115" i="58" s="1"/>
  <c r="N115" i="58" s="1"/>
  <c r="O115" i="58" s="1"/>
  <c r="P115" i="58" s="1"/>
  <c r="Q115" i="58" s="1"/>
  <c r="R115" i="58" s="1"/>
  <c r="S115" i="58" s="1"/>
  <c r="T115" i="58" s="1"/>
  <c r="U115" i="58" s="1"/>
  <c r="V115" i="58" s="1"/>
  <c r="W115" i="58" s="1"/>
  <c r="X115" i="58" s="1"/>
  <c r="E114" i="58"/>
  <c r="F114" i="58"/>
  <c r="G114" i="58"/>
  <c r="C114" i="58"/>
  <c r="J34" i="58"/>
  <c r="I31" i="40"/>
  <c r="J32" i="58"/>
  <c r="F74" i="58"/>
  <c r="G74" i="58"/>
  <c r="F72" i="58"/>
  <c r="G72" i="58"/>
  <c r="N57" i="58"/>
  <c r="O57" i="58" s="1"/>
  <c r="P57" i="58" s="1"/>
  <c r="Q57" i="58" s="1"/>
  <c r="R57" i="58" s="1"/>
  <c r="S57" i="58" s="1"/>
  <c r="T57" i="58" s="1"/>
  <c r="U57" i="58" s="1"/>
  <c r="V57" i="58" s="1"/>
  <c r="W57" i="58" s="1"/>
  <c r="X57" i="58" s="1"/>
  <c r="J22" i="58"/>
  <c r="K22" i="58" s="1"/>
  <c r="L22" i="58" s="1"/>
  <c r="M22" i="58" s="1"/>
  <c r="N22" i="58" s="1"/>
  <c r="O22" i="58" s="1"/>
  <c r="D145" i="58"/>
  <c r="E145" i="58"/>
  <c r="G145" i="58" s="1"/>
  <c r="F145" i="58"/>
  <c r="C145" i="58"/>
  <c r="N63" i="58"/>
  <c r="N67" i="58" s="1"/>
  <c r="M267" i="40" s="1"/>
  <c r="O63" i="58"/>
  <c r="P63" i="58" s="1"/>
  <c r="F60" i="58"/>
  <c r="G60" i="58"/>
  <c r="C60" i="58"/>
  <c r="G6" i="58"/>
  <c r="G82" i="58" s="1"/>
  <c r="F6" i="58"/>
  <c r="F82" i="58"/>
  <c r="E6" i="58"/>
  <c r="D6" i="58"/>
  <c r="D55" i="58" s="1"/>
  <c r="C6" i="58"/>
  <c r="C101" i="58" s="1"/>
  <c r="J16" i="58"/>
  <c r="K16" i="58"/>
  <c r="C15" i="33"/>
  <c r="C38" i="33"/>
  <c r="G227" i="40"/>
  <c r="G185" i="40"/>
  <c r="G266" i="40" s="1"/>
  <c r="G18" i="8"/>
  <c r="G43" i="69" s="1"/>
  <c r="F18" i="8"/>
  <c r="C43" i="69"/>
  <c r="D21" i="13"/>
  <c r="F11" i="51"/>
  <c r="B21" i="13"/>
  <c r="K30" i="13"/>
  <c r="K31" i="13"/>
  <c r="K32" i="13"/>
  <c r="I29" i="13"/>
  <c r="I30" i="13"/>
  <c r="I31" i="13"/>
  <c r="I32" i="13"/>
  <c r="I28" i="13"/>
  <c r="M11" i="13"/>
  <c r="M10" i="13"/>
  <c r="J284" i="40"/>
  <c r="H79" i="40"/>
  <c r="I79" i="40" s="1"/>
  <c r="J79" i="40" s="1"/>
  <c r="K79" i="40" s="1"/>
  <c r="L79" i="40" s="1"/>
  <c r="M79" i="40" s="1"/>
  <c r="N79" i="40" s="1"/>
  <c r="O79" i="40" s="1"/>
  <c r="P79" i="40" s="1"/>
  <c r="Q79" i="40" s="1"/>
  <c r="R79" i="40" s="1"/>
  <c r="S79" i="40" s="1"/>
  <c r="T79" i="40" s="1"/>
  <c r="U79" i="40" s="1"/>
  <c r="V79" i="40" s="1"/>
  <c r="W79" i="40" s="1"/>
  <c r="I32" i="40"/>
  <c r="J32" i="40"/>
  <c r="K32" i="40"/>
  <c r="L32" i="40"/>
  <c r="M32" i="40"/>
  <c r="N32" i="40"/>
  <c r="O32" i="40"/>
  <c r="P32" i="40"/>
  <c r="Q32" i="40"/>
  <c r="R32" i="40"/>
  <c r="S32" i="40"/>
  <c r="T32" i="40"/>
  <c r="U32" i="40"/>
  <c r="V32" i="40"/>
  <c r="W32" i="40"/>
  <c r="H32" i="40"/>
  <c r="H31" i="40"/>
  <c r="I8" i="40"/>
  <c r="J8" i="40"/>
  <c r="K8" i="40"/>
  <c r="L8" i="40"/>
  <c r="M8" i="40"/>
  <c r="N8" i="40"/>
  <c r="O8" i="40"/>
  <c r="P8" i="40"/>
  <c r="Q8" i="40"/>
  <c r="R8" i="40"/>
  <c r="S8" i="40"/>
  <c r="T8" i="40"/>
  <c r="U8" i="40"/>
  <c r="V8" i="40"/>
  <c r="W8" i="40"/>
  <c r="H8" i="40"/>
  <c r="D78" i="40"/>
  <c r="E78" i="40"/>
  <c r="F78" i="40"/>
  <c r="G78" i="40"/>
  <c r="C87" i="40"/>
  <c r="F87" i="40"/>
  <c r="G87" i="40"/>
  <c r="D88" i="40"/>
  <c r="C94" i="40"/>
  <c r="F94" i="40"/>
  <c r="F112" i="58" s="1"/>
  <c r="F95" i="40"/>
  <c r="G94" i="40"/>
  <c r="L18" i="10" s="1"/>
  <c r="C103" i="40"/>
  <c r="D19" i="10" s="1"/>
  <c r="D103" i="40"/>
  <c r="D104" i="40" s="1"/>
  <c r="E103" i="40"/>
  <c r="H19" i="10" s="1"/>
  <c r="E104" i="40"/>
  <c r="F103" i="40"/>
  <c r="J19" i="10" s="1"/>
  <c r="K19" i="10" s="1"/>
  <c r="G103" i="40"/>
  <c r="L19" i="10" s="1"/>
  <c r="C110" i="40"/>
  <c r="D24" i="10" s="1"/>
  <c r="D110" i="40"/>
  <c r="F24" i="10" s="1"/>
  <c r="E110" i="40"/>
  <c r="F110" i="40"/>
  <c r="J24" i="10" s="1"/>
  <c r="G110" i="40"/>
  <c r="L24" i="10" s="1"/>
  <c r="C116" i="40"/>
  <c r="D20" i="10" s="1"/>
  <c r="F116" i="40"/>
  <c r="F343" i="40" s="1"/>
  <c r="G116" i="40"/>
  <c r="G343" i="40" s="1"/>
  <c r="C117" i="40"/>
  <c r="D117" i="40"/>
  <c r="E117" i="40"/>
  <c r="E366" i="40" s="1"/>
  <c r="F117" i="40"/>
  <c r="J21" i="10"/>
  <c r="G117" i="40"/>
  <c r="G366" i="40" s="1"/>
  <c r="C125" i="40"/>
  <c r="D125" i="40"/>
  <c r="E125" i="40"/>
  <c r="F125" i="40"/>
  <c r="G125" i="40"/>
  <c r="C127" i="40"/>
  <c r="D30" i="10" s="1"/>
  <c r="D127" i="40"/>
  <c r="F30" i="10" s="1"/>
  <c r="E127" i="40"/>
  <c r="F127" i="40"/>
  <c r="J30" i="10" s="1"/>
  <c r="K30" i="10" s="1"/>
  <c r="G127" i="40"/>
  <c r="L30" i="10"/>
  <c r="C141" i="40"/>
  <c r="D141" i="40"/>
  <c r="D131" i="40" s="1"/>
  <c r="F38" i="10" s="1"/>
  <c r="E141" i="40"/>
  <c r="F141" i="40"/>
  <c r="G141" i="40"/>
  <c r="C145" i="40"/>
  <c r="D33" i="10"/>
  <c r="D145" i="40"/>
  <c r="E145" i="40"/>
  <c r="H33" i="10" s="1"/>
  <c r="F145" i="40"/>
  <c r="J33" i="10" s="1"/>
  <c r="G145" i="40"/>
  <c r="L33" i="10"/>
  <c r="C149" i="40"/>
  <c r="D34" i="10" s="1"/>
  <c r="D149" i="40"/>
  <c r="F34" i="10" s="1"/>
  <c r="E149" i="40"/>
  <c r="H34" i="10" s="1"/>
  <c r="F149" i="40"/>
  <c r="J34" i="10"/>
  <c r="G149" i="40"/>
  <c r="L34" i="10" s="1"/>
  <c r="M34" i="10" s="1"/>
  <c r="C153" i="40"/>
  <c r="D37" i="10" s="1"/>
  <c r="D153" i="40"/>
  <c r="F37" i="10" s="1"/>
  <c r="F153" i="40"/>
  <c r="J37" i="10" s="1"/>
  <c r="G153" i="40"/>
  <c r="L37" i="10" s="1"/>
  <c r="C157" i="40"/>
  <c r="D36" i="10" s="1"/>
  <c r="D157" i="40"/>
  <c r="F36" i="10" s="1"/>
  <c r="E157" i="40"/>
  <c r="H36" i="10" s="1"/>
  <c r="F157" i="40"/>
  <c r="J36" i="10"/>
  <c r="G157" i="40"/>
  <c r="L36" i="10" s="1"/>
  <c r="F180" i="40"/>
  <c r="G180" i="40"/>
  <c r="C185" i="40"/>
  <c r="F185" i="40"/>
  <c r="F193" i="40" s="1"/>
  <c r="F200" i="40"/>
  <c r="G200" i="40"/>
  <c r="D227" i="40"/>
  <c r="H19" i="13" s="1"/>
  <c r="E227" i="40"/>
  <c r="I19" i="13" s="1"/>
  <c r="F227" i="40"/>
  <c r="D236" i="40"/>
  <c r="H18" i="49" s="1"/>
  <c r="E236" i="40"/>
  <c r="I18" i="13" s="1"/>
  <c r="F236" i="40"/>
  <c r="G236" i="40"/>
  <c r="G250" i="40"/>
  <c r="L46" i="11" s="1"/>
  <c r="I5" i="40"/>
  <c r="J5" i="40"/>
  <c r="K5" i="40"/>
  <c r="L5" i="40"/>
  <c r="M5" i="40"/>
  <c r="N5" i="40"/>
  <c r="O5" i="40"/>
  <c r="P5" i="40"/>
  <c r="Q5" i="40"/>
  <c r="R5" i="40"/>
  <c r="S5" i="40"/>
  <c r="T5" i="40"/>
  <c r="U5" i="40"/>
  <c r="V5" i="40"/>
  <c r="W5" i="40"/>
  <c r="H5" i="40"/>
  <c r="I4" i="40"/>
  <c r="J4" i="40"/>
  <c r="K4" i="40"/>
  <c r="L4" i="40"/>
  <c r="M4" i="40"/>
  <c r="N4" i="40"/>
  <c r="O4" i="40"/>
  <c r="P4" i="40"/>
  <c r="Q4" i="40"/>
  <c r="R4" i="40"/>
  <c r="S4" i="40"/>
  <c r="T4" i="40"/>
  <c r="U4" i="40"/>
  <c r="V4" i="40"/>
  <c r="W4" i="40"/>
  <c r="H4" i="40"/>
  <c r="I3" i="40"/>
  <c r="J3" i="40"/>
  <c r="K3" i="40"/>
  <c r="L3" i="40"/>
  <c r="M3" i="40"/>
  <c r="N3" i="40"/>
  <c r="O3" i="40"/>
  <c r="P3" i="40"/>
  <c r="Q3" i="40"/>
  <c r="R3" i="40"/>
  <c r="S3" i="40"/>
  <c r="T3" i="40"/>
  <c r="U3" i="40"/>
  <c r="V3" i="40"/>
  <c r="W3" i="40"/>
  <c r="H3" i="40"/>
  <c r="I2" i="40"/>
  <c r="I9" i="40" s="1"/>
  <c r="J2" i="40"/>
  <c r="K2" i="40"/>
  <c r="L2" i="40"/>
  <c r="M2" i="40"/>
  <c r="N2" i="40"/>
  <c r="O2" i="40"/>
  <c r="P2" i="40"/>
  <c r="Q2" i="40"/>
  <c r="R2" i="40"/>
  <c r="S2" i="40"/>
  <c r="T2" i="40"/>
  <c r="U2" i="40"/>
  <c r="V2" i="40"/>
  <c r="W2" i="40"/>
  <c r="H2" i="40"/>
  <c r="H9" i="40" s="1"/>
  <c r="C5" i="40"/>
  <c r="F9" i="40"/>
  <c r="G9" i="40"/>
  <c r="F104" i="40"/>
  <c r="G104" i="40"/>
  <c r="G95" i="40"/>
  <c r="E153" i="40"/>
  <c r="H37" i="10" s="1"/>
  <c r="C110" i="60"/>
  <c r="M103" i="60"/>
  <c r="M107" i="60" s="1"/>
  <c r="M114" i="60" s="1"/>
  <c r="C114" i="60" s="1"/>
  <c r="N110" i="60"/>
  <c r="C112" i="60"/>
  <c r="C108" i="60"/>
  <c r="M108" i="60" s="1"/>
  <c r="C106" i="60"/>
  <c r="M106" i="60" s="1"/>
  <c r="M90" i="60"/>
  <c r="M98" i="60" s="1"/>
  <c r="C97" i="60"/>
  <c r="M97" i="60" s="1"/>
  <c r="C95" i="60"/>
  <c r="M95" i="60"/>
  <c r="C93" i="60"/>
  <c r="M78" i="60"/>
  <c r="N82" i="60" s="1"/>
  <c r="N87" i="60" s="1"/>
  <c r="D87" i="60" s="1"/>
  <c r="N81" i="60"/>
  <c r="C85" i="60"/>
  <c r="C83" i="60"/>
  <c r="M83" i="60" s="1"/>
  <c r="C81" i="60"/>
  <c r="M64" i="60"/>
  <c r="M72" i="60" s="1"/>
  <c r="C73" i="60"/>
  <c r="C71" i="60"/>
  <c r="M71" i="60"/>
  <c r="C69" i="60"/>
  <c r="C67" i="60"/>
  <c r="M67" i="60" s="1"/>
  <c r="M46" i="60"/>
  <c r="N52" i="60" s="1"/>
  <c r="C59" i="60"/>
  <c r="C57" i="60"/>
  <c r="C55" i="60"/>
  <c r="C53" i="60"/>
  <c r="M53" i="60" s="1"/>
  <c r="C51" i="60"/>
  <c r="C49" i="60"/>
  <c r="M49" i="60" s="1"/>
  <c r="N108" i="60"/>
  <c r="N112" i="60"/>
  <c r="M112" i="60"/>
  <c r="M109" i="60"/>
  <c r="M111" i="60"/>
  <c r="N111" i="60"/>
  <c r="M85" i="60"/>
  <c r="M93" i="60"/>
  <c r="N97" i="60"/>
  <c r="M58" i="60"/>
  <c r="N85" i="60"/>
  <c r="N84" i="60"/>
  <c r="M73" i="60"/>
  <c r="M70" i="60"/>
  <c r="C39" i="60"/>
  <c r="C37" i="60"/>
  <c r="C35" i="60"/>
  <c r="C33" i="60"/>
  <c r="C31" i="60"/>
  <c r="C29" i="60"/>
  <c r="M9" i="60"/>
  <c r="N21" i="60" s="1"/>
  <c r="N25" i="60" s="1"/>
  <c r="D25" i="60" s="1"/>
  <c r="C23" i="60"/>
  <c r="M23" i="60"/>
  <c r="C21" i="60"/>
  <c r="C19" i="60"/>
  <c r="C17" i="60"/>
  <c r="C15" i="60"/>
  <c r="C13" i="60"/>
  <c r="O110" i="25"/>
  <c r="P110" i="25"/>
  <c r="N110" i="25"/>
  <c r="H5" i="13"/>
  <c r="H5" i="69" s="1"/>
  <c r="M7" i="13"/>
  <c r="B33" i="13"/>
  <c r="B33" i="69" s="1"/>
  <c r="E24" i="13"/>
  <c r="E24" i="69"/>
  <c r="E25" i="13"/>
  <c r="E25" i="69" s="1"/>
  <c r="E26" i="13"/>
  <c r="E26" i="69"/>
  <c r="E27" i="13"/>
  <c r="E27" i="69"/>
  <c r="E28" i="13"/>
  <c r="E28" i="69" s="1"/>
  <c r="E29" i="13"/>
  <c r="E29" i="69" s="1"/>
  <c r="E30" i="13"/>
  <c r="E30" i="69"/>
  <c r="E31" i="13"/>
  <c r="E31" i="69" s="1"/>
  <c r="E32" i="13"/>
  <c r="E32" i="69" s="1"/>
  <c r="E33" i="13"/>
  <c r="E33" i="69" s="1"/>
  <c r="E23" i="13"/>
  <c r="E23" i="69" s="1"/>
  <c r="D24" i="13"/>
  <c r="D24" i="69"/>
  <c r="D25" i="13"/>
  <c r="D25" i="69"/>
  <c r="D26" i="13"/>
  <c r="D26" i="69" s="1"/>
  <c r="D27" i="13"/>
  <c r="D27" i="69"/>
  <c r="D28" i="13"/>
  <c r="D28" i="69"/>
  <c r="D29" i="13"/>
  <c r="D29" i="69" s="1"/>
  <c r="D30" i="13"/>
  <c r="D30" i="69" s="1"/>
  <c r="D31" i="13"/>
  <c r="D31" i="69" s="1"/>
  <c r="D32" i="13"/>
  <c r="D32" i="69" s="1"/>
  <c r="D33" i="13"/>
  <c r="D33" i="69"/>
  <c r="D23" i="13"/>
  <c r="D23" i="69" s="1"/>
  <c r="B24" i="13"/>
  <c r="B25" i="13"/>
  <c r="B26" i="13"/>
  <c r="B27" i="13"/>
  <c r="B28" i="13"/>
  <c r="B28" i="69" s="1"/>
  <c r="B29" i="13"/>
  <c r="B29" i="69" s="1"/>
  <c r="B30" i="13"/>
  <c r="B34" i="13" s="1"/>
  <c r="B34" i="69" s="1"/>
  <c r="B31" i="13"/>
  <c r="B32" i="13"/>
  <c r="A33" i="13"/>
  <c r="A24" i="13"/>
  <c r="A25" i="13"/>
  <c r="A26" i="13"/>
  <c r="A27" i="13"/>
  <c r="A28" i="13"/>
  <c r="A29" i="13"/>
  <c r="A30" i="13"/>
  <c r="A31" i="13"/>
  <c r="A32" i="13"/>
  <c r="A23" i="13"/>
  <c r="H23" i="57"/>
  <c r="B51" i="57"/>
  <c r="B50" i="57"/>
  <c r="B49" i="57"/>
  <c r="H6" i="58"/>
  <c r="H101" i="58" s="1"/>
  <c r="G2" i="57"/>
  <c r="K49" i="57"/>
  <c r="K50" i="57"/>
  <c r="J50" i="57"/>
  <c r="D51" i="57"/>
  <c r="C51" i="57"/>
  <c r="D50" i="57"/>
  <c r="E50" i="57"/>
  <c r="C50" i="57"/>
  <c r="D49" i="57"/>
  <c r="C49" i="57"/>
  <c r="J33" i="13"/>
  <c r="H33" i="13"/>
  <c r="G33" i="13"/>
  <c r="L27" i="57"/>
  <c r="L28" i="57"/>
  <c r="L29" i="57"/>
  <c r="L30" i="57"/>
  <c r="L31" i="57"/>
  <c r="L32" i="57"/>
  <c r="L33" i="57"/>
  <c r="L34" i="57"/>
  <c r="L35" i="57"/>
  <c r="L36" i="57"/>
  <c r="L26" i="57"/>
  <c r="K27" i="57"/>
  <c r="K28" i="57"/>
  <c r="K29" i="57"/>
  <c r="K30" i="57"/>
  <c r="K31" i="57"/>
  <c r="K32" i="57"/>
  <c r="K33" i="57"/>
  <c r="K34" i="57"/>
  <c r="K35" i="57"/>
  <c r="K36" i="57"/>
  <c r="K26" i="57"/>
  <c r="I27" i="57"/>
  <c r="I28" i="57"/>
  <c r="I29" i="57"/>
  <c r="I30" i="57"/>
  <c r="I31" i="57"/>
  <c r="I32" i="57"/>
  <c r="I33" i="57"/>
  <c r="I34" i="57"/>
  <c r="I35" i="57"/>
  <c r="I36" i="57"/>
  <c r="I26" i="57"/>
  <c r="G27" i="57"/>
  <c r="G28" i="57"/>
  <c r="G29" i="57"/>
  <c r="G30" i="57"/>
  <c r="G31" i="57"/>
  <c r="G32" i="57"/>
  <c r="G33" i="57"/>
  <c r="G34" i="57"/>
  <c r="G35" i="57"/>
  <c r="G36" i="57"/>
  <c r="G26" i="57"/>
  <c r="B27" i="55"/>
  <c r="B22" i="55"/>
  <c r="D6" i="52"/>
  <c r="D5" i="53" s="1"/>
  <c r="E6" i="52"/>
  <c r="E5" i="53" s="1"/>
  <c r="C6" i="52"/>
  <c r="C5" i="53" s="1"/>
  <c r="J6" i="51"/>
  <c r="L49" i="56"/>
  <c r="L56" i="56" s="1"/>
  <c r="E56" i="56"/>
  <c r="M49" i="56"/>
  <c r="D56" i="56"/>
  <c r="H30" i="55"/>
  <c r="K30" i="55" s="1"/>
  <c r="E30" i="55"/>
  <c r="D30" i="55"/>
  <c r="F27" i="55"/>
  <c r="H25" i="55"/>
  <c r="E25" i="55"/>
  <c r="F25" i="55" s="1"/>
  <c r="D25" i="55"/>
  <c r="F22" i="55"/>
  <c r="H20" i="55"/>
  <c r="E20" i="55"/>
  <c r="D20" i="55"/>
  <c r="F17" i="55"/>
  <c r="H15" i="55"/>
  <c r="E15" i="55"/>
  <c r="D15" i="55"/>
  <c r="F12" i="55"/>
  <c r="H10" i="55"/>
  <c r="E10" i="55"/>
  <c r="E32" i="55" s="1"/>
  <c r="D10" i="55"/>
  <c r="F7" i="55"/>
  <c r="N4" i="51"/>
  <c r="O21" i="51" s="1"/>
  <c r="D12" i="51"/>
  <c r="J15" i="51"/>
  <c r="J14" i="51"/>
  <c r="J12" i="51"/>
  <c r="B34" i="54" s="1"/>
  <c r="J11" i="51"/>
  <c r="B28" i="54" s="1"/>
  <c r="J10" i="51"/>
  <c r="B22" i="54"/>
  <c r="J9" i="51"/>
  <c r="B16" i="54"/>
  <c r="J8" i="51"/>
  <c r="B10" i="54" s="1"/>
  <c r="J7" i="51"/>
  <c r="B4" i="54" s="1"/>
  <c r="A156" i="49"/>
  <c r="A155" i="49"/>
  <c r="C144" i="49"/>
  <c r="B143" i="49"/>
  <c r="H69" i="49"/>
  <c r="L69" i="49" s="1"/>
  <c r="L72" i="49" s="1"/>
  <c r="L9" i="49" s="1"/>
  <c r="A67" i="49"/>
  <c r="A65" i="49"/>
  <c r="C44" i="49"/>
  <c r="E39" i="49"/>
  <c r="L30" i="49"/>
  <c r="K30" i="49"/>
  <c r="E30" i="49"/>
  <c r="D30" i="49"/>
  <c r="B30" i="49"/>
  <c r="A30" i="49"/>
  <c r="E29" i="49"/>
  <c r="D29" i="49"/>
  <c r="B29" i="49"/>
  <c r="A29" i="49"/>
  <c r="E28" i="49"/>
  <c r="D28" i="49"/>
  <c r="B28" i="49"/>
  <c r="A28" i="49"/>
  <c r="L27" i="49"/>
  <c r="K27" i="49"/>
  <c r="E27" i="49"/>
  <c r="D27" i="49"/>
  <c r="B27" i="49"/>
  <c r="A27" i="49"/>
  <c r="E26" i="49"/>
  <c r="D26" i="49"/>
  <c r="B26" i="49"/>
  <c r="A26" i="49"/>
  <c r="E25" i="49"/>
  <c r="D25" i="49"/>
  <c r="B25" i="49"/>
  <c r="A25" i="49"/>
  <c r="E24" i="49"/>
  <c r="D24" i="49"/>
  <c r="B24" i="49"/>
  <c r="A24" i="49"/>
  <c r="E23" i="49"/>
  <c r="D23" i="49"/>
  <c r="B23" i="49"/>
  <c r="A23" i="49"/>
  <c r="I21" i="49"/>
  <c r="H21" i="49"/>
  <c r="L20" i="49"/>
  <c r="D16" i="49"/>
  <c r="C16" i="49"/>
  <c r="D15" i="49"/>
  <c r="C15" i="49"/>
  <c r="D14" i="49"/>
  <c r="C14" i="49"/>
  <c r="I13" i="49"/>
  <c r="L13" i="49" s="1"/>
  <c r="H13" i="49"/>
  <c r="L11" i="49"/>
  <c r="K11" i="49"/>
  <c r="L10" i="49"/>
  <c r="K10" i="49"/>
  <c r="J149" i="49" s="1"/>
  <c r="L7" i="49"/>
  <c r="N6" i="49"/>
  <c r="B6" i="49"/>
  <c r="H5" i="49"/>
  <c r="B5" i="49"/>
  <c r="E4" i="49"/>
  <c r="K154" i="13"/>
  <c r="D2" i="48"/>
  <c r="D3" i="48"/>
  <c r="D4" i="48"/>
  <c r="C4" i="48"/>
  <c r="C3" i="48"/>
  <c r="C2" i="48"/>
  <c r="D31" i="48"/>
  <c r="J29" i="48"/>
  <c r="J28" i="48"/>
  <c r="E14" i="48"/>
  <c r="E15" i="48"/>
  <c r="C14" i="48"/>
  <c r="F14" i="48" s="1"/>
  <c r="J15" i="48"/>
  <c r="J16" i="48"/>
  <c r="J17" i="48"/>
  <c r="J18" i="48"/>
  <c r="J19" i="48"/>
  <c r="J20" i="48"/>
  <c r="J21" i="48"/>
  <c r="J22" i="48"/>
  <c r="J23" i="48"/>
  <c r="J24" i="48"/>
  <c r="J25" i="48"/>
  <c r="J26" i="48"/>
  <c r="J27" i="48"/>
  <c r="J14" i="48"/>
  <c r="D317" i="40"/>
  <c r="D321" i="40" s="1"/>
  <c r="D318" i="40"/>
  <c r="E319" i="40"/>
  <c r="E318" i="40"/>
  <c r="E317" i="40"/>
  <c r="E321" i="40" s="1"/>
  <c r="C317" i="40"/>
  <c r="C318" i="40"/>
  <c r="D319" i="40"/>
  <c r="E372" i="40"/>
  <c r="H358" i="40"/>
  <c r="I358" i="40" s="1"/>
  <c r="J358" i="40" s="1"/>
  <c r="K358" i="40" s="1"/>
  <c r="L358" i="40" s="1"/>
  <c r="M358" i="40" s="1"/>
  <c r="N358" i="40" s="1"/>
  <c r="O358" i="40" s="1"/>
  <c r="P358" i="40" s="1"/>
  <c r="Q358" i="40" s="1"/>
  <c r="R358" i="40" s="1"/>
  <c r="S358" i="40" s="1"/>
  <c r="T358" i="40" s="1"/>
  <c r="U358" i="40" s="1"/>
  <c r="V358" i="40" s="1"/>
  <c r="W358" i="40" s="1"/>
  <c r="C149" i="13"/>
  <c r="V3" i="46"/>
  <c r="A76" i="13"/>
  <c r="H78" i="13"/>
  <c r="J56" i="13" s="1"/>
  <c r="I21" i="13"/>
  <c r="K33" i="73" s="1"/>
  <c r="I13" i="13"/>
  <c r="H21" i="13"/>
  <c r="J33" i="73" s="1"/>
  <c r="H13" i="13"/>
  <c r="J26" i="83" s="1"/>
  <c r="A161" i="13"/>
  <c r="A160" i="13"/>
  <c r="E4" i="13"/>
  <c r="E4" i="69" s="1"/>
  <c r="O6" i="13"/>
  <c r="G25" i="8"/>
  <c r="G31" i="8"/>
  <c r="G37" i="8"/>
  <c r="G41" i="13" s="1"/>
  <c r="G43" i="13" s="1"/>
  <c r="G43" i="8"/>
  <c r="G49" i="8"/>
  <c r="G55" i="8"/>
  <c r="G61" i="8"/>
  <c r="F25" i="8"/>
  <c r="F31" i="8"/>
  <c r="F37" i="8"/>
  <c r="F43" i="8"/>
  <c r="F49" i="8"/>
  <c r="F55" i="8"/>
  <c r="F61" i="8"/>
  <c r="E42" i="13"/>
  <c r="C16" i="13"/>
  <c r="C15" i="13"/>
  <c r="C14" i="13"/>
  <c r="C17" i="13" s="1"/>
  <c r="D16" i="13"/>
  <c r="D15" i="13"/>
  <c r="B6" i="13"/>
  <c r="B5" i="13"/>
  <c r="A10" i="68" s="1"/>
  <c r="A71" i="68" s="1"/>
  <c r="C54" i="13"/>
  <c r="F74" i="8"/>
  <c r="F79" i="8"/>
  <c r="F84" i="8"/>
  <c r="F89" i="8"/>
  <c r="F94" i="8"/>
  <c r="F99" i="8"/>
  <c r="F104" i="8"/>
  <c r="F109" i="8"/>
  <c r="G74" i="8"/>
  <c r="G79" i="8"/>
  <c r="G84" i="8"/>
  <c r="G112" i="8" s="1"/>
  <c r="G89" i="8"/>
  <c r="G94" i="8"/>
  <c r="G99" i="8"/>
  <c r="G104" i="8"/>
  <c r="G109" i="8"/>
  <c r="C24" i="49"/>
  <c r="C30" i="14"/>
  <c r="E30" i="14" s="1"/>
  <c r="E5001" i="40"/>
  <c r="E5002" i="40" s="1"/>
  <c r="E5003" i="40" s="1"/>
  <c r="A5002" i="40"/>
  <c r="A5003" i="40"/>
  <c r="E341" i="40"/>
  <c r="E342" i="40"/>
  <c r="E365" i="40"/>
  <c r="D365" i="40"/>
  <c r="E380" i="40"/>
  <c r="D380" i="40"/>
  <c r="E382" i="40"/>
  <c r="D5001" i="40"/>
  <c r="D5002" i="40" s="1"/>
  <c r="D5003" i="40" s="1"/>
  <c r="A5001" i="40"/>
  <c r="D341" i="40"/>
  <c r="D342" i="40"/>
  <c r="C365" i="40"/>
  <c r="C380" i="40"/>
  <c r="D382" i="40"/>
  <c r="P13" i="47"/>
  <c r="P18" i="47"/>
  <c r="L13" i="47"/>
  <c r="L18" i="47"/>
  <c r="J13" i="47"/>
  <c r="J18" i="47"/>
  <c r="H13" i="47"/>
  <c r="H18" i="47"/>
  <c r="F13" i="47"/>
  <c r="F18" i="47"/>
  <c r="D13" i="47"/>
  <c r="D18" i="47"/>
  <c r="B13" i="47"/>
  <c r="B18" i="47"/>
  <c r="B1" i="46"/>
  <c r="B1" i="47"/>
  <c r="B2" i="46"/>
  <c r="B2" i="47" s="1"/>
  <c r="B3" i="46"/>
  <c r="B3" i="47" s="1"/>
  <c r="AH53" i="25"/>
  <c r="AH49" i="25"/>
  <c r="N45" i="39" s="1"/>
  <c r="AH50" i="25"/>
  <c r="N46" i="39" s="1"/>
  <c r="AH36" i="25"/>
  <c r="N32" i="39"/>
  <c r="AH35" i="25"/>
  <c r="N31" i="39"/>
  <c r="AH37" i="25"/>
  <c r="N33" i="39"/>
  <c r="AH43" i="25"/>
  <c r="AG53" i="25"/>
  <c r="AG49" i="25"/>
  <c r="AG50" i="25"/>
  <c r="AG36" i="25"/>
  <c r="AG42" i="25"/>
  <c r="AG35" i="25"/>
  <c r="AG37" i="25"/>
  <c r="AG43" i="25"/>
  <c r="P53" i="25"/>
  <c r="N53" i="25"/>
  <c r="O53" i="25"/>
  <c r="O84" i="25" s="1"/>
  <c r="O49" i="25"/>
  <c r="J182" i="58" s="1"/>
  <c r="O50" i="25"/>
  <c r="M46" i="39" s="1"/>
  <c r="D12" i="35"/>
  <c r="J5" i="33" s="1"/>
  <c r="C12" i="35"/>
  <c r="C74" i="35" s="1"/>
  <c r="C106" i="35" s="1"/>
  <c r="B12" i="35"/>
  <c r="G336" i="40"/>
  <c r="G334" i="40"/>
  <c r="G5001" i="40"/>
  <c r="G5002" i="40" s="1"/>
  <c r="G5003" i="40" s="1"/>
  <c r="E336" i="40"/>
  <c r="E333" i="40"/>
  <c r="G333" i="40"/>
  <c r="G341" i="40"/>
  <c r="G342" i="40"/>
  <c r="G365" i="40"/>
  <c r="G380" i="40"/>
  <c r="G382" i="40"/>
  <c r="G317" i="40"/>
  <c r="G321" i="40" s="1"/>
  <c r="G318" i="40"/>
  <c r="G322" i="40" s="1"/>
  <c r="G319" i="40"/>
  <c r="F5002" i="40"/>
  <c r="F317" i="40"/>
  <c r="F321" i="40" s="1"/>
  <c r="F318" i="40"/>
  <c r="F319" i="40"/>
  <c r="F341" i="40"/>
  <c r="F342" i="40"/>
  <c r="F365" i="40"/>
  <c r="F380" i="40"/>
  <c r="F382" i="40"/>
  <c r="F336" i="40"/>
  <c r="F334" i="40"/>
  <c r="D336" i="40"/>
  <c r="D333" i="40"/>
  <c r="F333" i="40"/>
  <c r="AG44" i="25"/>
  <c r="AG45" i="25"/>
  <c r="F397" i="40"/>
  <c r="E397" i="40"/>
  <c r="D397" i="40"/>
  <c r="C336" i="40"/>
  <c r="C333" i="40"/>
  <c r="G260" i="40"/>
  <c r="H390" i="40"/>
  <c r="I352" i="40"/>
  <c r="J352" i="40"/>
  <c r="K352" i="40" s="1"/>
  <c r="L352" i="40" s="1"/>
  <c r="M352" i="40" s="1"/>
  <c r="N352" i="40" s="1"/>
  <c r="O352" i="40" s="1"/>
  <c r="P352" i="40" s="1"/>
  <c r="Q352" i="40" s="1"/>
  <c r="R352" i="40" s="1"/>
  <c r="S352" i="40" s="1"/>
  <c r="T352" i="40" s="1"/>
  <c r="U352" i="40" s="1"/>
  <c r="V352" i="40" s="1"/>
  <c r="W352" i="40" s="1"/>
  <c r="I390" i="40"/>
  <c r="J390" i="40"/>
  <c r="AH44" i="25"/>
  <c r="N40" i="39" s="1"/>
  <c r="AH45" i="25"/>
  <c r="G397" i="40"/>
  <c r="AG54" i="25"/>
  <c r="AG52" i="25"/>
  <c r="P106" i="25"/>
  <c r="O102" i="25"/>
  <c r="O103" i="25" s="1"/>
  <c r="AG26" i="25"/>
  <c r="AE39" i="25"/>
  <c r="AD39" i="25"/>
  <c r="AC39" i="25"/>
  <c r="AB39" i="25"/>
  <c r="AA39" i="25"/>
  <c r="Z39" i="25"/>
  <c r="Y39" i="25"/>
  <c r="X39" i="25"/>
  <c r="W39" i="25"/>
  <c r="AE37" i="25"/>
  <c r="AD37" i="25"/>
  <c r="AC37" i="25"/>
  <c r="AB37" i="25"/>
  <c r="AA37" i="25"/>
  <c r="Z37" i="25"/>
  <c r="Y37" i="25"/>
  <c r="X37" i="25"/>
  <c r="W37" i="25"/>
  <c r="V37" i="25"/>
  <c r="U37" i="25"/>
  <c r="T37" i="25"/>
  <c r="S37" i="25"/>
  <c r="R37" i="25"/>
  <c r="Q37" i="25"/>
  <c r="P37" i="25"/>
  <c r="L86" i="25"/>
  <c r="L85" i="25"/>
  <c r="L84" i="25"/>
  <c r="L83" i="25"/>
  <c r="L82" i="25"/>
  <c r="L81" i="25"/>
  <c r="L80" i="25"/>
  <c r="L79" i="25"/>
  <c r="L78" i="25"/>
  <c r="L77" i="25"/>
  <c r="L76" i="25"/>
  <c r="L75" i="25"/>
  <c r="L74" i="25"/>
  <c r="L73" i="25"/>
  <c r="L72" i="25"/>
  <c r="L71" i="25"/>
  <c r="L70" i="25"/>
  <c r="L69" i="25"/>
  <c r="L68" i="25"/>
  <c r="L67" i="25"/>
  <c r="L66" i="25"/>
  <c r="L65" i="25"/>
  <c r="L64" i="25"/>
  <c r="L63" i="25"/>
  <c r="L62" i="25"/>
  <c r="L61" i="25"/>
  <c r="L60" i="25"/>
  <c r="L59" i="25"/>
  <c r="N102" i="25"/>
  <c r="C49" i="25"/>
  <c r="Q106" i="25"/>
  <c r="Q107" i="25" s="1"/>
  <c r="AH54" i="25"/>
  <c r="N50" i="39" s="1"/>
  <c r="O54" i="25"/>
  <c r="M50" i="39" s="1"/>
  <c r="AH52" i="25"/>
  <c r="N48" i="39" s="1"/>
  <c r="P102" i="25"/>
  <c r="P101" i="25"/>
  <c r="P104" i="25" s="1"/>
  <c r="O101" i="25"/>
  <c r="O106" i="25"/>
  <c r="O107" i="25" s="1"/>
  <c r="N101" i="25"/>
  <c r="O26" i="25"/>
  <c r="O58" i="25" s="1"/>
  <c r="AH26" i="25"/>
  <c r="N26" i="25"/>
  <c r="N58" i="25" s="1"/>
  <c r="C47" i="25"/>
  <c r="D70" i="25"/>
  <c r="D75" i="25"/>
  <c r="C70" i="25"/>
  <c r="C75" i="25"/>
  <c r="G90" i="25"/>
  <c r="G93" i="25" s="1"/>
  <c r="N54" i="25"/>
  <c r="N85" i="25" s="1"/>
  <c r="O52" i="25"/>
  <c r="M48" i="39" s="1"/>
  <c r="N52" i="25"/>
  <c r="L48" i="39" s="1"/>
  <c r="H15" i="10"/>
  <c r="I15" i="10" s="1"/>
  <c r="H45" i="11"/>
  <c r="H38" i="11"/>
  <c r="H39" i="11"/>
  <c r="H40" i="11"/>
  <c r="H42" i="11"/>
  <c r="H44" i="11"/>
  <c r="H15" i="11"/>
  <c r="H16" i="11"/>
  <c r="H17" i="11"/>
  <c r="H18" i="11"/>
  <c r="H19" i="11"/>
  <c r="H20" i="11"/>
  <c r="H21" i="11"/>
  <c r="H22" i="11"/>
  <c r="H23" i="11"/>
  <c r="H24" i="11"/>
  <c r="H25" i="11"/>
  <c r="H26" i="11"/>
  <c r="H28" i="11"/>
  <c r="H29" i="11"/>
  <c r="H30" i="11"/>
  <c r="H31" i="11"/>
  <c r="H32" i="11"/>
  <c r="H33" i="11"/>
  <c r="H34" i="11"/>
  <c r="H35" i="11"/>
  <c r="O345" i="40"/>
  <c r="P345" i="40"/>
  <c r="Q345" i="40"/>
  <c r="R345" i="40"/>
  <c r="S345" i="40"/>
  <c r="T345" i="40"/>
  <c r="U345" i="40"/>
  <c r="V345" i="40"/>
  <c r="W345" i="40"/>
  <c r="W390" i="40"/>
  <c r="V390" i="40"/>
  <c r="U390" i="40"/>
  <c r="T390" i="40"/>
  <c r="S390" i="40"/>
  <c r="R390" i="40"/>
  <c r="Q390" i="40"/>
  <c r="P390" i="40"/>
  <c r="O390" i="40"/>
  <c r="N390" i="40"/>
  <c r="M390" i="40"/>
  <c r="L390" i="40"/>
  <c r="K390" i="40"/>
  <c r="H25" i="10"/>
  <c r="AJ12" i="33"/>
  <c r="AJ11" i="33"/>
  <c r="Y18" i="33"/>
  <c r="X18" i="33"/>
  <c r="X17" i="33"/>
  <c r="X15" i="33"/>
  <c r="X14" i="33"/>
  <c r="X13" i="33"/>
  <c r="X12" i="33"/>
  <c r="AJ9" i="33"/>
  <c r="Y11" i="33" s="1"/>
  <c r="X11" i="33"/>
  <c r="AJ8" i="33"/>
  <c r="Y10" i="33" s="1"/>
  <c r="X10" i="33"/>
  <c r="AJ7" i="33"/>
  <c r="Y9" i="33" s="1"/>
  <c r="X9" i="33"/>
  <c r="AJ6" i="33"/>
  <c r="Y8" i="33"/>
  <c r="X8" i="33"/>
  <c r="X7" i="33"/>
  <c r="X6" i="33"/>
  <c r="AJ5" i="33"/>
  <c r="Y7" i="33" s="1"/>
  <c r="AJ4" i="33"/>
  <c r="Y6" i="33" s="1"/>
  <c r="C12" i="33"/>
  <c r="U10" i="33"/>
  <c r="U11" i="33"/>
  <c r="B10" i="33"/>
  <c r="C11" i="51" s="1"/>
  <c r="U9" i="33"/>
  <c r="U8" i="33"/>
  <c r="U7" i="33"/>
  <c r="U6" i="33"/>
  <c r="B6" i="33"/>
  <c r="C7" i="51" s="1"/>
  <c r="Z5" i="33"/>
  <c r="P5" i="33"/>
  <c r="B3" i="33"/>
  <c r="Y5" i="33"/>
  <c r="X5" i="33"/>
  <c r="L9" i="33"/>
  <c r="L8" i="33"/>
  <c r="L7" i="33"/>
  <c r="L6" i="33"/>
  <c r="C14" i="33"/>
  <c r="C37" i="33" s="1"/>
  <c r="C13" i="33"/>
  <c r="C36" i="33" s="1"/>
  <c r="E17" i="33"/>
  <c r="E40" i="33" s="1"/>
  <c r="E16" i="33"/>
  <c r="E39" i="33" s="1"/>
  <c r="D17" i="33"/>
  <c r="D40" i="33" s="1"/>
  <c r="D16" i="33"/>
  <c r="D39" i="33" s="1"/>
  <c r="B17" i="33"/>
  <c r="B16" i="33"/>
  <c r="B9" i="33"/>
  <c r="B32" i="33" s="1"/>
  <c r="B8" i="33"/>
  <c r="B31" i="33" s="1"/>
  <c r="B7" i="33"/>
  <c r="B30" i="33" s="1"/>
  <c r="C8" i="51"/>
  <c r="D10" i="9"/>
  <c r="D11" i="9" s="1"/>
  <c r="E10" i="9"/>
  <c r="E11" i="9" s="1"/>
  <c r="M17" i="39" s="1"/>
  <c r="F10" i="9"/>
  <c r="F11" i="9" s="1"/>
  <c r="N17" i="39" s="1"/>
  <c r="J43" i="10"/>
  <c r="J42" i="10"/>
  <c r="K42" i="10" s="1"/>
  <c r="J40" i="10"/>
  <c r="J32" i="10"/>
  <c r="J27" i="10"/>
  <c r="J28" i="10"/>
  <c r="J25" i="10"/>
  <c r="J15" i="10"/>
  <c r="F15" i="10"/>
  <c r="L43" i="10"/>
  <c r="M43" i="10" s="1"/>
  <c r="L42" i="10"/>
  <c r="L15" i="10"/>
  <c r="L25" i="10"/>
  <c r="M25" i="10" s="1"/>
  <c r="L27" i="10"/>
  <c r="L28" i="10"/>
  <c r="L32" i="10"/>
  <c r="M32" i="10" s="1"/>
  <c r="L40" i="10"/>
  <c r="M40" i="10"/>
  <c r="H43" i="10"/>
  <c r="H42" i="10"/>
  <c r="H32" i="10"/>
  <c r="H40" i="10"/>
  <c r="F43" i="10"/>
  <c r="F42" i="10"/>
  <c r="F25" i="10"/>
  <c r="F32" i="10"/>
  <c r="F40" i="10"/>
  <c r="D43" i="10"/>
  <c r="D42" i="10"/>
  <c r="D40" i="10"/>
  <c r="D32" i="10"/>
  <c r="D28" i="10"/>
  <c r="D27" i="10"/>
  <c r="D25" i="10"/>
  <c r="D15" i="10"/>
  <c r="E15" i="10" s="1"/>
  <c r="I7" i="10"/>
  <c r="C8" i="10"/>
  <c r="C7" i="10"/>
  <c r="C6" i="10"/>
  <c r="C5" i="10"/>
  <c r="F27" i="10"/>
  <c r="F28" i="10"/>
  <c r="H27" i="10"/>
  <c r="H28" i="10"/>
  <c r="C29" i="14"/>
  <c r="E29" i="14" s="1"/>
  <c r="C28" i="14"/>
  <c r="E28" i="14" s="1"/>
  <c r="G40" i="9"/>
  <c r="G41" i="9" s="1"/>
  <c r="G10" i="9"/>
  <c r="G11" i="9" s="1"/>
  <c r="O17" i="39" s="1"/>
  <c r="H10" i="9"/>
  <c r="H11" i="9" s="1"/>
  <c r="H33" i="9" s="1"/>
  <c r="P16" i="39" s="1"/>
  <c r="H40" i="9"/>
  <c r="H41" i="9" s="1"/>
  <c r="F5" i="9"/>
  <c r="F6" i="9"/>
  <c r="B6" i="9"/>
  <c r="B5" i="9"/>
  <c r="F372" i="40"/>
  <c r="G372" i="40"/>
  <c r="F288" i="40"/>
  <c r="G288" i="40"/>
  <c r="F289" i="40"/>
  <c r="G289" i="40"/>
  <c r="F290" i="40"/>
  <c r="F295" i="40"/>
  <c r="G295" i="40"/>
  <c r="F262" i="40"/>
  <c r="F292" i="40"/>
  <c r="G262" i="40"/>
  <c r="G292" i="40"/>
  <c r="F263" i="40"/>
  <c r="F293" i="40"/>
  <c r="G263" i="40"/>
  <c r="G293" i="40"/>
  <c r="F264" i="40"/>
  <c r="G264" i="40"/>
  <c r="F268" i="40"/>
  <c r="F297" i="40"/>
  <c r="F80" i="58" s="1"/>
  <c r="G268" i="40"/>
  <c r="G297" i="40"/>
  <c r="G80" i="58" s="1"/>
  <c r="F269" i="40"/>
  <c r="F298" i="40"/>
  <c r="F78" i="58" s="1"/>
  <c r="G269" i="40"/>
  <c r="G298" i="40"/>
  <c r="G78" i="58" s="1"/>
  <c r="F270" i="40"/>
  <c r="F299" i="40"/>
  <c r="G270" i="40"/>
  <c r="G299" i="40"/>
  <c r="G76" i="58"/>
  <c r="F271" i="40"/>
  <c r="F300" i="40"/>
  <c r="G271" i="40"/>
  <c r="G300" i="40"/>
  <c r="F272" i="40"/>
  <c r="F301" i="40"/>
  <c r="F84" i="58" s="1"/>
  <c r="G272" i="40"/>
  <c r="G301" i="40"/>
  <c r="G84" i="58" s="1"/>
  <c r="F273" i="40"/>
  <c r="F302" i="40"/>
  <c r="G273" i="40"/>
  <c r="G302" i="40"/>
  <c r="F276" i="40"/>
  <c r="F304" i="40"/>
  <c r="G276" i="40"/>
  <c r="G304" i="40"/>
  <c r="F277" i="40"/>
  <c r="F305" i="40"/>
  <c r="G277" i="40"/>
  <c r="G305" i="40"/>
  <c r="F278" i="40"/>
  <c r="F306" i="40"/>
  <c r="G278" i="40"/>
  <c r="G306" i="40"/>
  <c r="F279" i="40"/>
  <c r="F307" i="40"/>
  <c r="G279" i="40"/>
  <c r="G307" i="40"/>
  <c r="F280" i="40"/>
  <c r="F308" i="40"/>
  <c r="G280" i="40"/>
  <c r="G308" i="40"/>
  <c r="F281" i="40"/>
  <c r="F309" i="40"/>
  <c r="G281" i="40"/>
  <c r="G309" i="40"/>
  <c r="F282" i="40"/>
  <c r="F310" i="40"/>
  <c r="G282" i="40"/>
  <c r="G310" i="40"/>
  <c r="F283" i="40"/>
  <c r="F311" i="40"/>
  <c r="G283" i="40"/>
  <c r="G311" i="40"/>
  <c r="G40" i="40"/>
  <c r="G29" i="40"/>
  <c r="G29" i="58" s="1"/>
  <c r="F29" i="40"/>
  <c r="F29" i="58" s="1"/>
  <c r="F40" i="40"/>
  <c r="E29" i="40"/>
  <c r="E29" i="58" s="1"/>
  <c r="E108" i="58" s="1"/>
  <c r="D29" i="40"/>
  <c r="D29" i="58" s="1"/>
  <c r="D108" i="58" s="1"/>
  <c r="H109" i="58" s="1"/>
  <c r="C5001" i="40"/>
  <c r="C5002" i="40"/>
  <c r="C5003" i="40" s="1"/>
  <c r="C29" i="40"/>
  <c r="C372" i="40"/>
  <c r="D372" i="40"/>
  <c r="D264" i="40"/>
  <c r="E264" i="40"/>
  <c r="C264" i="40"/>
  <c r="B264" i="40"/>
  <c r="C289" i="40"/>
  <c r="E289" i="40"/>
  <c r="D289" i="40"/>
  <c r="D262" i="40"/>
  <c r="D292" i="40"/>
  <c r="C263" i="40"/>
  <c r="C293" i="40" s="1"/>
  <c r="D263" i="40"/>
  <c r="D293" i="40" s="1"/>
  <c r="E263" i="40"/>
  <c r="E293" i="40" s="1"/>
  <c r="C268" i="40"/>
  <c r="C297" i="40" s="1"/>
  <c r="C80" i="58" s="1"/>
  <c r="D268" i="40"/>
  <c r="D297" i="40"/>
  <c r="D80" i="58" s="1"/>
  <c r="E268" i="40"/>
  <c r="E297" i="40" s="1"/>
  <c r="C269" i="40"/>
  <c r="C298" i="40" s="1"/>
  <c r="D269" i="40"/>
  <c r="D298" i="40" s="1"/>
  <c r="D78" i="58" s="1"/>
  <c r="E269" i="40"/>
  <c r="E298" i="40" s="1"/>
  <c r="C270" i="40"/>
  <c r="C299" i="40"/>
  <c r="C76" i="58" s="1"/>
  <c r="D270" i="40"/>
  <c r="D299" i="40" s="1"/>
  <c r="E270" i="40"/>
  <c r="E299" i="40" s="1"/>
  <c r="C271" i="40"/>
  <c r="C300" i="40" s="1"/>
  <c r="D271" i="40"/>
  <c r="D300" i="40" s="1"/>
  <c r="E271" i="40"/>
  <c r="E300" i="40"/>
  <c r="C272" i="40"/>
  <c r="C301" i="40" s="1"/>
  <c r="C84" i="58" s="1"/>
  <c r="H85" i="58" s="1"/>
  <c r="J85" i="58" s="1"/>
  <c r="K85" i="58" s="1"/>
  <c r="L85" i="58" s="1"/>
  <c r="M85" i="58" s="1"/>
  <c r="N85" i="58" s="1"/>
  <c r="O85" i="58" s="1"/>
  <c r="P85" i="58" s="1"/>
  <c r="Q85" i="58" s="1"/>
  <c r="R85" i="58" s="1"/>
  <c r="S85" i="58" s="1"/>
  <c r="T85" i="58" s="1"/>
  <c r="U85" i="58" s="1"/>
  <c r="V85" i="58" s="1"/>
  <c r="W85" i="58" s="1"/>
  <c r="X85" i="58" s="1"/>
  <c r="D272" i="40"/>
  <c r="D301" i="40" s="1"/>
  <c r="D84" i="58" s="1"/>
  <c r="E272" i="40"/>
  <c r="E301" i="40" s="1"/>
  <c r="C273" i="40"/>
  <c r="C302" i="40"/>
  <c r="D273" i="40"/>
  <c r="D302" i="40"/>
  <c r="E273" i="40"/>
  <c r="E302" i="40"/>
  <c r="C276" i="40"/>
  <c r="C304" i="40" s="1"/>
  <c r="D276" i="40"/>
  <c r="D304" i="40"/>
  <c r="E276" i="40"/>
  <c r="E304" i="40" s="1"/>
  <c r="C277" i="40"/>
  <c r="C305" i="40"/>
  <c r="D277" i="40"/>
  <c r="D305" i="40" s="1"/>
  <c r="E277" i="40"/>
  <c r="E305" i="40" s="1"/>
  <c r="C278" i="40"/>
  <c r="C306" i="40" s="1"/>
  <c r="D278" i="40"/>
  <c r="D306" i="40" s="1"/>
  <c r="E278" i="40"/>
  <c r="E306" i="40"/>
  <c r="C279" i="40"/>
  <c r="C307" i="40" s="1"/>
  <c r="D279" i="40"/>
  <c r="D307" i="40"/>
  <c r="E279" i="40"/>
  <c r="E307" i="40"/>
  <c r="C280" i="40"/>
  <c r="C308" i="40"/>
  <c r="D280" i="40"/>
  <c r="D308" i="40" s="1"/>
  <c r="E280" i="40"/>
  <c r="E308" i="40" s="1"/>
  <c r="C281" i="40"/>
  <c r="C309" i="40" s="1"/>
  <c r="D281" i="40"/>
  <c r="D309" i="40"/>
  <c r="E281" i="40"/>
  <c r="E309" i="40"/>
  <c r="C282" i="40"/>
  <c r="C310" i="40" s="1"/>
  <c r="D282" i="40"/>
  <c r="D310" i="40"/>
  <c r="E282" i="40"/>
  <c r="E310" i="40"/>
  <c r="C283" i="40"/>
  <c r="C311" i="40"/>
  <c r="D283" i="40"/>
  <c r="D311" i="40" s="1"/>
  <c r="E283" i="40"/>
  <c r="E311" i="40"/>
  <c r="E262" i="40"/>
  <c r="E292" i="40" s="1"/>
  <c r="C262" i="40"/>
  <c r="C292" i="40"/>
  <c r="B281" i="40"/>
  <c r="B309" i="40"/>
  <c r="B282" i="40"/>
  <c r="B310" i="40" s="1"/>
  <c r="B283" i="40"/>
  <c r="B311" i="40" s="1"/>
  <c r="B276" i="40"/>
  <c r="B304" i="40"/>
  <c r="B277" i="40"/>
  <c r="B305" i="40" s="1"/>
  <c r="B278" i="40"/>
  <c r="B306" i="40" s="1"/>
  <c r="B279" i="40"/>
  <c r="B307" i="40"/>
  <c r="B280" i="40"/>
  <c r="B308" i="40" s="1"/>
  <c r="B263" i="40"/>
  <c r="B293" i="40" s="1"/>
  <c r="B266" i="40"/>
  <c r="B295" i="40"/>
  <c r="B268" i="40"/>
  <c r="B297" i="40"/>
  <c r="B269" i="40"/>
  <c r="B298" i="40"/>
  <c r="B270" i="40"/>
  <c r="B299" i="40" s="1"/>
  <c r="B271" i="40"/>
  <c r="B300" i="40"/>
  <c r="B272" i="40"/>
  <c r="B301" i="40"/>
  <c r="B273" i="40"/>
  <c r="B302" i="40"/>
  <c r="B262" i="40"/>
  <c r="B292" i="40" s="1"/>
  <c r="C382" i="40"/>
  <c r="C319" i="40"/>
  <c r="A15"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F16" i="11"/>
  <c r="F17" i="11"/>
  <c r="F20" i="11"/>
  <c r="F23" i="11"/>
  <c r="F26" i="11"/>
  <c r="F29" i="11"/>
  <c r="F30" i="11"/>
  <c r="F31" i="11"/>
  <c r="F35" i="11"/>
  <c r="F32" i="11"/>
  <c r="F33" i="11"/>
  <c r="F38" i="11"/>
  <c r="F39" i="11"/>
  <c r="F40" i="11"/>
  <c r="F42" i="11"/>
  <c r="D26" i="11"/>
  <c r="D25" i="11"/>
  <c r="F25" i="11"/>
  <c r="D23" i="11"/>
  <c r="D20" i="11"/>
  <c r="D17" i="11"/>
  <c r="D16" i="11"/>
  <c r="D33" i="11"/>
  <c r="D32" i="11"/>
  <c r="D31" i="11"/>
  <c r="D35" i="11"/>
  <c r="D30" i="11"/>
  <c r="D29" i="11"/>
  <c r="D42" i="11"/>
  <c r="D39" i="11"/>
  <c r="D38" i="11"/>
  <c r="D15" i="11"/>
  <c r="F15" i="11"/>
  <c r="D18" i="11"/>
  <c r="F18" i="11"/>
  <c r="D19" i="11"/>
  <c r="F19" i="11"/>
  <c r="D21" i="11"/>
  <c r="F21" i="11"/>
  <c r="D22" i="11"/>
  <c r="F22" i="11"/>
  <c r="D24" i="11"/>
  <c r="F24" i="11"/>
  <c r="D28" i="11"/>
  <c r="F28" i="11"/>
  <c r="F34" i="11"/>
  <c r="D34" i="11"/>
  <c r="D37" i="11"/>
  <c r="F37" i="11"/>
  <c r="D44" i="11"/>
  <c r="F44" i="11"/>
  <c r="D45" i="11"/>
  <c r="F45" i="11"/>
  <c r="J54" i="11"/>
  <c r="J53" i="11"/>
  <c r="J15" i="11"/>
  <c r="J16" i="11"/>
  <c r="J17" i="11"/>
  <c r="J18" i="11"/>
  <c r="J19" i="11"/>
  <c r="J20" i="11"/>
  <c r="J21" i="11"/>
  <c r="J22" i="11"/>
  <c r="J23" i="11"/>
  <c r="J24" i="11"/>
  <c r="J25" i="11"/>
  <c r="J26" i="11"/>
  <c r="J28" i="11"/>
  <c r="J29" i="11"/>
  <c r="J30" i="11"/>
  <c r="J31" i="11"/>
  <c r="J32" i="11"/>
  <c r="J33" i="11"/>
  <c r="J34" i="11"/>
  <c r="J35" i="11"/>
  <c r="J45" i="11"/>
  <c r="J44" i="11"/>
  <c r="J42" i="11"/>
  <c r="J41" i="11"/>
  <c r="J40" i="11"/>
  <c r="J39" i="11"/>
  <c r="J38" i="11"/>
  <c r="J37" i="11"/>
  <c r="L15" i="11"/>
  <c r="L16" i="11"/>
  <c r="L17" i="11"/>
  <c r="L18" i="11"/>
  <c r="L19" i="11"/>
  <c r="L20" i="11"/>
  <c r="L21" i="11"/>
  <c r="L22" i="11"/>
  <c r="L23" i="11"/>
  <c r="L24" i="11"/>
  <c r="L25" i="11"/>
  <c r="L26" i="11"/>
  <c r="L28" i="11"/>
  <c r="L29" i="11"/>
  <c r="L30" i="11"/>
  <c r="L31" i="11"/>
  <c r="L32" i="11"/>
  <c r="L33" i="11"/>
  <c r="L34" i="11"/>
  <c r="L35" i="11"/>
  <c r="L37" i="11"/>
  <c r="L38" i="11"/>
  <c r="L39" i="11"/>
  <c r="L40" i="11"/>
  <c r="L41" i="11"/>
  <c r="L42" i="11"/>
  <c r="L44" i="11"/>
  <c r="L45" i="11"/>
  <c r="L54" i="11"/>
  <c r="L53" i="11"/>
  <c r="H54" i="11"/>
  <c r="H53" i="11"/>
  <c r="F54" i="11"/>
  <c r="F53" i="11"/>
  <c r="D54" i="11"/>
  <c r="D53" i="11"/>
  <c r="I7" i="11"/>
  <c r="C8" i="11"/>
  <c r="C7" i="11"/>
  <c r="C6" i="11"/>
  <c r="C5" i="11"/>
  <c r="A81" i="8"/>
  <c r="B12" i="55"/>
  <c r="C6" i="8"/>
  <c r="F115" i="8" s="1"/>
  <c r="A106" i="8"/>
  <c r="A101" i="8"/>
  <c r="A96" i="8"/>
  <c r="A91" i="8"/>
  <c r="A86" i="8"/>
  <c r="G42" i="35"/>
  <c r="M69" i="46" s="1"/>
  <c r="M68" i="46"/>
  <c r="M34" i="46"/>
  <c r="N34" i="46" s="1"/>
  <c r="N37" i="46"/>
  <c r="F42" i="35"/>
  <c r="K69" i="46" s="1"/>
  <c r="K68" i="46"/>
  <c r="K34" i="46"/>
  <c r="I68" i="46"/>
  <c r="I34" i="46"/>
  <c r="G34" i="46"/>
  <c r="E34" i="46"/>
  <c r="V41" i="46"/>
  <c r="U41" i="46"/>
  <c r="C34" i="46"/>
  <c r="Q89" i="46"/>
  <c r="R68" i="46"/>
  <c r="P70" i="46"/>
  <c r="P69" i="46"/>
  <c r="P68" i="46"/>
  <c r="R34" i="46"/>
  <c r="P34" i="46"/>
  <c r="Q41" i="46"/>
  <c r="S41" i="46"/>
  <c r="G68" i="46"/>
  <c r="E68" i="46"/>
  <c r="C68" i="46"/>
  <c r="D41" i="46"/>
  <c r="F41" i="46"/>
  <c r="H41" i="46"/>
  <c r="U2" i="46"/>
  <c r="H3" i="46"/>
  <c r="H2" i="46"/>
  <c r="E2" i="46"/>
  <c r="E1" i="46"/>
  <c r="G43" i="35"/>
  <c r="M70" i="46" s="1"/>
  <c r="F43" i="35"/>
  <c r="K70" i="46" s="1"/>
  <c r="R70" i="46"/>
  <c r="C70" i="46"/>
  <c r="R69" i="46"/>
  <c r="E13" i="39"/>
  <c r="E41" i="39" s="1"/>
  <c r="E14" i="39"/>
  <c r="E17" i="39"/>
  <c r="J93" i="60"/>
  <c r="F13" i="39"/>
  <c r="F22" i="39" s="1"/>
  <c r="K80" i="60" s="1"/>
  <c r="K91" i="60" s="1"/>
  <c r="K104" i="60" s="1"/>
  <c r="D13" i="39"/>
  <c r="N10" i="39" s="1"/>
  <c r="C13" i="39"/>
  <c r="M10" i="39" s="1"/>
  <c r="B13" i="39"/>
  <c r="H27" i="39"/>
  <c r="L27" i="39"/>
  <c r="M27" i="39"/>
  <c r="N27" i="39"/>
  <c r="D15" i="39"/>
  <c r="M14" i="69" s="1"/>
  <c r="C15" i="39"/>
  <c r="L14" i="69" s="1"/>
  <c r="N47" i="39"/>
  <c r="C17" i="39"/>
  <c r="D17" i="39"/>
  <c r="F17" i="39"/>
  <c r="B17" i="39"/>
  <c r="C14" i="39"/>
  <c r="D14" i="39"/>
  <c r="F14" i="39"/>
  <c r="B14" i="39"/>
  <c r="H51" i="39"/>
  <c r="H50" i="39"/>
  <c r="H49" i="39"/>
  <c r="H48" i="39"/>
  <c r="H47" i="39"/>
  <c r="H46" i="39"/>
  <c r="H45" i="39"/>
  <c r="H44" i="39"/>
  <c r="H43" i="39"/>
  <c r="H42" i="39"/>
  <c r="H41" i="39"/>
  <c r="H40" i="39"/>
  <c r="H39" i="39"/>
  <c r="H38" i="39"/>
  <c r="H37" i="39"/>
  <c r="H36" i="39"/>
  <c r="H35" i="39"/>
  <c r="H28" i="39"/>
  <c r="H34" i="39"/>
  <c r="H33" i="39"/>
  <c r="H32" i="39"/>
  <c r="H31" i="39"/>
  <c r="H30" i="39"/>
  <c r="H29" i="39"/>
  <c r="H26" i="39"/>
  <c r="H25" i="39"/>
  <c r="H24" i="39"/>
  <c r="H23" i="39"/>
  <c r="M47" i="39"/>
  <c r="L47" i="39"/>
  <c r="A5" i="39"/>
  <c r="H42" i="35"/>
  <c r="I42" i="35"/>
  <c r="J42" i="35"/>
  <c r="K42" i="35"/>
  <c r="L42" i="35"/>
  <c r="M42" i="35"/>
  <c r="N42" i="35"/>
  <c r="O42" i="35"/>
  <c r="P42" i="35"/>
  <c r="Q42" i="35"/>
  <c r="R42" i="35"/>
  <c r="S42" i="35"/>
  <c r="T42" i="35"/>
  <c r="H43" i="35"/>
  <c r="I43" i="35"/>
  <c r="J43" i="35"/>
  <c r="K43" i="35"/>
  <c r="L43" i="35"/>
  <c r="M43" i="35"/>
  <c r="N43" i="35"/>
  <c r="O43" i="35"/>
  <c r="P43" i="35"/>
  <c r="Q43" i="35"/>
  <c r="R43" i="35"/>
  <c r="S43" i="35"/>
  <c r="T43" i="35"/>
  <c r="B148" i="13"/>
  <c r="L8" i="49"/>
  <c r="C42" i="13"/>
  <c r="C23" i="49"/>
  <c r="C25" i="49"/>
  <c r="K25" i="55"/>
  <c r="F15" i="55"/>
  <c r="K10" i="55"/>
  <c r="B17" i="55"/>
  <c r="G290" i="40"/>
  <c r="D32" i="55"/>
  <c r="F30" i="55"/>
  <c r="F15" i="39"/>
  <c r="M15" i="60"/>
  <c r="C9" i="51"/>
  <c r="A76" i="8"/>
  <c r="G42" i="13"/>
  <c r="C28" i="49"/>
  <c r="C27" i="49"/>
  <c r="G39" i="49"/>
  <c r="C39" i="49"/>
  <c r="J26" i="57"/>
  <c r="J35" i="57"/>
  <c r="J33" i="57"/>
  <c r="J31" i="57"/>
  <c r="J27" i="57"/>
  <c r="C28" i="13"/>
  <c r="C26" i="13"/>
  <c r="C24" i="13"/>
  <c r="J36" i="57"/>
  <c r="J34" i="57"/>
  <c r="J30" i="57"/>
  <c r="J28" i="57"/>
  <c r="C23" i="13"/>
  <c r="C27" i="13"/>
  <c r="C27" i="69" s="1"/>
  <c r="C25" i="13"/>
  <c r="J96" i="60"/>
  <c r="J95" i="60"/>
  <c r="N29" i="60"/>
  <c r="N33" i="60"/>
  <c r="N35" i="60"/>
  <c r="N37" i="60"/>
  <c r="N39" i="60"/>
  <c r="M33" i="60"/>
  <c r="M35" i="60"/>
  <c r="M37" i="60"/>
  <c r="M39" i="60"/>
  <c r="M21" i="60"/>
  <c r="N15" i="60"/>
  <c r="N19" i="60"/>
  <c r="N23" i="60"/>
  <c r="N13" i="60"/>
  <c r="N17" i="60"/>
  <c r="V11" i="33"/>
  <c r="C41" i="33"/>
  <c r="C10" i="33"/>
  <c r="D11" i="51" s="1"/>
  <c r="F350" i="40"/>
  <c r="M9" i="33"/>
  <c r="G350" i="40"/>
  <c r="I341" i="40"/>
  <c r="D334" i="40"/>
  <c r="F41" i="11"/>
  <c r="J341" i="40"/>
  <c r="L341" i="40"/>
  <c r="K341" i="40"/>
  <c r="N341" i="40"/>
  <c r="K342" i="40"/>
  <c r="M341" i="40"/>
  <c r="O341" i="40"/>
  <c r="P341" i="40"/>
  <c r="L342" i="40"/>
  <c r="M342" i="40"/>
  <c r="Q341" i="40"/>
  <c r="N342" i="40"/>
  <c r="S341" i="40"/>
  <c r="R341" i="40"/>
  <c r="O342" i="40"/>
  <c r="P342" i="40"/>
  <c r="U341" i="40"/>
  <c r="T341" i="40"/>
  <c r="Q342" i="40"/>
  <c r="V341" i="40"/>
  <c r="R342" i="40"/>
  <c r="S342" i="40"/>
  <c r="Z30" i="25"/>
  <c r="W341" i="40"/>
  <c r="T342" i="40"/>
  <c r="U342" i="40"/>
  <c r="V342" i="40"/>
  <c r="W342" i="40"/>
  <c r="K61" i="58"/>
  <c r="L61" i="58" s="1"/>
  <c r="M61" i="58" s="1"/>
  <c r="N61" i="58" s="1"/>
  <c r="O61" i="58" s="1"/>
  <c r="P61" i="58" s="1"/>
  <c r="Q61" i="58" s="1"/>
  <c r="R61" i="58" s="1"/>
  <c r="S61" i="58" s="1"/>
  <c r="T61" i="58" s="1"/>
  <c r="U61" i="58" s="1"/>
  <c r="V61" i="58" s="1"/>
  <c r="W61" i="58" s="1"/>
  <c r="X61" i="58" s="1"/>
  <c r="I342" i="40"/>
  <c r="J342" i="40"/>
  <c r="I397" i="40"/>
  <c r="J397" i="40"/>
  <c r="K397" i="40"/>
  <c r="L397" i="40"/>
  <c r="M397" i="40"/>
  <c r="N397" i="40"/>
  <c r="O397" i="40"/>
  <c r="P397" i="40"/>
  <c r="Q397" i="40"/>
  <c r="R397" i="40"/>
  <c r="S397" i="40"/>
  <c r="T397" i="40"/>
  <c r="U397" i="40"/>
  <c r="V397" i="40"/>
  <c r="W397" i="40"/>
  <c r="H397" i="40"/>
  <c r="J111" i="58"/>
  <c r="K111" i="58" s="1"/>
  <c r="L111" i="58"/>
  <c r="M111" i="58" s="1"/>
  <c r="N111" i="58" s="1"/>
  <c r="O111" i="58" s="1"/>
  <c r="P111" i="58" s="1"/>
  <c r="Q111" i="58" s="1"/>
  <c r="R111" i="58" s="1"/>
  <c r="S111" i="58" s="1"/>
  <c r="T111" i="58" s="1"/>
  <c r="U111" i="58" s="1"/>
  <c r="V111" i="58" s="1"/>
  <c r="W111" i="58" s="1"/>
  <c r="X111" i="58" s="1"/>
  <c r="AH42" i="25"/>
  <c r="N38" i="39" s="1"/>
  <c r="H37" i="11"/>
  <c r="G90" i="40"/>
  <c r="G114" i="40"/>
  <c r="F24" i="67" s="1"/>
  <c r="G120" i="40"/>
  <c r="F24" i="39" s="1"/>
  <c r="K83" i="60" s="1"/>
  <c r="G169" i="40"/>
  <c r="F25" i="39" s="1"/>
  <c r="K85" i="60" s="1"/>
  <c r="H34" i="9"/>
  <c r="G110" i="58" s="1"/>
  <c r="H35" i="66"/>
  <c r="E334" i="40"/>
  <c r="H41" i="11"/>
  <c r="C334" i="40"/>
  <c r="D41" i="11"/>
  <c r="N42" i="25"/>
  <c r="L38" i="39" s="1"/>
  <c r="D40" i="11"/>
  <c r="F90" i="40"/>
  <c r="F114" i="40"/>
  <c r="E23" i="39" s="1"/>
  <c r="J84" i="60" s="1"/>
  <c r="F120" i="40"/>
  <c r="E24" i="39" s="1"/>
  <c r="J83" i="60" s="1"/>
  <c r="F169" i="40"/>
  <c r="G34" i="9"/>
  <c r="F110" i="58" s="1"/>
  <c r="G35" i="66"/>
  <c r="M357" i="40"/>
  <c r="L357" i="40"/>
  <c r="K357" i="40"/>
  <c r="J357" i="40"/>
  <c r="I357" i="40"/>
  <c r="E60" i="58"/>
  <c r="E87" i="40"/>
  <c r="E116" i="40"/>
  <c r="E94" i="40"/>
  <c r="H18" i="10" s="1"/>
  <c r="E95" i="40"/>
  <c r="D60" i="58"/>
  <c r="D87" i="40"/>
  <c r="D89" i="40" s="1"/>
  <c r="F16" i="10" s="1"/>
  <c r="D116" i="40"/>
  <c r="D94" i="40"/>
  <c r="D112" i="58" s="1"/>
  <c r="C10" i="51"/>
  <c r="C76" i="25"/>
  <c r="R5" i="46"/>
  <c r="P5" i="47" s="1"/>
  <c r="E16" i="48"/>
  <c r="H15" i="48"/>
  <c r="C16" i="48" s="1"/>
  <c r="F16" i="48" s="1"/>
  <c r="G16" i="48" s="1"/>
  <c r="J29" i="57"/>
  <c r="C17" i="49"/>
  <c r="M31" i="60"/>
  <c r="L23" i="67"/>
  <c r="C11" i="67"/>
  <c r="J10" i="63"/>
  <c r="J10" i="64" s="1"/>
  <c r="D41" i="25"/>
  <c r="I360" i="40"/>
  <c r="C30" i="49"/>
  <c r="D76" i="25"/>
  <c r="H14" i="48"/>
  <c r="C15" i="48" s="1"/>
  <c r="F15" i="48" s="1"/>
  <c r="G15" i="48" s="1"/>
  <c r="D17" i="49"/>
  <c r="B31" i="49"/>
  <c r="M13" i="60"/>
  <c r="M25" i="60"/>
  <c r="C25" i="60" s="1"/>
  <c r="C23" i="67"/>
  <c r="K49" i="70"/>
  <c r="K56" i="70" s="1"/>
  <c r="P15" i="39"/>
  <c r="C35" i="67"/>
  <c r="N155" i="58"/>
  <c r="N150" i="58" s="1"/>
  <c r="F20" i="55"/>
  <c r="M19" i="60"/>
  <c r="M17" i="60"/>
  <c r="M29" i="60"/>
  <c r="N31" i="60"/>
  <c r="N41" i="60"/>
  <c r="D41" i="60" s="1"/>
  <c r="F10" i="55"/>
  <c r="F112" i="8"/>
  <c r="C18" i="13" s="1"/>
  <c r="C19" i="13" s="1"/>
  <c r="K20" i="55"/>
  <c r="N98" i="60"/>
  <c r="M59" i="60"/>
  <c r="F322" i="40"/>
  <c r="F101" i="58"/>
  <c r="AH30" i="25"/>
  <c r="N26" i="39"/>
  <c r="C32" i="69"/>
  <c r="C6" i="40"/>
  <c r="C7" i="40" s="1"/>
  <c r="D12" i="63" s="1"/>
  <c r="D6" i="40"/>
  <c r="F12" i="63" s="1"/>
  <c r="C30" i="69"/>
  <c r="B30" i="69"/>
  <c r="B31" i="69"/>
  <c r="G42" i="69"/>
  <c r="D43" i="25"/>
  <c r="Q63" i="58"/>
  <c r="P284" i="40" s="1"/>
  <c r="D31" i="73"/>
  <c r="G20" i="25"/>
  <c r="F15" i="51" s="1"/>
  <c r="F16" i="51" s="1"/>
  <c r="C29" i="49"/>
  <c r="J32" i="57"/>
  <c r="C29" i="13"/>
  <c r="L22" i="39"/>
  <c r="M15" i="10"/>
  <c r="M27" i="10"/>
  <c r="M30" i="10"/>
  <c r="K15" i="55"/>
  <c r="H32" i="55"/>
  <c r="J10" i="62"/>
  <c r="J10" i="11" s="1"/>
  <c r="J10" i="10" s="1"/>
  <c r="H10" i="11"/>
  <c r="H10" i="65" s="1"/>
  <c r="E51" i="57"/>
  <c r="E7" i="57"/>
  <c r="M50" i="60"/>
  <c r="N58" i="60"/>
  <c r="N53" i="60"/>
  <c r="M56" i="60"/>
  <c r="N56" i="60"/>
  <c r="N51" i="60"/>
  <c r="M52" i="60"/>
  <c r="J9" i="40"/>
  <c r="L16" i="58"/>
  <c r="K9" i="40" s="1"/>
  <c r="D28" i="73"/>
  <c r="C35" i="33"/>
  <c r="N49" i="60"/>
  <c r="N54" i="60"/>
  <c r="N73" i="60"/>
  <c r="N67" i="60"/>
  <c r="M69" i="60"/>
  <c r="N71" i="60"/>
  <c r="M84" i="60"/>
  <c r="N83" i="60"/>
  <c r="M81" i="60"/>
  <c r="N93" i="60"/>
  <c r="M94" i="60"/>
  <c r="M100" i="60"/>
  <c r="C100" i="60" s="1"/>
  <c r="M96" i="60"/>
  <c r="N106" i="60"/>
  <c r="M110" i="60"/>
  <c r="N109" i="60"/>
  <c r="N107" i="60"/>
  <c r="D25" i="73"/>
  <c r="F12" i="51"/>
  <c r="N55" i="60"/>
  <c r="M55" i="60"/>
  <c r="M57" i="60"/>
  <c r="L49" i="70"/>
  <c r="L56" i="70" s="1"/>
  <c r="M54" i="60"/>
  <c r="M61" i="60" s="1"/>
  <c r="C61" i="60" s="1"/>
  <c r="N57" i="60"/>
  <c r="M51" i="60"/>
  <c r="K32" i="58"/>
  <c r="K34" i="58"/>
  <c r="L34" i="58" s="1"/>
  <c r="M34" i="58" s="1"/>
  <c r="L31" i="40" s="1"/>
  <c r="O67" i="58"/>
  <c r="N267" i="40"/>
  <c r="N284" i="40"/>
  <c r="C17" i="33"/>
  <c r="U141" i="35"/>
  <c r="U122" i="35"/>
  <c r="C104" i="40"/>
  <c r="L25" i="62"/>
  <c r="E49" i="57"/>
  <c r="O11" i="67"/>
  <c r="L37" i="62"/>
  <c r="H360" i="40"/>
  <c r="H363" i="40"/>
  <c r="J360" i="40"/>
  <c r="M56" i="56"/>
  <c r="G33" i="9"/>
  <c r="O17" i="67" s="1"/>
  <c r="L29" i="10"/>
  <c r="L31" i="10" s="1"/>
  <c r="M28" i="10"/>
  <c r="K15" i="10"/>
  <c r="K28" i="10"/>
  <c r="K34" i="10"/>
  <c r="K40" i="10"/>
  <c r="F266" i="40"/>
  <c r="F408" i="40" s="1"/>
  <c r="B35" i="67"/>
  <c r="B42" i="67"/>
  <c r="C82" i="58"/>
  <c r="C55" i="58"/>
  <c r="F42" i="67"/>
  <c r="D7" i="57"/>
  <c r="N82" i="25"/>
  <c r="O66" i="25"/>
  <c r="F6" i="40"/>
  <c r="E12" i="67" s="1"/>
  <c r="E17" i="48"/>
  <c r="H16" i="48"/>
  <c r="C17" i="48" s="1"/>
  <c r="F17" i="48" s="1"/>
  <c r="G17" i="48" s="1"/>
  <c r="P107" i="25"/>
  <c r="O82" i="25"/>
  <c r="O68" i="25"/>
  <c r="C34" i="13"/>
  <c r="C29" i="69"/>
  <c r="N114" i="60"/>
  <c r="D114" i="60" s="1"/>
  <c r="M16" i="58"/>
  <c r="N16" i="58" s="1"/>
  <c r="M9" i="40" s="1"/>
  <c r="J10" i="40"/>
  <c r="G6" i="40"/>
  <c r="H12" i="66" s="1"/>
  <c r="H41" i="66" s="1"/>
  <c r="H42" i="66" s="1"/>
  <c r="J31" i="40"/>
  <c r="Q67" i="58"/>
  <c r="P267" i="40" s="1"/>
  <c r="L32" i="58"/>
  <c r="E6" i="40"/>
  <c r="M31" i="10"/>
  <c r="M29" i="10"/>
  <c r="H17" i="48"/>
  <c r="C18" i="48" s="1"/>
  <c r="F18" i="48" s="1"/>
  <c r="G18" i="48" s="1"/>
  <c r="E18" i="48"/>
  <c r="H18" i="48" s="1"/>
  <c r="C19" i="48" s="1"/>
  <c r="F19" i="48" s="1"/>
  <c r="G19" i="48" s="1"/>
  <c r="M32" i="58"/>
  <c r="N32" i="58" s="1"/>
  <c r="K31" i="40"/>
  <c r="P22" i="58"/>
  <c r="Q22" i="58" s="1"/>
  <c r="R22" i="58" s="1"/>
  <c r="S22" i="58" s="1"/>
  <c r="T22" i="58" s="1"/>
  <c r="U22" i="58" s="1"/>
  <c r="V22" i="58" s="1"/>
  <c r="W22" i="58" s="1"/>
  <c r="X22" i="58" s="1"/>
  <c r="N2" i="70"/>
  <c r="N34" i="58"/>
  <c r="O34" i="58" s="1"/>
  <c r="O16" i="58"/>
  <c r="N9" i="40" s="1"/>
  <c r="M31" i="40"/>
  <c r="O32" i="58"/>
  <c r="P32" i="58" s="1"/>
  <c r="Q32" i="58" s="1"/>
  <c r="R32" i="58" s="1"/>
  <c r="S32" i="58" s="1"/>
  <c r="T32" i="58" s="1"/>
  <c r="U32" i="58" s="1"/>
  <c r="V32" i="58" s="1"/>
  <c r="W32" i="58" s="1"/>
  <c r="X32" i="58" s="1"/>
  <c r="L382" i="40"/>
  <c r="M382" i="40"/>
  <c r="N382" i="40"/>
  <c r="O382" i="40" s="1"/>
  <c r="P382" i="40" s="1"/>
  <c r="Q382" i="40" s="1"/>
  <c r="R382" i="40" s="1"/>
  <c r="S382" i="40" s="1"/>
  <c r="T382" i="40" s="1"/>
  <c r="U382" i="40" s="1"/>
  <c r="V382" i="40" s="1"/>
  <c r="W382" i="40" s="1"/>
  <c r="L17" i="48" l="1"/>
  <c r="L39" i="39"/>
  <c r="C57" i="85"/>
  <c r="N84" i="25"/>
  <c r="C71" i="85"/>
  <c r="C95" i="40"/>
  <c r="B16" i="85"/>
  <c r="B19" i="85" s="1"/>
  <c r="F23" i="67"/>
  <c r="F11" i="67"/>
  <c r="F35" i="67"/>
  <c r="N23" i="67"/>
  <c r="O18" i="67"/>
  <c r="E34" i="39"/>
  <c r="U74" i="35"/>
  <c r="U106" i="35" s="1"/>
  <c r="O10" i="39"/>
  <c r="P5" i="46"/>
  <c r="P41" i="46" s="1"/>
  <c r="P77" i="46" s="1"/>
  <c r="P89" i="46" s="1"/>
  <c r="E42" i="67"/>
  <c r="E23" i="67"/>
  <c r="E122" i="85"/>
  <c r="E141" i="85"/>
  <c r="E45" i="85"/>
  <c r="E74" i="85" s="1"/>
  <c r="E106" i="85" s="1"/>
  <c r="E117" i="85" s="1"/>
  <c r="E11" i="67"/>
  <c r="E22" i="39"/>
  <c r="J80" i="60" s="1"/>
  <c r="J91" i="60" s="1"/>
  <c r="J104" i="60" s="1"/>
  <c r="N22" i="39"/>
  <c r="C22" i="39"/>
  <c r="H80" i="60" s="1"/>
  <c r="H91" i="60" s="1"/>
  <c r="H104" i="60" s="1"/>
  <c r="C34" i="39"/>
  <c r="H79" i="69"/>
  <c r="M79" i="69" s="1"/>
  <c r="M8" i="69" s="1"/>
  <c r="AJ10" i="33"/>
  <c r="M78" i="13"/>
  <c r="AJ13" i="33" s="1"/>
  <c r="J13" i="51"/>
  <c r="V34" i="46"/>
  <c r="M23" i="40"/>
  <c r="M20" i="40"/>
  <c r="M17" i="40"/>
  <c r="M14" i="40"/>
  <c r="M10" i="40"/>
  <c r="N14" i="40"/>
  <c r="N17" i="40"/>
  <c r="N23" i="40"/>
  <c r="N20" i="40"/>
  <c r="N10" i="40"/>
  <c r="N31" i="40"/>
  <c r="P34" i="58"/>
  <c r="M2" i="57"/>
  <c r="R63" i="58"/>
  <c r="E21" i="57"/>
  <c r="B7" i="57"/>
  <c r="F32" i="55"/>
  <c r="D10" i="10"/>
  <c r="D10" i="65"/>
  <c r="C42" i="69"/>
  <c r="C44" i="69" s="1"/>
  <c r="F63" i="8"/>
  <c r="C41" i="13"/>
  <c r="C43" i="13" s="1"/>
  <c r="I23" i="40"/>
  <c r="I20" i="40"/>
  <c r="I17" i="40"/>
  <c r="I14" i="40"/>
  <c r="P16" i="58"/>
  <c r="G38" i="49"/>
  <c r="G40" i="49" s="1"/>
  <c r="L10" i="39"/>
  <c r="B34" i="39"/>
  <c r="P17" i="39"/>
  <c r="P18" i="67"/>
  <c r="D18" i="49"/>
  <c r="D19" i="49" s="1"/>
  <c r="D18" i="69"/>
  <c r="D19" i="69" s="1"/>
  <c r="D18" i="13"/>
  <c r="D19" i="13" s="1"/>
  <c r="H14" i="40"/>
  <c r="H23" i="40"/>
  <c r="H20" i="40"/>
  <c r="H17" i="40"/>
  <c r="H10" i="10"/>
  <c r="G44" i="69"/>
  <c r="O284" i="40"/>
  <c r="P67" i="58"/>
  <c r="O267" i="40" s="1"/>
  <c r="G63" i="8"/>
  <c r="M41" i="60"/>
  <c r="C41" i="60" s="1"/>
  <c r="C43" i="60" s="1"/>
  <c r="V13" i="33"/>
  <c r="O13" i="33"/>
  <c r="K23" i="40"/>
  <c r="K20" i="40"/>
  <c r="K17" i="40"/>
  <c r="K14" i="40"/>
  <c r="U34" i="46"/>
  <c r="K10" i="40"/>
  <c r="L9" i="40"/>
  <c r="D42" i="25"/>
  <c r="D37" i="25"/>
  <c r="D44" i="25"/>
  <c r="D46" i="25"/>
  <c r="D38" i="25"/>
  <c r="D36" i="25"/>
  <c r="D40" i="25"/>
  <c r="V10" i="33" s="1"/>
  <c r="D39" i="25"/>
  <c r="D45" i="25"/>
  <c r="D43" i="60"/>
  <c r="E19" i="48"/>
  <c r="G102" i="58"/>
  <c r="C38" i="49"/>
  <c r="C40" i="49" s="1"/>
  <c r="C18" i="49"/>
  <c r="C19" i="49" s="1"/>
  <c r="C18" i="69"/>
  <c r="C19" i="69" s="1"/>
  <c r="P10" i="39"/>
  <c r="F41" i="39"/>
  <c r="F34" i="39"/>
  <c r="J29" i="10"/>
  <c r="K27" i="10"/>
  <c r="K177" i="58"/>
  <c r="K178" i="58" s="1"/>
  <c r="K163" i="58"/>
  <c r="M182" i="58" s="1"/>
  <c r="D41" i="74"/>
  <c r="D42" i="74" s="1"/>
  <c r="H309" i="40"/>
  <c r="I309" i="40" s="1"/>
  <c r="K43" i="10"/>
  <c r="M13" i="13"/>
  <c r="K26" i="83"/>
  <c r="M37" i="10"/>
  <c r="K48" i="72"/>
  <c r="F45" i="74"/>
  <c r="I37" i="57"/>
  <c r="I33" i="13"/>
  <c r="N96" i="60"/>
  <c r="M82" i="60"/>
  <c r="M87" i="60" s="1"/>
  <c r="C87" i="60" s="1"/>
  <c r="N94" i="60"/>
  <c r="K37" i="10"/>
  <c r="M284" i="40"/>
  <c r="J21" i="62"/>
  <c r="C16" i="33"/>
  <c r="D29" i="73"/>
  <c r="D33" i="73" s="1"/>
  <c r="H305" i="40"/>
  <c r="I305" i="40" s="1"/>
  <c r="J305" i="40" s="1"/>
  <c r="K305" i="40" s="1"/>
  <c r="L305" i="40" s="1"/>
  <c r="M305" i="40" s="1"/>
  <c r="N305" i="40" s="1"/>
  <c r="O305" i="40" s="1"/>
  <c r="P305" i="40" s="1"/>
  <c r="Q305" i="40" s="1"/>
  <c r="R305" i="40" s="1"/>
  <c r="S305" i="40" s="1"/>
  <c r="T305" i="40" s="1"/>
  <c r="U305" i="40" s="1"/>
  <c r="V305" i="40" s="1"/>
  <c r="W305" i="40" s="1"/>
  <c r="K25" i="10"/>
  <c r="N69" i="60"/>
  <c r="N50" i="60"/>
  <c r="N95" i="60"/>
  <c r="M36" i="10"/>
  <c r="M18" i="10"/>
  <c r="G101" i="58"/>
  <c r="L177" i="58"/>
  <c r="L178" i="58" s="1"/>
  <c r="L21" i="62"/>
  <c r="N70" i="60"/>
  <c r="N59" i="60"/>
  <c r="N68" i="60"/>
  <c r="N75" i="60" s="1"/>
  <c r="D75" i="60" s="1"/>
  <c r="H37" i="9"/>
  <c r="K36" i="10"/>
  <c r="M33" i="10"/>
  <c r="F5003" i="40"/>
  <c r="F42" i="40" s="1"/>
  <c r="N72" i="60"/>
  <c r="M68" i="60"/>
  <c r="M75" i="60" s="1"/>
  <c r="C75" i="60" s="1"/>
  <c r="G37" i="9"/>
  <c r="G100" i="74"/>
  <c r="F100" i="74"/>
  <c r="J20" i="40"/>
  <c r="J23" i="40"/>
  <c r="J14" i="40"/>
  <c r="J17" i="40"/>
  <c r="S360" i="40"/>
  <c r="K32" i="10"/>
  <c r="O15" i="39"/>
  <c r="K33" i="10"/>
  <c r="D101" i="58"/>
  <c r="M162" i="58"/>
  <c r="K150" i="58"/>
  <c r="J37" i="57"/>
  <c r="M33" i="57" s="1"/>
  <c r="M42" i="10"/>
  <c r="K21" i="10"/>
  <c r="M24" i="10"/>
  <c r="K24" i="10"/>
  <c r="C26" i="49"/>
  <c r="C31" i="49" s="1"/>
  <c r="F6" i="52"/>
  <c r="F5" i="53" s="1"/>
  <c r="G92" i="74"/>
  <c r="G95" i="74" s="1"/>
  <c r="H92" i="74" s="1"/>
  <c r="H95" i="74" s="1"/>
  <c r="I92" i="74" s="1"/>
  <c r="I95" i="74" s="1"/>
  <c r="J92" i="74" s="1"/>
  <c r="J95" i="74" s="1"/>
  <c r="K92" i="74" s="1"/>
  <c r="K95" i="74" s="1"/>
  <c r="L92" i="74" s="1"/>
  <c r="L95" i="74" s="1"/>
  <c r="F95" i="74"/>
  <c r="K18" i="48"/>
  <c r="H49" i="25"/>
  <c r="F10" i="65"/>
  <c r="F10" i="10"/>
  <c r="L10" i="65"/>
  <c r="L10" i="10"/>
  <c r="M13" i="69"/>
  <c r="J10" i="65"/>
  <c r="H21" i="10"/>
  <c r="E27" i="10"/>
  <c r="F82" i="74"/>
  <c r="H384" i="40" s="1"/>
  <c r="H204" i="40" s="1"/>
  <c r="H380" i="40" s="1"/>
  <c r="F81" i="74"/>
  <c r="H310" i="40"/>
  <c r="I310" i="40" s="1"/>
  <c r="H308" i="40"/>
  <c r="I308" i="40" s="1"/>
  <c r="H307" i="40"/>
  <c r="H289" i="40"/>
  <c r="I289" i="40" s="1"/>
  <c r="J289" i="40" s="1"/>
  <c r="K289" i="40" s="1"/>
  <c r="L289" i="40" s="1"/>
  <c r="M289" i="40" s="1"/>
  <c r="N289" i="40" s="1"/>
  <c r="O289" i="40" s="1"/>
  <c r="P289" i="40" s="1"/>
  <c r="Q289" i="40" s="1"/>
  <c r="R289" i="40" s="1"/>
  <c r="S289" i="40" s="1"/>
  <c r="T289" i="40" s="1"/>
  <c r="U289" i="40" s="1"/>
  <c r="V289" i="40" s="1"/>
  <c r="W289" i="40" s="1"/>
  <c r="H311" i="40"/>
  <c r="I311" i="40" s="1"/>
  <c r="J311" i="40" s="1"/>
  <c r="K311" i="40" s="1"/>
  <c r="L311" i="40" s="1"/>
  <c r="M311" i="40" s="1"/>
  <c r="N311" i="40" s="1"/>
  <c r="O311" i="40" s="1"/>
  <c r="P311" i="40" s="1"/>
  <c r="Q311" i="40" s="1"/>
  <c r="R311" i="40" s="1"/>
  <c r="S311" i="40" s="1"/>
  <c r="T311" i="40" s="1"/>
  <c r="U311" i="40" s="1"/>
  <c r="V311" i="40" s="1"/>
  <c r="W311" i="40" s="1"/>
  <c r="H306" i="40"/>
  <c r="I306" i="40" s="1"/>
  <c r="J306" i="40" s="1"/>
  <c r="K306" i="40" s="1"/>
  <c r="L306" i="40" s="1"/>
  <c r="M306" i="40" s="1"/>
  <c r="N306" i="40" s="1"/>
  <c r="O306" i="40" s="1"/>
  <c r="P306" i="40" s="1"/>
  <c r="Q306" i="40" s="1"/>
  <c r="R306" i="40" s="1"/>
  <c r="S306" i="40" s="1"/>
  <c r="T306" i="40" s="1"/>
  <c r="U306" i="40" s="1"/>
  <c r="V306" i="40" s="1"/>
  <c r="W306" i="40" s="1"/>
  <c r="H304" i="40"/>
  <c r="I304" i="40" s="1"/>
  <c r="J304" i="40" s="1"/>
  <c r="K304" i="40" s="1"/>
  <c r="L304" i="40" s="1"/>
  <c r="M304" i="40" s="1"/>
  <c r="N304" i="40" s="1"/>
  <c r="O304" i="40" s="1"/>
  <c r="P304" i="40" s="1"/>
  <c r="Q304" i="40" s="1"/>
  <c r="R304" i="40" s="1"/>
  <c r="S304" i="40" s="1"/>
  <c r="T304" i="40" s="1"/>
  <c r="U304" i="40" s="1"/>
  <c r="V304" i="40" s="1"/>
  <c r="W304" i="40" s="1"/>
  <c r="L14" i="13"/>
  <c r="M26" i="73" s="1"/>
  <c r="E35" i="66"/>
  <c r="D140" i="40"/>
  <c r="U127" i="35"/>
  <c r="U117" i="35"/>
  <c r="R41" i="46"/>
  <c r="R77" i="46" s="1"/>
  <c r="R89" i="46" s="1"/>
  <c r="V122" i="35"/>
  <c r="V141" i="35"/>
  <c r="V74" i="35"/>
  <c r="V106" i="35" s="1"/>
  <c r="N5" i="47"/>
  <c r="H293" i="40"/>
  <c r="I293" i="40" s="1"/>
  <c r="J293" i="40" s="1"/>
  <c r="K293" i="40" s="1"/>
  <c r="L293" i="40" s="1"/>
  <c r="M293" i="40" s="1"/>
  <c r="N293" i="40" s="1"/>
  <c r="O293" i="40" s="1"/>
  <c r="P293" i="40" s="1"/>
  <c r="Q293" i="40" s="1"/>
  <c r="R293" i="40" s="1"/>
  <c r="S293" i="40" s="1"/>
  <c r="T293" i="40" s="1"/>
  <c r="U293" i="40" s="1"/>
  <c r="V293" i="40" s="1"/>
  <c r="W293" i="40" s="1"/>
  <c r="H302" i="40"/>
  <c r="I302" i="40" s="1"/>
  <c r="J302" i="40" s="1"/>
  <c r="K302" i="40" s="1"/>
  <c r="L302" i="40" s="1"/>
  <c r="M302" i="40" s="1"/>
  <c r="N302" i="40" s="1"/>
  <c r="O302" i="40" s="1"/>
  <c r="P302" i="40" s="1"/>
  <c r="Q302" i="40" s="1"/>
  <c r="R302" i="40" s="1"/>
  <c r="S302" i="40" s="1"/>
  <c r="T302" i="40" s="1"/>
  <c r="U302" i="40" s="1"/>
  <c r="V302" i="40" s="1"/>
  <c r="W302" i="40" s="1"/>
  <c r="H300" i="40"/>
  <c r="I300" i="40" s="1"/>
  <c r="J300" i="40" s="1"/>
  <c r="K300" i="40" s="1"/>
  <c r="L300" i="40" s="1"/>
  <c r="M300" i="40" s="1"/>
  <c r="N300" i="40" s="1"/>
  <c r="O300" i="40" s="1"/>
  <c r="P300" i="40" s="1"/>
  <c r="Q300" i="40" s="1"/>
  <c r="R300" i="40" s="1"/>
  <c r="S300" i="40" s="1"/>
  <c r="T300" i="40" s="1"/>
  <c r="U300" i="40" s="1"/>
  <c r="V300" i="40" s="1"/>
  <c r="W300" i="40" s="1"/>
  <c r="H292" i="40"/>
  <c r="I292" i="40" s="1"/>
  <c r="J292" i="40" s="1"/>
  <c r="K292" i="40" s="1"/>
  <c r="L292" i="40" s="1"/>
  <c r="M292" i="40" s="1"/>
  <c r="N292" i="40" s="1"/>
  <c r="O292" i="40" s="1"/>
  <c r="P292" i="40" s="1"/>
  <c r="Q292" i="40" s="1"/>
  <c r="R292" i="40" s="1"/>
  <c r="S292" i="40" s="1"/>
  <c r="T292" i="40" s="1"/>
  <c r="U292" i="40" s="1"/>
  <c r="V292" i="40" s="1"/>
  <c r="W292" i="40" s="1"/>
  <c r="E76" i="58"/>
  <c r="H77" i="58" s="1"/>
  <c r="J77" i="58" s="1"/>
  <c r="K77" i="58" s="1"/>
  <c r="L77" i="58" s="1"/>
  <c r="M77" i="58" s="1"/>
  <c r="N77" i="58" s="1"/>
  <c r="O77" i="58" s="1"/>
  <c r="P77" i="58" s="1"/>
  <c r="Q77" i="58" s="1"/>
  <c r="R77" i="58" s="1"/>
  <c r="S77" i="58" s="1"/>
  <c r="T77" i="58" s="1"/>
  <c r="U77" i="58" s="1"/>
  <c r="V77" i="58" s="1"/>
  <c r="W77" i="58" s="1"/>
  <c r="X77" i="58" s="1"/>
  <c r="H299" i="40"/>
  <c r="I299" i="40" s="1"/>
  <c r="J299" i="40" s="1"/>
  <c r="K299" i="40" s="1"/>
  <c r="L299" i="40" s="1"/>
  <c r="M299" i="40" s="1"/>
  <c r="N299" i="40" s="1"/>
  <c r="O299" i="40" s="1"/>
  <c r="P299" i="40" s="1"/>
  <c r="Q299" i="40" s="1"/>
  <c r="R299" i="40" s="1"/>
  <c r="S299" i="40" s="1"/>
  <c r="T299" i="40" s="1"/>
  <c r="U299" i="40" s="1"/>
  <c r="V299" i="40" s="1"/>
  <c r="W299" i="40" s="1"/>
  <c r="E84" i="58"/>
  <c r="H301" i="40"/>
  <c r="I301" i="40" s="1"/>
  <c r="J301" i="40" s="1"/>
  <c r="K301" i="40" s="1"/>
  <c r="L301" i="40" s="1"/>
  <c r="M301" i="40" s="1"/>
  <c r="N301" i="40" s="1"/>
  <c r="O301" i="40" s="1"/>
  <c r="P301" i="40" s="1"/>
  <c r="Q301" i="40" s="1"/>
  <c r="R301" i="40" s="1"/>
  <c r="S301" i="40" s="1"/>
  <c r="T301" i="40" s="1"/>
  <c r="U301" i="40" s="1"/>
  <c r="V301" i="40" s="1"/>
  <c r="W301" i="40" s="1"/>
  <c r="I307" i="40"/>
  <c r="E80" i="58"/>
  <c r="H81" i="58" s="1"/>
  <c r="J81" i="58" s="1"/>
  <c r="K81" i="58" s="1"/>
  <c r="L81" i="58" s="1"/>
  <c r="M81" i="58" s="1"/>
  <c r="N81" i="58" s="1"/>
  <c r="O81" i="58" s="1"/>
  <c r="P81" i="58" s="1"/>
  <c r="Q81" i="58" s="1"/>
  <c r="R81" i="58" s="1"/>
  <c r="S81" i="58" s="1"/>
  <c r="T81" i="58" s="1"/>
  <c r="U81" i="58" s="1"/>
  <c r="V81" i="58" s="1"/>
  <c r="W81" i="58" s="1"/>
  <c r="X81" i="58" s="1"/>
  <c r="H297" i="40"/>
  <c r="I297" i="40" s="1"/>
  <c r="J297" i="40" s="1"/>
  <c r="K297" i="40" s="1"/>
  <c r="L297" i="40" s="1"/>
  <c r="M297" i="40" s="1"/>
  <c r="N297" i="40" s="1"/>
  <c r="O297" i="40" s="1"/>
  <c r="P297" i="40" s="1"/>
  <c r="Q297" i="40" s="1"/>
  <c r="R297" i="40" s="1"/>
  <c r="S297" i="40" s="1"/>
  <c r="T297" i="40" s="1"/>
  <c r="U297" i="40" s="1"/>
  <c r="V297" i="40" s="1"/>
  <c r="W297" i="40" s="1"/>
  <c r="E78" i="58"/>
  <c r="H79" i="58" s="1"/>
  <c r="J79" i="58" s="1"/>
  <c r="K79" i="58" s="1"/>
  <c r="L79" i="58" s="1"/>
  <c r="M79" i="58" s="1"/>
  <c r="N79" i="58" s="1"/>
  <c r="O79" i="58" s="1"/>
  <c r="P79" i="58" s="1"/>
  <c r="Q79" i="58" s="1"/>
  <c r="R79" i="58" s="1"/>
  <c r="S79" i="58" s="1"/>
  <c r="T79" i="58" s="1"/>
  <c r="U79" i="58" s="1"/>
  <c r="V79" i="58" s="1"/>
  <c r="W79" i="58" s="1"/>
  <c r="X79" i="58" s="1"/>
  <c r="H298" i="40"/>
  <c r="I298" i="40" s="1"/>
  <c r="J298" i="40" s="1"/>
  <c r="K298" i="40" s="1"/>
  <c r="L298" i="40" s="1"/>
  <c r="M298" i="40" s="1"/>
  <c r="N298" i="40" s="1"/>
  <c r="O298" i="40" s="1"/>
  <c r="P298" i="40" s="1"/>
  <c r="Q298" i="40" s="1"/>
  <c r="R298" i="40" s="1"/>
  <c r="S298" i="40" s="1"/>
  <c r="T298" i="40" s="1"/>
  <c r="U298" i="40" s="1"/>
  <c r="V298" i="40" s="1"/>
  <c r="W298" i="40" s="1"/>
  <c r="E14" i="66"/>
  <c r="C29" i="58"/>
  <c r="C108" i="58" s="1"/>
  <c r="H29" i="40"/>
  <c r="I29" i="40" s="1"/>
  <c r="J29" i="40" s="1"/>
  <c r="K29" i="40" s="1"/>
  <c r="L29" i="40" s="1"/>
  <c r="M29" i="40" s="1"/>
  <c r="N29" i="40" s="1"/>
  <c r="O29" i="40" s="1"/>
  <c r="P29" i="40" s="1"/>
  <c r="Q29" i="40" s="1"/>
  <c r="R29" i="40" s="1"/>
  <c r="S29" i="40" s="1"/>
  <c r="T29" i="40" s="1"/>
  <c r="U29" i="40" s="1"/>
  <c r="V29" i="40" s="1"/>
  <c r="W29" i="40" s="1"/>
  <c r="O104" i="25"/>
  <c r="C54" i="25"/>
  <c r="H111" i="40"/>
  <c r="F41" i="74"/>
  <c r="J37" i="62"/>
  <c r="H38" i="66"/>
  <c r="G210" i="40"/>
  <c r="L15" i="39"/>
  <c r="L14" i="39"/>
  <c r="N15" i="39"/>
  <c r="N14" i="39"/>
  <c r="D266" i="40"/>
  <c r="D409" i="40" s="1"/>
  <c r="D408" i="40" s="1"/>
  <c r="D407" i="40" s="1"/>
  <c r="M15" i="39"/>
  <c r="M14" i="39"/>
  <c r="O16" i="67"/>
  <c r="O14" i="39"/>
  <c r="J25" i="62"/>
  <c r="O15" i="67"/>
  <c r="D14" i="66"/>
  <c r="D13" i="9"/>
  <c r="C116" i="58"/>
  <c r="H117" i="58" s="1"/>
  <c r="J117" i="58" s="1"/>
  <c r="K117" i="58" s="1"/>
  <c r="L117" i="58" s="1"/>
  <c r="M117" i="58" s="1"/>
  <c r="N117" i="58" s="1"/>
  <c r="O117" i="58" s="1"/>
  <c r="P117" i="58" s="1"/>
  <c r="Q117" i="58" s="1"/>
  <c r="R117" i="58" s="1"/>
  <c r="S117" i="58" s="1"/>
  <c r="T117" i="58" s="1"/>
  <c r="U117" i="58" s="1"/>
  <c r="V117" i="58" s="1"/>
  <c r="W117" i="58" s="1"/>
  <c r="X117" i="58" s="1"/>
  <c r="J18" i="10"/>
  <c r="K18" i="10" s="1"/>
  <c r="J20" i="10"/>
  <c r="K20" i="10" s="1"/>
  <c r="F351" i="40"/>
  <c r="F18" i="33"/>
  <c r="F41" i="33" s="1"/>
  <c r="G6" i="74"/>
  <c r="G9" i="74"/>
  <c r="G13" i="74"/>
  <c r="P409" i="40"/>
  <c r="P406" i="40"/>
  <c r="F24" i="74"/>
  <c r="H20" i="74"/>
  <c r="I20" i="74" s="1"/>
  <c r="I21" i="74" s="1"/>
  <c r="H8" i="74"/>
  <c r="H9" i="74" s="1"/>
  <c r="G19" i="74"/>
  <c r="G18" i="74"/>
  <c r="G21" i="74"/>
  <c r="I17" i="74"/>
  <c r="I18" i="74" s="1"/>
  <c r="H19" i="74"/>
  <c r="F25" i="74"/>
  <c r="G25" i="74"/>
  <c r="G24" i="74"/>
  <c r="D10" i="74"/>
  <c r="F10" i="74" s="1"/>
  <c r="S406" i="40"/>
  <c r="S408" i="40"/>
  <c r="S410" i="40" s="1"/>
  <c r="S88" i="40" s="1"/>
  <c r="H24" i="74"/>
  <c r="H25" i="74"/>
  <c r="I23" i="74"/>
  <c r="O408" i="40"/>
  <c r="O410" i="40" s="1"/>
  <c r="O88" i="40" s="1"/>
  <c r="G27" i="74"/>
  <c r="D7" i="74"/>
  <c r="F7" i="74" s="1"/>
  <c r="H26" i="74"/>
  <c r="H100" i="74" s="1"/>
  <c r="F12" i="74"/>
  <c r="O406" i="40"/>
  <c r="E32" i="74"/>
  <c r="E33" i="74" s="1"/>
  <c r="G12" i="74"/>
  <c r="H5" i="74"/>
  <c r="H18" i="74"/>
  <c r="H11" i="74"/>
  <c r="C13" i="35"/>
  <c r="H5001" i="40"/>
  <c r="H5002" i="40" s="1"/>
  <c r="H5003" i="40" s="1"/>
  <c r="H241" i="40" s="1"/>
  <c r="D82" i="58"/>
  <c r="G43" i="40"/>
  <c r="C41" i="39"/>
  <c r="M11" i="67"/>
  <c r="L17" i="39"/>
  <c r="L18" i="67"/>
  <c r="E28" i="76"/>
  <c r="B45" i="35"/>
  <c r="B74" i="35"/>
  <c r="B106" i="35" s="1"/>
  <c r="H34" i="33" s="1"/>
  <c r="B22" i="39"/>
  <c r="G80" i="60" s="1"/>
  <c r="G91" i="60" s="1"/>
  <c r="G104" i="60" s="1"/>
  <c r="B23" i="67"/>
  <c r="L11" i="67"/>
  <c r="D82" i="40"/>
  <c r="B41" i="39"/>
  <c r="K17" i="48"/>
  <c r="F32" i="74"/>
  <c r="F80" i="74"/>
  <c r="H348" i="40" s="1"/>
  <c r="H26" i="69"/>
  <c r="H21" i="69" s="1"/>
  <c r="F56" i="56"/>
  <c r="M23" i="67"/>
  <c r="F56" i="70"/>
  <c r="H82" i="58"/>
  <c r="G395" i="40"/>
  <c r="G398" i="40" s="1"/>
  <c r="G326" i="40"/>
  <c r="U87" i="35"/>
  <c r="K25" i="73"/>
  <c r="E389" i="40"/>
  <c r="E392" i="40" s="1"/>
  <c r="H55" i="58"/>
  <c r="E42" i="10"/>
  <c r="D94" i="35"/>
  <c r="E15" i="76" s="1"/>
  <c r="T3" i="76" s="1"/>
  <c r="D7" i="40"/>
  <c r="D80" i="40" s="1"/>
  <c r="D12" i="66"/>
  <c r="U91" i="35"/>
  <c r="P24" i="46" s="1"/>
  <c r="D37" i="35"/>
  <c r="G63" i="46" s="1"/>
  <c r="G7" i="40"/>
  <c r="G80" i="40" s="1"/>
  <c r="F12" i="67"/>
  <c r="N32" i="67" s="1"/>
  <c r="G41" i="40"/>
  <c r="L12" i="63"/>
  <c r="L25" i="63" s="1"/>
  <c r="H12" i="63"/>
  <c r="H18" i="63" s="1"/>
  <c r="E4" i="40"/>
  <c r="E5" i="40" s="1"/>
  <c r="B12" i="67"/>
  <c r="B18" i="67" s="1"/>
  <c r="C12" i="67"/>
  <c r="L48" i="67" s="1"/>
  <c r="F24" i="35"/>
  <c r="K51" i="46" s="1"/>
  <c r="F29" i="35"/>
  <c r="K56" i="46" s="1"/>
  <c r="V69" i="35"/>
  <c r="P32" i="47" s="1"/>
  <c r="T24" i="35"/>
  <c r="B84" i="35"/>
  <c r="C15" i="46" s="1"/>
  <c r="C25" i="35"/>
  <c r="E52" i="46" s="1"/>
  <c r="U84" i="35"/>
  <c r="P15" i="46" s="1"/>
  <c r="C75" i="35"/>
  <c r="E57" i="70" s="1"/>
  <c r="F17" i="33"/>
  <c r="F40" i="33" s="1"/>
  <c r="V30" i="35"/>
  <c r="R57" i="46" s="1"/>
  <c r="C95" i="35"/>
  <c r="E28" i="46" s="1"/>
  <c r="N32" i="47"/>
  <c r="V75" i="35"/>
  <c r="O18" i="52" s="1"/>
  <c r="U92" i="35"/>
  <c r="P25" i="46" s="1"/>
  <c r="C37" i="35"/>
  <c r="E63" i="46" s="1"/>
  <c r="K96" i="35"/>
  <c r="C87" i="35"/>
  <c r="M96" i="35"/>
  <c r="D34" i="35"/>
  <c r="G61" i="46" s="1"/>
  <c r="P103" i="25"/>
  <c r="J49" i="35"/>
  <c r="U18" i="35"/>
  <c r="P47" i="46" s="1"/>
  <c r="N30" i="35"/>
  <c r="B92" i="35"/>
  <c r="C25" i="46" s="1"/>
  <c r="S49" i="35"/>
  <c r="N16" i="53"/>
  <c r="R87" i="35"/>
  <c r="D25" i="35"/>
  <c r="G52" i="46" s="1"/>
  <c r="K95" i="35"/>
  <c r="O18" i="35"/>
  <c r="S29" i="35"/>
  <c r="D50" i="70"/>
  <c r="Q69" i="35"/>
  <c r="T18" i="35"/>
  <c r="U24" i="35"/>
  <c r="P51" i="46" s="1"/>
  <c r="E12" i="66"/>
  <c r="L29" i="35"/>
  <c r="J30" i="35"/>
  <c r="U83" i="35"/>
  <c r="P14" i="46" s="1"/>
  <c r="Q87" i="35"/>
  <c r="P69" i="35"/>
  <c r="M69" i="35"/>
  <c r="D29" i="35"/>
  <c r="G56" i="46" s="1"/>
  <c r="V13" i="35"/>
  <c r="O8" i="52" s="1"/>
  <c r="G105" i="35"/>
  <c r="D12" i="67"/>
  <c r="D18" i="67" s="1"/>
  <c r="D4" i="40"/>
  <c r="D5" i="40" s="1"/>
  <c r="J29" i="35"/>
  <c r="V37" i="35"/>
  <c r="R63" i="46" s="1"/>
  <c r="V25" i="35"/>
  <c r="R52" i="46" s="1"/>
  <c r="D79" i="35"/>
  <c r="G10" i="46" s="1"/>
  <c r="M95" i="35"/>
  <c r="L95" i="35"/>
  <c r="J87" i="35"/>
  <c r="N95" i="35"/>
  <c r="D75" i="35"/>
  <c r="C31" i="81" s="1"/>
  <c r="N16" i="47"/>
  <c r="J12" i="63"/>
  <c r="J39" i="63" s="1"/>
  <c r="F41" i="40"/>
  <c r="B61" i="35"/>
  <c r="C14" i="52" s="1"/>
  <c r="B48" i="35"/>
  <c r="B50" i="35"/>
  <c r="B10" i="47" s="1"/>
  <c r="B71" i="35"/>
  <c r="B57" i="35"/>
  <c r="B17" i="47" s="1"/>
  <c r="B47" i="35"/>
  <c r="B66" i="35"/>
  <c r="B27" i="47" s="1"/>
  <c r="B54" i="35"/>
  <c r="B64" i="35"/>
  <c r="B63" i="35"/>
  <c r="B62" i="35"/>
  <c r="B69" i="35"/>
  <c r="B32" i="47" s="1"/>
  <c r="B56" i="35"/>
  <c r="B46" i="35"/>
  <c r="B55" i="35"/>
  <c r="B65" i="35"/>
  <c r="B26" i="47" s="1"/>
  <c r="B52" i="35"/>
  <c r="B49" i="35"/>
  <c r="B9" i="47" s="1"/>
  <c r="L18" i="35"/>
  <c r="L77" i="35"/>
  <c r="T77" i="35"/>
  <c r="G4" i="40"/>
  <c r="G5" i="40" s="1"/>
  <c r="G12" i="66"/>
  <c r="G41" i="66" s="1"/>
  <c r="G42" i="66" s="1"/>
  <c r="D81" i="35"/>
  <c r="G12" i="46" s="1"/>
  <c r="V97" i="35"/>
  <c r="R30" i="46" s="1"/>
  <c r="V96" i="35"/>
  <c r="R29" i="46" s="1"/>
  <c r="F69" i="35"/>
  <c r="J32" i="47" s="1"/>
  <c r="V87" i="35"/>
  <c r="O24" i="35"/>
  <c r="V82" i="35"/>
  <c r="R13" i="46" s="1"/>
  <c r="T30" i="35"/>
  <c r="E49" i="35"/>
  <c r="H9" i="47" s="1"/>
  <c r="F7" i="40"/>
  <c r="F80" i="40" s="1"/>
  <c r="F82" i="40" s="1"/>
  <c r="D41" i="40"/>
  <c r="N24" i="35"/>
  <c r="V95" i="35"/>
  <c r="R28" i="46" s="1"/>
  <c r="C99" i="35"/>
  <c r="E32" i="46" s="1"/>
  <c r="C26" i="35"/>
  <c r="E53" i="46" s="1"/>
  <c r="F95" i="35"/>
  <c r="K28" i="46" s="1"/>
  <c r="R49" i="35"/>
  <c r="N17" i="53"/>
  <c r="K87" i="35"/>
  <c r="N73" i="25"/>
  <c r="G144" i="58"/>
  <c r="H148" i="58" s="1"/>
  <c r="J148" i="58" s="1"/>
  <c r="K149" i="58" s="1"/>
  <c r="I158" i="58"/>
  <c r="I160" i="58" s="1"/>
  <c r="J158" i="58" s="1"/>
  <c r="J160" i="58" s="1"/>
  <c r="K158" i="58" s="1"/>
  <c r="K160" i="58" s="1"/>
  <c r="L158" i="58" s="1"/>
  <c r="L160" i="58" s="1"/>
  <c r="M158" i="58" s="1"/>
  <c r="M160" i="58" s="1"/>
  <c r="H25" i="62"/>
  <c r="D29" i="10"/>
  <c r="D31" i="10" s="1"/>
  <c r="E31" i="10" s="1"/>
  <c r="I36" i="10"/>
  <c r="I19" i="10"/>
  <c r="E30" i="10"/>
  <c r="E34" i="10"/>
  <c r="M37" i="57"/>
  <c r="M32" i="57"/>
  <c r="M34" i="57"/>
  <c r="M29" i="57"/>
  <c r="M27" i="57"/>
  <c r="M31" i="57"/>
  <c r="M28" i="57"/>
  <c r="C34" i="69"/>
  <c r="C24" i="69"/>
  <c r="B25" i="69"/>
  <c r="O81" i="25"/>
  <c r="B24" i="69"/>
  <c r="C23" i="69"/>
  <c r="B26" i="69"/>
  <c r="C25" i="69"/>
  <c r="C31" i="69"/>
  <c r="K33" i="13"/>
  <c r="M49" i="39"/>
  <c r="B32" i="69"/>
  <c r="B27" i="69"/>
  <c r="M26" i="57"/>
  <c r="C28" i="69"/>
  <c r="C26" i="69"/>
  <c r="B23" i="69"/>
  <c r="B29" i="33"/>
  <c r="L31" i="39"/>
  <c r="G381" i="40"/>
  <c r="G383" i="40" s="1"/>
  <c r="G385" i="40" s="1"/>
  <c r="G386" i="40" s="1"/>
  <c r="AH40" i="25" s="1"/>
  <c r="N75" i="25"/>
  <c r="D142" i="40"/>
  <c r="F29" i="10"/>
  <c r="F31" i="10" s="1"/>
  <c r="G31" i="10" s="1"/>
  <c r="L32" i="39"/>
  <c r="G38" i="10"/>
  <c r="G30" i="10"/>
  <c r="G42" i="10"/>
  <c r="G25" i="10"/>
  <c r="V406" i="40"/>
  <c r="V409" i="40"/>
  <c r="G409" i="40"/>
  <c r="G408" i="40"/>
  <c r="J233" i="40"/>
  <c r="G97" i="35" s="1"/>
  <c r="M30" i="46" s="1"/>
  <c r="N30" i="46" s="1"/>
  <c r="L20" i="10"/>
  <c r="M20" i="10" s="1"/>
  <c r="P17" i="67"/>
  <c r="H13" i="9"/>
  <c r="Q408" i="40"/>
  <c r="Q410" i="40" s="1"/>
  <c r="Q88" i="40" s="1"/>
  <c r="AG28" i="25"/>
  <c r="E65" i="74"/>
  <c r="N80" i="25"/>
  <c r="U409" i="40"/>
  <c r="G116" i="58"/>
  <c r="G351" i="40"/>
  <c r="G352" i="40" s="1"/>
  <c r="L50" i="39"/>
  <c r="G29" i="9"/>
  <c r="G30" i="9" s="1"/>
  <c r="O16" i="39"/>
  <c r="R406" i="40"/>
  <c r="U81" i="35"/>
  <c r="P12" i="46" s="1"/>
  <c r="S409" i="40"/>
  <c r="F161" i="40"/>
  <c r="AG38" i="25" s="1"/>
  <c r="H24" i="10"/>
  <c r="I24" i="10" s="1"/>
  <c r="O30" i="25"/>
  <c r="E50" i="74"/>
  <c r="O28" i="25"/>
  <c r="O60" i="25" s="1"/>
  <c r="D71" i="35"/>
  <c r="E19" i="53" s="1"/>
  <c r="R409" i="40"/>
  <c r="R407" i="40" s="1"/>
  <c r="N83" i="25"/>
  <c r="AG30" i="25"/>
  <c r="L360" i="40"/>
  <c r="F25" i="62"/>
  <c r="W30" i="25"/>
  <c r="L13" i="13"/>
  <c r="J25" i="73"/>
  <c r="S5" i="33"/>
  <c r="AC5" i="33"/>
  <c r="D41" i="39"/>
  <c r="D34" i="39"/>
  <c r="D22" i="39"/>
  <c r="I80" i="60" s="1"/>
  <c r="I91" i="60" s="1"/>
  <c r="I104" i="60" s="1"/>
  <c r="E27" i="76"/>
  <c r="D74" i="35"/>
  <c r="D106" i="35" s="1"/>
  <c r="D127" i="35" s="1"/>
  <c r="E70" i="74" s="1"/>
  <c r="D141" i="35"/>
  <c r="D45" i="35"/>
  <c r="G5" i="46"/>
  <c r="G31" i="69"/>
  <c r="H33" i="69"/>
  <c r="K33" i="69" s="1"/>
  <c r="G30" i="69"/>
  <c r="G32" i="69"/>
  <c r="G29" i="69"/>
  <c r="H30" i="69"/>
  <c r="H31" i="69"/>
  <c r="H32" i="69"/>
  <c r="G33" i="69"/>
  <c r="N18" i="67"/>
  <c r="E101" i="58"/>
  <c r="E55" i="58"/>
  <c r="E82" i="58"/>
  <c r="F5" i="33"/>
  <c r="D122" i="35"/>
  <c r="M22" i="39"/>
  <c r="F33" i="9"/>
  <c r="N16" i="39" s="1"/>
  <c r="F30" i="74"/>
  <c r="P26" i="25"/>
  <c r="F16" i="33"/>
  <c r="F39" i="33" s="1"/>
  <c r="V125" i="35"/>
  <c r="V126" i="35" s="1"/>
  <c r="P49" i="35"/>
  <c r="S24" i="35"/>
  <c r="C49" i="35"/>
  <c r="D9" i="47" s="1"/>
  <c r="T96" i="35"/>
  <c r="O49" i="35"/>
  <c r="K49" i="35"/>
  <c r="D24" i="35"/>
  <c r="G51" i="46" s="1"/>
  <c r="V91" i="35"/>
  <c r="R24" i="46" s="1"/>
  <c r="F105" i="35"/>
  <c r="C105" i="35"/>
  <c r="C96" i="35"/>
  <c r="E29" i="46" s="1"/>
  <c r="B95" i="35"/>
  <c r="C28" i="46" s="1"/>
  <c r="Q24" i="35"/>
  <c r="U89" i="35"/>
  <c r="P22" i="46" s="1"/>
  <c r="V88" i="35"/>
  <c r="R21" i="46" s="1"/>
  <c r="R77" i="35"/>
  <c r="P18" i="35"/>
  <c r="C83" i="35"/>
  <c r="E14" i="46" s="1"/>
  <c r="D95" i="35"/>
  <c r="G28" i="46" s="1"/>
  <c r="V71" i="35"/>
  <c r="O19" i="53" s="1"/>
  <c r="P96" i="35"/>
  <c r="K29" i="35"/>
  <c r="N87" i="35"/>
  <c r="E87" i="35"/>
  <c r="I24" i="35"/>
  <c r="M105" i="35"/>
  <c r="L96" i="35"/>
  <c r="H29" i="35"/>
  <c r="C91" i="35"/>
  <c r="E24" i="46" s="1"/>
  <c r="V78" i="35"/>
  <c r="R9" i="46" s="1"/>
  <c r="T95" i="35"/>
  <c r="R24" i="35"/>
  <c r="S77" i="35"/>
  <c r="I69" i="35"/>
  <c r="V83" i="35"/>
  <c r="R14" i="46" s="1"/>
  <c r="L24" i="35"/>
  <c r="D65" i="35"/>
  <c r="F26" i="47" s="1"/>
  <c r="D84" i="35"/>
  <c r="G15" i="46" s="1"/>
  <c r="N96" i="35"/>
  <c r="B25" i="35"/>
  <c r="C52" i="46" s="1"/>
  <c r="U99" i="35"/>
  <c r="P32" i="46" s="1"/>
  <c r="E29" i="35"/>
  <c r="I56" i="46" s="1"/>
  <c r="G96" i="35"/>
  <c r="M29" i="46" s="1"/>
  <c r="N29" i="46" s="1"/>
  <c r="U75" i="35"/>
  <c r="P6" i="46" s="1"/>
  <c r="I29" i="35"/>
  <c r="P95" i="35"/>
  <c r="B34" i="35"/>
  <c r="H28" i="33" s="1"/>
  <c r="N105" i="35"/>
  <c r="C24" i="35"/>
  <c r="E51" i="46" s="1"/>
  <c r="I21" i="69"/>
  <c r="E12" i="35"/>
  <c r="I1" i="40"/>
  <c r="F12" i="85" s="1"/>
  <c r="F4" i="40"/>
  <c r="F5" i="40" s="1"/>
  <c r="E41" i="40"/>
  <c r="F12" i="66"/>
  <c r="D23" i="67"/>
  <c r="D11" i="67"/>
  <c r="D42" i="67"/>
  <c r="L23" i="49"/>
  <c r="F23" i="63"/>
  <c r="F40" i="63"/>
  <c r="F24" i="63"/>
  <c r="F12" i="64"/>
  <c r="F33" i="64" s="1"/>
  <c r="F34" i="63"/>
  <c r="F18" i="63"/>
  <c r="F17" i="63"/>
  <c r="F39" i="63"/>
  <c r="F35" i="63"/>
  <c r="F41" i="63"/>
  <c r="F32" i="63"/>
  <c r="M18" i="67"/>
  <c r="I34" i="33"/>
  <c r="C117" i="35"/>
  <c r="C122" i="35"/>
  <c r="E7" i="40"/>
  <c r="E80" i="40" s="1"/>
  <c r="C141" i="35"/>
  <c r="I5" i="33"/>
  <c r="E5" i="46"/>
  <c r="C45" i="35"/>
  <c r="F320" i="40"/>
  <c r="F323" i="40" s="1"/>
  <c r="AG32" i="25" s="1"/>
  <c r="E37" i="9"/>
  <c r="E33" i="9"/>
  <c r="D18" i="63"/>
  <c r="D43" i="63"/>
  <c r="D34" i="63"/>
  <c r="B122" i="35"/>
  <c r="B141" i="35"/>
  <c r="F45" i="40"/>
  <c r="F326" i="40"/>
  <c r="K49" i="56"/>
  <c r="K56" i="56" s="1"/>
  <c r="D34" i="66"/>
  <c r="D48" i="9"/>
  <c r="F402" i="40"/>
  <c r="H5" i="33"/>
  <c r="D37" i="9"/>
  <c r="C5" i="46"/>
  <c r="D41" i="9"/>
  <c r="H48" i="9"/>
  <c r="D37" i="62"/>
  <c r="D45" i="62" s="1"/>
  <c r="F37" i="62"/>
  <c r="F45" i="62" s="1"/>
  <c r="G340" i="40"/>
  <c r="G344" i="40" s="1"/>
  <c r="G353" i="40" s="1"/>
  <c r="AH39" i="25" s="1"/>
  <c r="D25" i="62"/>
  <c r="L15" i="67"/>
  <c r="D193" i="40"/>
  <c r="E50" i="66" s="1"/>
  <c r="M15" i="67"/>
  <c r="E34" i="66"/>
  <c r="F21" i="62"/>
  <c r="O83" i="25"/>
  <c r="L49" i="39"/>
  <c r="H30" i="10"/>
  <c r="I30" i="10" s="1"/>
  <c r="G29" i="10"/>
  <c r="G27" i="10"/>
  <c r="G28" i="10"/>
  <c r="I27" i="10"/>
  <c r="H29" i="10"/>
  <c r="I29" i="10" s="1"/>
  <c r="N30" i="25"/>
  <c r="C59" i="74"/>
  <c r="H20" i="10"/>
  <c r="H22" i="10" s="1"/>
  <c r="I22" i="10" s="1"/>
  <c r="G40" i="10"/>
  <c r="G43" i="10"/>
  <c r="G36" i="10"/>
  <c r="I42" i="10"/>
  <c r="I34" i="10"/>
  <c r="I21" i="10"/>
  <c r="G34" i="10"/>
  <c r="G24" i="10"/>
  <c r="G15" i="10"/>
  <c r="G32" i="10"/>
  <c r="G16" i="10"/>
  <c r="G37" i="10"/>
  <c r="N103" i="25"/>
  <c r="E37" i="10"/>
  <c r="E54" i="74"/>
  <c r="C129" i="35"/>
  <c r="D72" i="74" s="1"/>
  <c r="F17" i="10"/>
  <c r="G17" i="10" s="1"/>
  <c r="E35" i="9"/>
  <c r="D92" i="40"/>
  <c r="D113" i="40" s="1"/>
  <c r="D36" i="74"/>
  <c r="D37" i="74" s="1"/>
  <c r="D38" i="74" s="1"/>
  <c r="E36" i="66"/>
  <c r="D90" i="40"/>
  <c r="F37" i="9"/>
  <c r="H37" i="62"/>
  <c r="H45" i="62" s="1"/>
  <c r="F38" i="66"/>
  <c r="H21" i="62"/>
  <c r="V56" i="35"/>
  <c r="P16" i="47" s="1"/>
  <c r="N68" i="25"/>
  <c r="H14" i="66"/>
  <c r="W360" i="40"/>
  <c r="T360" i="40"/>
  <c r="M360" i="40"/>
  <c r="N360" i="40"/>
  <c r="Q360" i="40"/>
  <c r="G112" i="58"/>
  <c r="AH28" i="25"/>
  <c r="V47" i="35" s="1"/>
  <c r="O8" i="53" s="1"/>
  <c r="K360" i="40"/>
  <c r="U360" i="40"/>
  <c r="O360" i="40"/>
  <c r="V360" i="40"/>
  <c r="R360" i="40"/>
  <c r="P360" i="40"/>
  <c r="L21" i="10"/>
  <c r="M21" i="10" s="1"/>
  <c r="O67" i="25"/>
  <c r="E351" i="40"/>
  <c r="E322" i="40"/>
  <c r="G13" i="9"/>
  <c r="G14" i="66"/>
  <c r="D18" i="10"/>
  <c r="E18" i="10" s="1"/>
  <c r="F116" i="58"/>
  <c r="F13" i="9"/>
  <c r="D16" i="35"/>
  <c r="G45" i="46" s="1"/>
  <c r="E116" i="58"/>
  <c r="E161" i="40"/>
  <c r="O38" i="25" s="1"/>
  <c r="G161" i="40"/>
  <c r="AH38" i="25" s="1"/>
  <c r="N34" i="39" s="1"/>
  <c r="C161" i="40"/>
  <c r="C290" i="40" s="1"/>
  <c r="D161" i="40"/>
  <c r="D290" i="40" s="1"/>
  <c r="F33" i="10"/>
  <c r="G33" i="10" s="1"/>
  <c r="I18" i="10"/>
  <c r="E41" i="74"/>
  <c r="E42" i="74" s="1"/>
  <c r="E112" i="58"/>
  <c r="H113" i="58" s="1"/>
  <c r="J113" i="58" s="1"/>
  <c r="K113" i="58" s="1"/>
  <c r="L113" i="58" s="1"/>
  <c r="M113" i="58" s="1"/>
  <c r="N113" i="58" s="1"/>
  <c r="O113" i="58" s="1"/>
  <c r="P113" i="58" s="1"/>
  <c r="Q113" i="58" s="1"/>
  <c r="R113" i="58" s="1"/>
  <c r="S113" i="58" s="1"/>
  <c r="T113" i="58" s="1"/>
  <c r="U113" i="58" s="1"/>
  <c r="V113" i="58" s="1"/>
  <c r="W113" i="58" s="1"/>
  <c r="X113" i="58" s="1"/>
  <c r="F14" i="66"/>
  <c r="I37" i="10"/>
  <c r="I33" i="10"/>
  <c r="G31" i="74"/>
  <c r="M14" i="13"/>
  <c r="N26" i="73" s="1"/>
  <c r="I25" i="10"/>
  <c r="I28" i="10"/>
  <c r="I32" i="10"/>
  <c r="I43" i="10"/>
  <c r="F36" i="74"/>
  <c r="F37" i="74" s="1"/>
  <c r="F42" i="74"/>
  <c r="F43" i="74" s="1"/>
  <c r="H95" i="40" s="1"/>
  <c r="I40" i="10"/>
  <c r="E24" i="67"/>
  <c r="J27" i="11"/>
  <c r="L41" i="39"/>
  <c r="C213" i="40"/>
  <c r="B36" i="39" s="1"/>
  <c r="L27" i="11"/>
  <c r="L36" i="11"/>
  <c r="H36" i="11"/>
  <c r="N39" i="39"/>
  <c r="E48" i="9"/>
  <c r="F36" i="11"/>
  <c r="M45" i="39"/>
  <c r="J36" i="11"/>
  <c r="D36" i="11"/>
  <c r="I182" i="58"/>
  <c r="F48" i="9"/>
  <c r="G48" i="9"/>
  <c r="H18" i="13"/>
  <c r="I18" i="49"/>
  <c r="I389" i="40"/>
  <c r="I392" i="40" s="1"/>
  <c r="G213" i="40"/>
  <c r="F36" i="39" s="1"/>
  <c r="I18" i="69"/>
  <c r="K30" i="73"/>
  <c r="K148" i="58"/>
  <c r="I176" i="58"/>
  <c r="I178" i="58" s="1"/>
  <c r="H149" i="58"/>
  <c r="D27" i="11"/>
  <c r="F213" i="40"/>
  <c r="E36" i="39" s="1"/>
  <c r="H27" i="11"/>
  <c r="N41" i="39"/>
  <c r="M41" i="39"/>
  <c r="I19" i="49"/>
  <c r="E213" i="40"/>
  <c r="K31" i="73"/>
  <c r="I19" i="69"/>
  <c r="D63" i="35"/>
  <c r="F27" i="11"/>
  <c r="H19" i="49"/>
  <c r="AH48" i="25"/>
  <c r="O48" i="25"/>
  <c r="I25" i="13" s="1"/>
  <c r="N49" i="39"/>
  <c r="O85" i="25"/>
  <c r="D33" i="9"/>
  <c r="L16" i="39" s="1"/>
  <c r="F34" i="66"/>
  <c r="E288" i="40"/>
  <c r="C288" i="40"/>
  <c r="F102" i="58"/>
  <c r="N16" i="67"/>
  <c r="J45" i="62"/>
  <c r="O75" i="25"/>
  <c r="L45" i="62"/>
  <c r="G38" i="66"/>
  <c r="E38" i="66"/>
  <c r="F210" i="40"/>
  <c r="F172" i="40" s="1"/>
  <c r="C81" i="35"/>
  <c r="E12" i="46" s="1"/>
  <c r="D340" i="40"/>
  <c r="D210" i="40"/>
  <c r="C210" i="40"/>
  <c r="O74" i="25"/>
  <c r="G367" i="40"/>
  <c r="AH41" i="25" s="1"/>
  <c r="N37" i="39" s="1"/>
  <c r="I14" i="13"/>
  <c r="I14" i="49"/>
  <c r="D77" i="35"/>
  <c r="G8" i="46" s="1"/>
  <c r="N15" i="67"/>
  <c r="E193" i="40"/>
  <c r="F50" i="66" s="1"/>
  <c r="E266" i="40"/>
  <c r="E295" i="40" s="1"/>
  <c r="T408" i="40"/>
  <c r="T409" i="40"/>
  <c r="T406" i="40"/>
  <c r="C406" i="40"/>
  <c r="C193" i="40"/>
  <c r="D50" i="9" s="1"/>
  <c r="J32" i="62"/>
  <c r="G50" i="66"/>
  <c r="G49" i="9"/>
  <c r="G31" i="9"/>
  <c r="G51" i="66"/>
  <c r="G50" i="9"/>
  <c r="R410" i="40"/>
  <c r="R88" i="40" s="1"/>
  <c r="O18" i="39"/>
  <c r="O19" i="67"/>
  <c r="H17" i="66"/>
  <c r="F25" i="67"/>
  <c r="H16" i="9"/>
  <c r="L32" i="62"/>
  <c r="L16" i="67"/>
  <c r="Q409" i="40"/>
  <c r="G23" i="9"/>
  <c r="E25" i="39"/>
  <c r="J85" i="60" s="1"/>
  <c r="V408" i="40"/>
  <c r="P16" i="67"/>
  <c r="P15" i="67"/>
  <c r="G193" i="40"/>
  <c r="P408" i="40"/>
  <c r="P14" i="39"/>
  <c r="H23" i="9"/>
  <c r="P18" i="39"/>
  <c r="P19" i="67"/>
  <c r="F409" i="40"/>
  <c r="F410" i="40" s="1"/>
  <c r="W406" i="40"/>
  <c r="W409" i="40"/>
  <c r="W407" i="40" s="1"/>
  <c r="U408" i="40"/>
  <c r="N24" i="39"/>
  <c r="G24" i="66"/>
  <c r="E26" i="67"/>
  <c r="J22" i="10"/>
  <c r="H103" i="40"/>
  <c r="I103" i="40" s="1"/>
  <c r="F366" i="40"/>
  <c r="G17" i="66"/>
  <c r="G16" i="9"/>
  <c r="E25" i="67"/>
  <c r="H24" i="66"/>
  <c r="F26" i="67"/>
  <c r="D21" i="10"/>
  <c r="E21" i="10" s="1"/>
  <c r="C366" i="40"/>
  <c r="M19" i="10"/>
  <c r="E59" i="74"/>
  <c r="E343" i="40"/>
  <c r="V21" i="35"/>
  <c r="R49" i="46" s="1"/>
  <c r="F19" i="10"/>
  <c r="G19" i="10" s="1"/>
  <c r="F23" i="39"/>
  <c r="K84" i="60" s="1"/>
  <c r="D44" i="63"/>
  <c r="D25" i="63"/>
  <c r="D42" i="63"/>
  <c r="E18" i="67"/>
  <c r="D31" i="63"/>
  <c r="D35" i="63"/>
  <c r="D40" i="63"/>
  <c r="D20" i="63"/>
  <c r="D27" i="63"/>
  <c r="D12" i="64"/>
  <c r="D37" i="63"/>
  <c r="D39" i="63"/>
  <c r="D17" i="63"/>
  <c r="D45" i="63"/>
  <c r="D36" i="63"/>
  <c r="D16" i="63"/>
  <c r="D29" i="63"/>
  <c r="D28" i="63"/>
  <c r="D30" i="63"/>
  <c r="D19" i="63"/>
  <c r="D23" i="63"/>
  <c r="D24" i="63"/>
  <c r="H361" i="40"/>
  <c r="I363" i="40" s="1"/>
  <c r="I361" i="40" s="1"/>
  <c r="J363" i="40" s="1"/>
  <c r="D41" i="63"/>
  <c r="D32" i="63"/>
  <c r="F45" i="63"/>
  <c r="F29" i="63"/>
  <c r="F27" i="63"/>
  <c r="F42" i="63"/>
  <c r="F43" i="63"/>
  <c r="M38" i="39"/>
  <c r="O80" i="25"/>
  <c r="N74" i="25"/>
  <c r="J149" i="58"/>
  <c r="J31" i="73"/>
  <c r="H19" i="69"/>
  <c r="N81" i="25"/>
  <c r="C63" i="35"/>
  <c r="D213" i="40"/>
  <c r="C36" i="39" s="1"/>
  <c r="L46" i="39"/>
  <c r="AG48" i="25"/>
  <c r="D322" i="40"/>
  <c r="N48" i="25"/>
  <c r="D38" i="66"/>
  <c r="C78" i="58"/>
  <c r="D295" i="40"/>
  <c r="C266" i="40"/>
  <c r="E34" i="9"/>
  <c r="C128" i="35"/>
  <c r="D71" i="74" s="1"/>
  <c r="M16" i="67"/>
  <c r="C127" i="35"/>
  <c r="D70" i="74" s="1"/>
  <c r="D75" i="74" s="1"/>
  <c r="D21" i="62"/>
  <c r="D288" i="40"/>
  <c r="D33" i="74"/>
  <c r="F20" i="10"/>
  <c r="G20" i="10" s="1"/>
  <c r="N28" i="25"/>
  <c r="D59" i="74"/>
  <c r="D351" i="40"/>
  <c r="D343" i="40"/>
  <c r="H30" i="58"/>
  <c r="J109" i="58"/>
  <c r="F81" i="40"/>
  <c r="D43" i="74"/>
  <c r="D76" i="58"/>
  <c r="D95" i="40"/>
  <c r="D116" i="58"/>
  <c r="E13" i="9"/>
  <c r="F18" i="10"/>
  <c r="E28" i="10"/>
  <c r="E19" i="10"/>
  <c r="E32" i="10"/>
  <c r="E33" i="10"/>
  <c r="E25" i="10"/>
  <c r="E40" i="10"/>
  <c r="F21" i="10"/>
  <c r="G21" i="10" s="1"/>
  <c r="D65" i="74"/>
  <c r="D366" i="40"/>
  <c r="E20" i="10"/>
  <c r="E36" i="10"/>
  <c r="E24" i="10"/>
  <c r="E43" i="10"/>
  <c r="F2" i="51"/>
  <c r="A10" i="8"/>
  <c r="C65" i="74"/>
  <c r="C41" i="74"/>
  <c r="C42" i="74" s="1"/>
  <c r="C43" i="74" s="1"/>
  <c r="C112" i="58"/>
  <c r="K15" i="48"/>
  <c r="L15" i="48"/>
  <c r="K19" i="48"/>
  <c r="L19" i="48"/>
  <c r="L18" i="48"/>
  <c r="K16" i="48"/>
  <c r="L16" i="48"/>
  <c r="E43" i="40"/>
  <c r="F96" i="35"/>
  <c r="K29" i="46" s="1"/>
  <c r="U25" i="35"/>
  <c r="F30" i="35"/>
  <c r="K57" i="46" s="1"/>
  <c r="B125" i="35"/>
  <c r="D78" i="35"/>
  <c r="G9" i="46" s="1"/>
  <c r="R96" i="35"/>
  <c r="V79" i="35"/>
  <c r="R10" i="46" s="1"/>
  <c r="L30" i="35"/>
  <c r="V64" i="35"/>
  <c r="O17" i="53" s="1"/>
  <c r="C92" i="35"/>
  <c r="E25" i="46" s="1"/>
  <c r="D49" i="35"/>
  <c r="F9" i="47" s="1"/>
  <c r="C57" i="35"/>
  <c r="D17" i="47" s="1"/>
  <c r="C17" i="35"/>
  <c r="E46" i="46" s="1"/>
  <c r="C71" i="35"/>
  <c r="B105" i="35"/>
  <c r="D90" i="35"/>
  <c r="G23" i="46" s="1"/>
  <c r="I96" i="35"/>
  <c r="C16" i="35"/>
  <c r="E45" i="46" s="1"/>
  <c r="V65" i="35"/>
  <c r="P26" i="47" s="1"/>
  <c r="M77" i="35"/>
  <c r="L87" i="35"/>
  <c r="B29" i="35"/>
  <c r="C56" i="46" s="1"/>
  <c r="B97" i="35"/>
  <c r="C56" i="35"/>
  <c r="C28" i="35"/>
  <c r="E55" i="46" s="1"/>
  <c r="U125" i="35"/>
  <c r="U126" i="35" s="1"/>
  <c r="F49" i="35"/>
  <c r="J9" i="47" s="1"/>
  <c r="T49" i="35"/>
  <c r="O87" i="35"/>
  <c r="U30" i="35"/>
  <c r="P57" i="46" s="1"/>
  <c r="V57" i="35"/>
  <c r="P17" i="47" s="1"/>
  <c r="G95" i="35"/>
  <c r="M28" i="46" s="1"/>
  <c r="N28" i="46" s="1"/>
  <c r="E105" i="35"/>
  <c r="B37" i="35"/>
  <c r="C63" i="46" s="1"/>
  <c r="R30" i="35"/>
  <c r="U82" i="35"/>
  <c r="P13" i="46" s="1"/>
  <c r="D105" i="35"/>
  <c r="C29" i="35"/>
  <c r="E56" i="46" s="1"/>
  <c r="E95" i="35"/>
  <c r="I28" i="46" s="1"/>
  <c r="I30" i="35"/>
  <c r="C97" i="35"/>
  <c r="E24" i="35"/>
  <c r="I51" i="46" s="1"/>
  <c r="C88" i="35"/>
  <c r="C21" i="35"/>
  <c r="E49" i="46" s="1"/>
  <c r="R18" i="35"/>
  <c r="N9" i="47"/>
  <c r="S69" i="35"/>
  <c r="U105" i="35"/>
  <c r="D87" i="35"/>
  <c r="V77" i="35"/>
  <c r="R8" i="46" s="1"/>
  <c r="D125" i="35"/>
  <c r="Q49" i="35"/>
  <c r="N15" i="53"/>
  <c r="I105" i="35"/>
  <c r="K18" i="35"/>
  <c r="O96" i="35"/>
  <c r="H95" i="35"/>
  <c r="O69" i="35"/>
  <c r="O30" i="35"/>
  <c r="E18" i="35"/>
  <c r="I47" i="46" s="1"/>
  <c r="S18" i="35"/>
  <c r="L49" i="35"/>
  <c r="D82" i="35"/>
  <c r="G13" i="46" s="1"/>
  <c r="N77" i="35"/>
  <c r="I95" i="35"/>
  <c r="O77" i="35"/>
  <c r="V76" i="35"/>
  <c r="R7" i="46" s="1"/>
  <c r="V63" i="35"/>
  <c r="O16" i="53" s="1"/>
  <c r="B30" i="35"/>
  <c r="C57" i="46" s="1"/>
  <c r="U26" i="35"/>
  <c r="C78" i="35"/>
  <c r="E9" i="46" s="1"/>
  <c r="Q96" i="35"/>
  <c r="H69" i="35"/>
  <c r="U94" i="35"/>
  <c r="C94" i="35"/>
  <c r="D92" i="35"/>
  <c r="G25" i="46" s="1"/>
  <c r="C64" i="35"/>
  <c r="B83" i="35"/>
  <c r="C14" i="46" s="1"/>
  <c r="S105" i="35"/>
  <c r="B76" i="35"/>
  <c r="C7" i="46" s="1"/>
  <c r="L69" i="35"/>
  <c r="J69" i="35"/>
  <c r="C82" i="35"/>
  <c r="C18" i="35"/>
  <c r="E47" i="46" s="1"/>
  <c r="B21" i="35"/>
  <c r="C49" i="46" s="1"/>
  <c r="V105" i="35"/>
  <c r="S87" i="35"/>
  <c r="O95" i="35"/>
  <c r="N69" i="35"/>
  <c r="Q29" i="35"/>
  <c r="R95" i="35"/>
  <c r="P87" i="35"/>
  <c r="S30" i="35"/>
  <c r="U21" i="35"/>
  <c r="P49" i="46" s="1"/>
  <c r="D30" i="35"/>
  <c r="G57" i="46" s="1"/>
  <c r="V81" i="35"/>
  <c r="R12" i="46" s="1"/>
  <c r="T69" i="35"/>
  <c r="V89" i="35"/>
  <c r="U95" i="35"/>
  <c r="P28" i="46" s="1"/>
  <c r="C14" i="35"/>
  <c r="E43" i="46" s="1"/>
  <c r="M49" i="35"/>
  <c r="B90" i="35"/>
  <c r="C23" i="46" s="1"/>
  <c r="B26" i="35"/>
  <c r="I49" i="35"/>
  <c r="K24" i="35"/>
  <c r="R69" i="35"/>
  <c r="Q77" i="35"/>
  <c r="B17" i="35"/>
  <c r="C46" i="46" s="1"/>
  <c r="V99" i="35"/>
  <c r="Q18" i="35"/>
  <c r="C89" i="35"/>
  <c r="E22" i="46" s="1"/>
  <c r="C65" i="35"/>
  <c r="D26" i="47" s="1"/>
  <c r="M18" i="35"/>
  <c r="P77" i="35"/>
  <c r="D17" i="35"/>
  <c r="G46" i="46" s="1"/>
  <c r="C76" i="35"/>
  <c r="E7" i="46" s="1"/>
  <c r="E71" i="35"/>
  <c r="G87" i="35"/>
  <c r="Q30" i="35"/>
  <c r="G30" i="35"/>
  <c r="M57" i="46" s="1"/>
  <c r="V49" i="35"/>
  <c r="P9" i="47" s="1"/>
  <c r="N17" i="47"/>
  <c r="D83" i="35"/>
  <c r="G14" i="46" s="1"/>
  <c r="Q95" i="35"/>
  <c r="U90" i="35"/>
  <c r="P23" i="46" s="1"/>
  <c r="G24" i="35"/>
  <c r="M51" i="46" s="1"/>
  <c r="V84" i="35"/>
  <c r="R15" i="46" s="1"/>
  <c r="J24" i="35"/>
  <c r="B78" i="35"/>
  <c r="C9" i="46" s="1"/>
  <c r="V24" i="35"/>
  <c r="B89" i="35"/>
  <c r="C22" i="46" s="1"/>
  <c r="E69" i="35"/>
  <c r="H32" i="47" s="1"/>
  <c r="D88" i="35"/>
  <c r="T87" i="35"/>
  <c r="E30" i="35"/>
  <c r="I57" i="46" s="1"/>
  <c r="G69" i="35"/>
  <c r="L32" i="47" s="1"/>
  <c r="N29" i="35"/>
  <c r="D69" i="35"/>
  <c r="F32" i="47" s="1"/>
  <c r="U79" i="35"/>
  <c r="P10" i="46" s="1"/>
  <c r="U16" i="35"/>
  <c r="P45" i="46" s="1"/>
  <c r="U13" i="35"/>
  <c r="U76" i="35"/>
  <c r="P7" i="46" s="1"/>
  <c r="B87" i="35"/>
  <c r="P105" i="35"/>
  <c r="B16" i="35"/>
  <c r="C45" i="46" s="1"/>
  <c r="B24" i="35"/>
  <c r="C125" i="35"/>
  <c r="H96" i="35"/>
  <c r="R29" i="35"/>
  <c r="U88" i="35"/>
  <c r="F97" i="35"/>
  <c r="K30" i="46" s="1"/>
  <c r="O29" i="35"/>
  <c r="V26" i="35"/>
  <c r="M24" i="35"/>
  <c r="H105" i="35"/>
  <c r="E97" i="35"/>
  <c r="I30" i="46" s="1"/>
  <c r="D99" i="35"/>
  <c r="B94" i="35"/>
  <c r="G49" i="35"/>
  <c r="L9" i="47" s="1"/>
  <c r="H24" i="35"/>
  <c r="D89" i="35"/>
  <c r="G22" i="46" s="1"/>
  <c r="I87" i="35"/>
  <c r="C34" i="35"/>
  <c r="H87" i="35"/>
  <c r="K105" i="35"/>
  <c r="N19" i="53"/>
  <c r="U34" i="35"/>
  <c r="P61" i="46" s="1"/>
  <c r="Q105" i="35"/>
  <c r="V18" i="35"/>
  <c r="R47" i="46" s="1"/>
  <c r="J95" i="35"/>
  <c r="V92" i="35"/>
  <c r="R25" i="46" s="1"/>
  <c r="T29" i="35"/>
  <c r="U77" i="35"/>
  <c r="P8" i="46" s="1"/>
  <c r="P29" i="35"/>
  <c r="D76" i="35"/>
  <c r="D18" i="35"/>
  <c r="G47" i="46" s="1"/>
  <c r="S95" i="35"/>
  <c r="V29" i="35"/>
  <c r="R56" i="46" s="1"/>
  <c r="B75" i="35"/>
  <c r="B79" i="35"/>
  <c r="C10" i="46" s="1"/>
  <c r="V94" i="35"/>
  <c r="S96" i="35"/>
  <c r="C90" i="35"/>
  <c r="E23" i="46" s="1"/>
  <c r="C69" i="35"/>
  <c r="D32" i="47" s="1"/>
  <c r="U17" i="35"/>
  <c r="P46" i="46" s="1"/>
  <c r="B18" i="35"/>
  <c r="C47" i="46" s="1"/>
  <c r="U97" i="35"/>
  <c r="P30" i="46" s="1"/>
  <c r="K69" i="35"/>
  <c r="C79" i="35"/>
  <c r="E10" i="46" s="1"/>
  <c r="F87" i="35"/>
  <c r="U29" i="35"/>
  <c r="P56" i="46" s="1"/>
  <c r="B96" i="35"/>
  <c r="C29" i="46" s="1"/>
  <c r="V16" i="35"/>
  <c r="R45" i="46" s="1"/>
  <c r="B99" i="35"/>
  <c r="C32" i="46" s="1"/>
  <c r="H30" i="35"/>
  <c r="D96" i="35"/>
  <c r="C30" i="35"/>
  <c r="E57" i="46" s="1"/>
  <c r="P30" i="35"/>
  <c r="M30" i="35"/>
  <c r="B77" i="35"/>
  <c r="C8" i="46" s="1"/>
  <c r="D21" i="35"/>
  <c r="G49" i="46" s="1"/>
  <c r="M29" i="35"/>
  <c r="N18" i="35"/>
  <c r="U37" i="35"/>
  <c r="P63" i="46" s="1"/>
  <c r="V17" i="35"/>
  <c r="R46" i="46" s="1"/>
  <c r="V34" i="35"/>
  <c r="R61" i="46" s="1"/>
  <c r="O105" i="35"/>
  <c r="B82" i="35"/>
  <c r="C13" i="46" s="1"/>
  <c r="T105" i="35"/>
  <c r="E96" i="35"/>
  <c r="I29" i="46" s="1"/>
  <c r="C77" i="35"/>
  <c r="E8" i="46" s="1"/>
  <c r="B81" i="35"/>
  <c r="U96" i="35"/>
  <c r="P29" i="46" s="1"/>
  <c r="C62" i="35"/>
  <c r="D15" i="53" s="1"/>
  <c r="P24" i="35"/>
  <c r="J105" i="35"/>
  <c r="D26" i="35"/>
  <c r="E19" i="76" s="1"/>
  <c r="X3" i="76" s="1"/>
  <c r="V90" i="35"/>
  <c r="R23" i="46" s="1"/>
  <c r="B91" i="35"/>
  <c r="C24" i="46" s="1"/>
  <c r="J96" i="35"/>
  <c r="D62" i="35"/>
  <c r="D64" i="35"/>
  <c r="D56" i="35"/>
  <c r="K30" i="35"/>
  <c r="D57" i="35"/>
  <c r="F17" i="47" s="1"/>
  <c r="B88" i="35"/>
  <c r="C21" i="46" s="1"/>
  <c r="C84" i="35"/>
  <c r="E15" i="46" s="1"/>
  <c r="H49" i="35"/>
  <c r="G29" i="35"/>
  <c r="M56" i="46" s="1"/>
  <c r="D13" i="35"/>
  <c r="C22" i="81" s="1"/>
  <c r="R105" i="35"/>
  <c r="L105" i="35"/>
  <c r="V62" i="35"/>
  <c r="O15" i="53" s="1"/>
  <c r="D97" i="35"/>
  <c r="M87" i="35"/>
  <c r="U78" i="35"/>
  <c r="P9" i="46" s="1"/>
  <c r="G14" i="48"/>
  <c r="E15" i="67"/>
  <c r="F36" i="63"/>
  <c r="F25" i="63"/>
  <c r="F16" i="63"/>
  <c r="F31" i="63"/>
  <c r="F37" i="63"/>
  <c r="F44" i="63"/>
  <c r="F20" i="63"/>
  <c r="F30" i="63"/>
  <c r="F28" i="63"/>
  <c r="F19" i="63"/>
  <c r="F115" i="68"/>
  <c r="F6" i="68"/>
  <c r="H242" i="40" l="1"/>
  <c r="I242" i="40" s="1"/>
  <c r="J242" i="40" s="1"/>
  <c r="K242" i="40" s="1"/>
  <c r="L242" i="40" s="1"/>
  <c r="B120" i="85"/>
  <c r="B20" i="85"/>
  <c r="B22" i="85"/>
  <c r="B112" i="85"/>
  <c r="B113" i="85"/>
  <c r="D16" i="47"/>
  <c r="F16" i="47"/>
  <c r="F141" i="85"/>
  <c r="F122" i="85"/>
  <c r="F45" i="85"/>
  <c r="F74" i="85" s="1"/>
  <c r="F106" i="85" s="1"/>
  <c r="F117" i="85" s="1"/>
  <c r="F352" i="40"/>
  <c r="F340" i="40"/>
  <c r="F344" i="40" s="1"/>
  <c r="F353" i="40" s="1"/>
  <c r="AG39" i="25" s="1"/>
  <c r="F367" i="40"/>
  <c r="AG41" i="25" s="1"/>
  <c r="F401" i="40"/>
  <c r="F403" i="40" s="1"/>
  <c r="F389" i="40"/>
  <c r="F392" i="40" s="1"/>
  <c r="F381" i="40"/>
  <c r="F383" i="40" s="1"/>
  <c r="F395" i="40"/>
  <c r="F398" i="40" s="1"/>
  <c r="F43" i="40"/>
  <c r="H18" i="69"/>
  <c r="H389" i="40"/>
  <c r="H392" i="40" s="1"/>
  <c r="H6" i="40"/>
  <c r="I6" i="40" s="1"/>
  <c r="I56" i="40" s="1"/>
  <c r="H194" i="40"/>
  <c r="I194" i="40" s="1"/>
  <c r="J194" i="40" s="1"/>
  <c r="K194" i="40" s="1"/>
  <c r="L194" i="40" s="1"/>
  <c r="M194" i="40" s="1"/>
  <c r="N194" i="40" s="1"/>
  <c r="H229" i="40"/>
  <c r="I229" i="40" s="1"/>
  <c r="J229" i="40" s="1"/>
  <c r="K229" i="40" s="1"/>
  <c r="L229" i="40" s="1"/>
  <c r="M229" i="40" s="1"/>
  <c r="N229" i="40" s="1"/>
  <c r="O229" i="40" s="1"/>
  <c r="P229" i="40" s="1"/>
  <c r="Q229" i="40" s="1"/>
  <c r="R229" i="40" s="1"/>
  <c r="S229" i="40" s="1"/>
  <c r="T229" i="40" s="1"/>
  <c r="U229" i="40" s="1"/>
  <c r="V229" i="40" s="1"/>
  <c r="W229" i="40" s="1"/>
  <c r="H209" i="40"/>
  <c r="I209" i="40" s="1"/>
  <c r="J209" i="40" s="1"/>
  <c r="H195" i="40"/>
  <c r="I195" i="40" s="1"/>
  <c r="J195" i="40" s="1"/>
  <c r="K195" i="40" s="1"/>
  <c r="L195" i="40" s="1"/>
  <c r="M195" i="40" s="1"/>
  <c r="N195" i="40" s="1"/>
  <c r="O195" i="40" s="1"/>
  <c r="P195" i="40" s="1"/>
  <c r="Q195" i="40" s="1"/>
  <c r="R195" i="40" s="1"/>
  <c r="S195" i="40" s="1"/>
  <c r="T195" i="40" s="1"/>
  <c r="U195" i="40" s="1"/>
  <c r="V195" i="40" s="1"/>
  <c r="W195" i="40" s="1"/>
  <c r="H320" i="40"/>
  <c r="N35" i="39"/>
  <c r="V52" i="85"/>
  <c r="H342" i="40"/>
  <c r="H38" i="40"/>
  <c r="H41" i="40" s="1"/>
  <c r="I38" i="40" s="1"/>
  <c r="I41" i="40" s="1"/>
  <c r="I62" i="40" s="1"/>
  <c r="V55" i="85"/>
  <c r="V54" i="85"/>
  <c r="H246" i="40"/>
  <c r="I246" i="40" s="1"/>
  <c r="J246" i="40" s="1"/>
  <c r="H235" i="40"/>
  <c r="I235" i="40" s="1"/>
  <c r="J235" i="40" s="1"/>
  <c r="J64" i="40" s="1"/>
  <c r="J57" i="69"/>
  <c r="M82" i="69"/>
  <c r="M9" i="69" s="1"/>
  <c r="B16" i="47"/>
  <c r="M81" i="13"/>
  <c r="J16" i="51"/>
  <c r="M8" i="13"/>
  <c r="N18" i="47"/>
  <c r="N10" i="47"/>
  <c r="M35" i="57"/>
  <c r="M30" i="57"/>
  <c r="S63" i="58"/>
  <c r="Q284" i="40"/>
  <c r="R67" i="58"/>
  <c r="Q267" i="40" s="1"/>
  <c r="M25" i="73"/>
  <c r="M26" i="83"/>
  <c r="M36" i="57"/>
  <c r="V7" i="33"/>
  <c r="M7" i="33"/>
  <c r="C7" i="33"/>
  <c r="C20" i="81"/>
  <c r="N2" i="56"/>
  <c r="N2" i="54" s="1"/>
  <c r="L2" i="55" s="1"/>
  <c r="O2" i="51"/>
  <c r="N2" i="72"/>
  <c r="L48" i="11"/>
  <c r="M177" i="58"/>
  <c r="M178" i="58" s="1"/>
  <c r="M163" i="58"/>
  <c r="O182" i="58" s="1"/>
  <c r="O162" i="58"/>
  <c r="V9" i="33"/>
  <c r="C9" i="33"/>
  <c r="L14" i="40"/>
  <c r="L20" i="40"/>
  <c r="L17" i="40"/>
  <c r="L23" i="40"/>
  <c r="L10" i="40"/>
  <c r="Q16" i="58"/>
  <c r="O9" i="40"/>
  <c r="O31" i="40"/>
  <c r="Q34" i="58"/>
  <c r="L48" i="72"/>
  <c r="G45" i="74"/>
  <c r="N158" i="58"/>
  <c r="N61" i="60"/>
  <c r="D61" i="60" s="1"/>
  <c r="C6" i="60" s="1"/>
  <c r="V6" i="33"/>
  <c r="D47" i="25"/>
  <c r="F41" i="25"/>
  <c r="M6" i="33"/>
  <c r="C6" i="33"/>
  <c r="C5" i="60"/>
  <c r="N100" i="60"/>
  <c r="D100" i="60" s="1"/>
  <c r="C8" i="33"/>
  <c r="V8" i="33"/>
  <c r="M8" i="33"/>
  <c r="N25" i="73"/>
  <c r="N26" i="83"/>
  <c r="J31" i="10"/>
  <c r="K31" i="10" s="1"/>
  <c r="K29" i="10"/>
  <c r="E20" i="48"/>
  <c r="H19" i="48"/>
  <c r="C20" i="48" s="1"/>
  <c r="F20" i="48" s="1"/>
  <c r="G20" i="48" s="1"/>
  <c r="E29" i="10"/>
  <c r="T86" i="40"/>
  <c r="S86" i="40"/>
  <c r="S99" i="40" s="1"/>
  <c r="S117" i="40" s="1"/>
  <c r="S366" i="40" s="1"/>
  <c r="Q86" i="40"/>
  <c r="R86" i="40"/>
  <c r="R99" i="40" s="1"/>
  <c r="R117" i="40" s="1"/>
  <c r="R366" i="40" s="1"/>
  <c r="P86" i="40"/>
  <c r="P99" i="40" s="1"/>
  <c r="P117" i="40" s="1"/>
  <c r="W86" i="40"/>
  <c r="O86" i="40"/>
  <c r="O99" i="40" s="1"/>
  <c r="O117" i="40" s="1"/>
  <c r="O366" i="40" s="1"/>
  <c r="V86" i="40"/>
  <c r="U86" i="40"/>
  <c r="U99" i="40" s="1"/>
  <c r="U117" i="40" s="1"/>
  <c r="U366" i="40" s="1"/>
  <c r="I111" i="40"/>
  <c r="G82" i="74"/>
  <c r="I384" i="40" s="1"/>
  <c r="I204" i="40" s="1"/>
  <c r="I380" i="40" s="1"/>
  <c r="I381" i="40" s="1"/>
  <c r="I383" i="40" s="1"/>
  <c r="Q40" i="25" s="1"/>
  <c r="V117" i="35"/>
  <c r="V127" i="35"/>
  <c r="B126" i="35"/>
  <c r="AI3" i="76"/>
  <c r="J307" i="40"/>
  <c r="E43" i="74"/>
  <c r="J310" i="40"/>
  <c r="J309" i="40"/>
  <c r="J308" i="40"/>
  <c r="H32" i="62"/>
  <c r="H47" i="62" s="1"/>
  <c r="I33" i="62" s="1"/>
  <c r="F38" i="74"/>
  <c r="H90" i="40" s="1"/>
  <c r="F58" i="74"/>
  <c r="G410" i="40"/>
  <c r="G131" i="40" s="1"/>
  <c r="V28" i="85" s="1"/>
  <c r="U32" i="35"/>
  <c r="P59" i="46" s="1"/>
  <c r="W85" i="40"/>
  <c r="W97" i="40" s="1"/>
  <c r="W116" i="40" s="1"/>
  <c r="O85" i="40"/>
  <c r="O97" i="40" s="1"/>
  <c r="O116" i="40" s="1"/>
  <c r="V85" i="40"/>
  <c r="V97" i="40" s="1"/>
  <c r="V116" i="40" s="1"/>
  <c r="U85" i="40"/>
  <c r="U97" i="40" s="1"/>
  <c r="U116" i="40" s="1"/>
  <c r="T85" i="40"/>
  <c r="T97" i="40" s="1"/>
  <c r="T116" i="40" s="1"/>
  <c r="S85" i="40"/>
  <c r="S97" i="40" s="1"/>
  <c r="S116" i="40" s="1"/>
  <c r="R85" i="40"/>
  <c r="R97" i="40" s="1"/>
  <c r="R116" i="40" s="1"/>
  <c r="Q85" i="40"/>
  <c r="Q97" i="40" s="1"/>
  <c r="Q116" i="40" s="1"/>
  <c r="P85" i="40"/>
  <c r="P97" i="40" s="1"/>
  <c r="P116" i="40" s="1"/>
  <c r="E55" i="74"/>
  <c r="W99" i="40"/>
  <c r="W117" i="40" s="1"/>
  <c r="W366" i="40" s="1"/>
  <c r="V99" i="40"/>
  <c r="V117" i="40" s="1"/>
  <c r="V366" i="40" s="1"/>
  <c r="T99" i="40"/>
  <c r="T117" i="40" s="1"/>
  <c r="T366" i="40" s="1"/>
  <c r="Q99" i="40"/>
  <c r="Q117" i="40" s="1"/>
  <c r="Q366" i="40" s="1"/>
  <c r="F33" i="74"/>
  <c r="H81" i="40" s="1"/>
  <c r="H78" i="40" s="1"/>
  <c r="H77" i="40" s="1"/>
  <c r="N49" i="35"/>
  <c r="D91" i="35"/>
  <c r="G24" i="46" s="1"/>
  <c r="V24" i="46" s="1"/>
  <c r="J20" i="63"/>
  <c r="B3" i="35"/>
  <c r="B5" i="35"/>
  <c r="E83" i="35"/>
  <c r="I14" i="46" s="1"/>
  <c r="S407" i="40"/>
  <c r="T411" i="40" s="1"/>
  <c r="H381" i="40"/>
  <c r="F83" i="35"/>
  <c r="K14" i="46" s="1"/>
  <c r="H22" i="74"/>
  <c r="I8" i="74"/>
  <c r="I10" i="74" s="1"/>
  <c r="J20" i="74"/>
  <c r="K20" i="74" s="1"/>
  <c r="H21" i="74"/>
  <c r="I22" i="74"/>
  <c r="J17" i="74"/>
  <c r="J18" i="74" s="1"/>
  <c r="I19" i="74"/>
  <c r="G7" i="74"/>
  <c r="G10" i="74"/>
  <c r="H10" i="74"/>
  <c r="E60" i="74"/>
  <c r="E61" i="74"/>
  <c r="H6" i="74"/>
  <c r="H7" i="74"/>
  <c r="I5" i="74"/>
  <c r="C66" i="74"/>
  <c r="C67" i="74"/>
  <c r="E66" i="74"/>
  <c r="E67" i="74"/>
  <c r="D60" i="74"/>
  <c r="D61" i="74"/>
  <c r="E51" i="74"/>
  <c r="I25" i="74"/>
  <c r="J23" i="74"/>
  <c r="I24" i="74"/>
  <c r="C60" i="74"/>
  <c r="C61" i="74"/>
  <c r="D66" i="74"/>
  <c r="D67" i="74"/>
  <c r="I11" i="74"/>
  <c r="H13" i="74"/>
  <c r="H12" i="74"/>
  <c r="H27" i="74"/>
  <c r="I26" i="74"/>
  <c r="I100" i="74" s="1"/>
  <c r="H28" i="74"/>
  <c r="O407" i="40"/>
  <c r="P411" i="40" s="1"/>
  <c r="E75" i="74"/>
  <c r="G81" i="40"/>
  <c r="E17" i="76"/>
  <c r="V3" i="76" s="1"/>
  <c r="AL3" i="76" s="1"/>
  <c r="E63" i="76" s="1"/>
  <c r="C18" i="81"/>
  <c r="H216" i="40"/>
  <c r="I216" i="40" s="1"/>
  <c r="J216" i="40" s="1"/>
  <c r="K216" i="40" s="1"/>
  <c r="L216" i="40" s="1"/>
  <c r="M216" i="40" s="1"/>
  <c r="N216" i="40" s="1"/>
  <c r="O216" i="40" s="1"/>
  <c r="P216" i="40" s="1"/>
  <c r="Q216" i="40" s="1"/>
  <c r="R216" i="40" s="1"/>
  <c r="S216" i="40" s="1"/>
  <c r="T216" i="40" s="1"/>
  <c r="U216" i="40" s="1"/>
  <c r="V216" i="40" s="1"/>
  <c r="W216" i="40" s="1"/>
  <c r="H208" i="40"/>
  <c r="H49" i="40"/>
  <c r="H52" i="40" s="1"/>
  <c r="I49" i="40" s="1"/>
  <c r="I52" i="40" s="1"/>
  <c r="G401" i="40"/>
  <c r="G42" i="40"/>
  <c r="G389" i="40"/>
  <c r="G392" i="40" s="1"/>
  <c r="H341" i="40"/>
  <c r="H362" i="40"/>
  <c r="H359" i="40" s="1"/>
  <c r="H243" i="40"/>
  <c r="I243" i="40" s="1"/>
  <c r="J243" i="40" s="1"/>
  <c r="K243" i="40" s="1"/>
  <c r="L243" i="40" s="1"/>
  <c r="M243" i="40" s="1"/>
  <c r="N243" i="40" s="1"/>
  <c r="O243" i="40" s="1"/>
  <c r="P243" i="40" s="1"/>
  <c r="Q243" i="40" s="1"/>
  <c r="R243" i="40" s="1"/>
  <c r="S243" i="40" s="1"/>
  <c r="T243" i="40" s="1"/>
  <c r="U243" i="40" s="1"/>
  <c r="V243" i="40" s="1"/>
  <c r="W243" i="40" s="1"/>
  <c r="G320" i="40"/>
  <c r="G323" i="40" s="1"/>
  <c r="AH32" i="25" s="1"/>
  <c r="H248" i="40"/>
  <c r="H395" i="40" s="1"/>
  <c r="H398" i="40" s="1"/>
  <c r="H244" i="40"/>
  <c r="I244" i="40" s="1"/>
  <c r="G402" i="40"/>
  <c r="D395" i="40"/>
  <c r="D398" i="40" s="1"/>
  <c r="M20" i="67"/>
  <c r="M19" i="39"/>
  <c r="M22" i="13" s="1"/>
  <c r="N34" i="73" s="1"/>
  <c r="D401" i="40"/>
  <c r="D352" i="40"/>
  <c r="D42" i="40"/>
  <c r="D43" i="40"/>
  <c r="D45" i="40"/>
  <c r="G45" i="40"/>
  <c r="D389" i="40"/>
  <c r="D392" i="40" s="1"/>
  <c r="D320" i="40"/>
  <c r="D323" i="40" s="1"/>
  <c r="N32" i="25" s="1"/>
  <c r="D326" i="40"/>
  <c r="D367" i="40"/>
  <c r="N41" i="25" s="1"/>
  <c r="L37" i="39" s="1"/>
  <c r="M17" i="67"/>
  <c r="M16" i="39"/>
  <c r="M20" i="13" s="1"/>
  <c r="N32" i="73" s="1"/>
  <c r="D402" i="40"/>
  <c r="D381" i="40"/>
  <c r="D383" i="40" s="1"/>
  <c r="D40" i="40"/>
  <c r="B117" i="35"/>
  <c r="E45" i="40"/>
  <c r="D81" i="40"/>
  <c r="B127" i="35"/>
  <c r="C70" i="74" s="1"/>
  <c r="C75" i="74" s="1"/>
  <c r="E395" i="40"/>
  <c r="E398" i="40" s="1"/>
  <c r="E320" i="40"/>
  <c r="E323" i="40" s="1"/>
  <c r="E401" i="40"/>
  <c r="E40" i="40"/>
  <c r="E18" i="52"/>
  <c r="D50" i="72"/>
  <c r="E381" i="40"/>
  <c r="E383" i="40" s="1"/>
  <c r="E367" i="40"/>
  <c r="O41" i="25" s="1"/>
  <c r="M37" i="39" s="1"/>
  <c r="E42" i="40"/>
  <c r="E402" i="40"/>
  <c r="E326" i="40"/>
  <c r="E340" i="40"/>
  <c r="E344" i="40" s="1"/>
  <c r="E81" i="40"/>
  <c r="E352" i="40"/>
  <c r="E82" i="40"/>
  <c r="G27" i="46"/>
  <c r="F41" i="66"/>
  <c r="H49" i="66" s="1"/>
  <c r="G82" i="40"/>
  <c r="Q407" i="40"/>
  <c r="R411" i="40" s="1"/>
  <c r="N49" i="67"/>
  <c r="V63" i="46"/>
  <c r="H32" i="63"/>
  <c r="L44" i="63"/>
  <c r="N28" i="67"/>
  <c r="N39" i="67"/>
  <c r="N27" i="67"/>
  <c r="L30" i="63"/>
  <c r="J40" i="63"/>
  <c r="L27" i="63"/>
  <c r="N34" i="67"/>
  <c r="N47" i="67"/>
  <c r="N41" i="67"/>
  <c r="F18" i="67"/>
  <c r="L36" i="63"/>
  <c r="L42" i="63"/>
  <c r="H30" i="63"/>
  <c r="L37" i="63"/>
  <c r="N50" i="67"/>
  <c r="N40" i="67"/>
  <c r="L20" i="63"/>
  <c r="H34" i="63"/>
  <c r="L12" i="64"/>
  <c r="L26" i="64" s="1"/>
  <c r="L24" i="63"/>
  <c r="L41" i="63"/>
  <c r="F15" i="67"/>
  <c r="H25" i="63"/>
  <c r="L32" i="63"/>
  <c r="M41" i="67"/>
  <c r="L16" i="63"/>
  <c r="L29" i="63"/>
  <c r="L45" i="63"/>
  <c r="N24" i="47"/>
  <c r="L43" i="63"/>
  <c r="N46" i="67"/>
  <c r="N33" i="67"/>
  <c r="N51" i="67"/>
  <c r="H20" i="63"/>
  <c r="M48" i="67"/>
  <c r="L31" i="63"/>
  <c r="L28" i="63"/>
  <c r="L40" i="63"/>
  <c r="J28" i="33"/>
  <c r="F28" i="33" s="1"/>
  <c r="N37" i="67"/>
  <c r="R42" i="46"/>
  <c r="S61" i="46" s="1"/>
  <c r="L39" i="63"/>
  <c r="L34" i="63"/>
  <c r="L34" i="67"/>
  <c r="M50" i="67"/>
  <c r="M46" i="67"/>
  <c r="L17" i="63"/>
  <c r="L19" i="63"/>
  <c r="L35" i="63"/>
  <c r="N48" i="67"/>
  <c r="N42" i="67"/>
  <c r="V52" i="46"/>
  <c r="V46" i="46"/>
  <c r="L28" i="67"/>
  <c r="B15" i="67"/>
  <c r="L39" i="67"/>
  <c r="L51" i="67"/>
  <c r="C15" i="67"/>
  <c r="H35" i="63"/>
  <c r="M28" i="67"/>
  <c r="L33" i="67"/>
  <c r="L42" i="67"/>
  <c r="L46" i="67"/>
  <c r="C18" i="67"/>
  <c r="M47" i="67"/>
  <c r="F37" i="47"/>
  <c r="V28" i="46"/>
  <c r="U28" i="46"/>
  <c r="H42" i="63"/>
  <c r="H19" i="63"/>
  <c r="L50" i="67"/>
  <c r="M42" i="67"/>
  <c r="M32" i="67"/>
  <c r="L47" i="67"/>
  <c r="M34" i="67"/>
  <c r="J36" i="63"/>
  <c r="M51" i="67"/>
  <c r="H28" i="63"/>
  <c r="G32" i="66"/>
  <c r="G33" i="66" s="1"/>
  <c r="H45" i="63"/>
  <c r="H39" i="63"/>
  <c r="H29" i="63"/>
  <c r="L49" i="67"/>
  <c r="L41" i="67"/>
  <c r="M40" i="67"/>
  <c r="V56" i="46"/>
  <c r="H23" i="63"/>
  <c r="H27" i="63"/>
  <c r="H31" i="63"/>
  <c r="M33" i="67"/>
  <c r="H44" i="63"/>
  <c r="H40" i="63"/>
  <c r="U52" i="46"/>
  <c r="D50" i="56"/>
  <c r="M39" i="67"/>
  <c r="H37" i="63"/>
  <c r="H24" i="63"/>
  <c r="H17" i="63"/>
  <c r="C8" i="52"/>
  <c r="H6" i="33"/>
  <c r="AA6" i="33" s="1"/>
  <c r="I13" i="33"/>
  <c r="AB13" i="33" s="1"/>
  <c r="H36" i="63"/>
  <c r="H41" i="63"/>
  <c r="H12" i="64"/>
  <c r="L40" i="67"/>
  <c r="L32" i="67"/>
  <c r="D15" i="67"/>
  <c r="D18" i="52"/>
  <c r="F43" i="64"/>
  <c r="M49" i="67"/>
  <c r="H43" i="63"/>
  <c r="H16" i="63"/>
  <c r="L18" i="63"/>
  <c r="L23" i="63"/>
  <c r="C42" i="46"/>
  <c r="D42" i="46" s="1"/>
  <c r="N25" i="47"/>
  <c r="U93" i="35"/>
  <c r="P85" i="46" s="1"/>
  <c r="R6" i="46"/>
  <c r="R11" i="46" s="1"/>
  <c r="F19" i="33"/>
  <c r="F42" i="33" s="1"/>
  <c r="E57" i="56"/>
  <c r="E6" i="46"/>
  <c r="E11" i="46" s="1"/>
  <c r="V51" i="46"/>
  <c r="C8" i="53"/>
  <c r="B7" i="47"/>
  <c r="J12" i="64"/>
  <c r="J38" i="64" s="1"/>
  <c r="J34" i="63"/>
  <c r="B37" i="47"/>
  <c r="C19" i="53"/>
  <c r="J28" i="63"/>
  <c r="J31" i="63"/>
  <c r="B67" i="35"/>
  <c r="B28" i="47" s="1"/>
  <c r="B23" i="47"/>
  <c r="C15" i="53"/>
  <c r="J32" i="63"/>
  <c r="J25" i="63"/>
  <c r="P37" i="47"/>
  <c r="B73" i="35"/>
  <c r="B42" i="47" s="1"/>
  <c r="B8" i="47"/>
  <c r="C9" i="53"/>
  <c r="J19" i="63"/>
  <c r="J23" i="63"/>
  <c r="D107" i="35"/>
  <c r="C30" i="81" s="1"/>
  <c r="B59" i="35"/>
  <c r="B19" i="47" s="1"/>
  <c r="B12" i="47"/>
  <c r="C11" i="53"/>
  <c r="G30" i="66"/>
  <c r="G31" i="66" s="1"/>
  <c r="I33" i="69"/>
  <c r="J37" i="63"/>
  <c r="J43" i="63"/>
  <c r="J35" i="63"/>
  <c r="F57" i="70"/>
  <c r="F20" i="64"/>
  <c r="E11" i="76"/>
  <c r="P3" i="76" s="1"/>
  <c r="C12" i="53"/>
  <c r="B14" i="47"/>
  <c r="B51" i="35"/>
  <c r="B6" i="47"/>
  <c r="J45" i="63"/>
  <c r="J44" i="63"/>
  <c r="J16" i="63"/>
  <c r="J24" i="63"/>
  <c r="J42" i="63"/>
  <c r="N18" i="52"/>
  <c r="J29" i="63"/>
  <c r="C16" i="53"/>
  <c r="B24" i="47"/>
  <c r="J27" i="63"/>
  <c r="V98" i="35"/>
  <c r="F57" i="56"/>
  <c r="C35" i="69"/>
  <c r="B25" i="47"/>
  <c r="C17" i="53"/>
  <c r="B39" i="35"/>
  <c r="C65" i="46" s="1"/>
  <c r="C14" i="53"/>
  <c r="B22" i="47"/>
  <c r="J17" i="63"/>
  <c r="J30" i="63"/>
  <c r="J41" i="63"/>
  <c r="J18" i="63"/>
  <c r="J13" i="33"/>
  <c r="AC13" i="33" s="1"/>
  <c r="G6" i="46"/>
  <c r="B15" i="47"/>
  <c r="J389" i="40"/>
  <c r="J392" i="40" s="1"/>
  <c r="B37" i="67"/>
  <c r="F32" i="62"/>
  <c r="F47" i="62" s="1"/>
  <c r="G32" i="62" s="1"/>
  <c r="N17" i="67"/>
  <c r="E102" i="58"/>
  <c r="H103" i="58" s="1"/>
  <c r="J103" i="58" s="1"/>
  <c r="K103" i="58" s="1"/>
  <c r="L103" i="58" s="1"/>
  <c r="M103" i="58" s="1"/>
  <c r="N103" i="58" s="1"/>
  <c r="O103" i="58" s="1"/>
  <c r="P103" i="58" s="1"/>
  <c r="Q103" i="58" s="1"/>
  <c r="R103" i="58" s="1"/>
  <c r="S103" i="58" s="1"/>
  <c r="T103" i="58" s="1"/>
  <c r="U103" i="58" s="1"/>
  <c r="V103" i="58" s="1"/>
  <c r="W103" i="58" s="1"/>
  <c r="X103" i="58" s="1"/>
  <c r="H31" i="10"/>
  <c r="I31" i="10" s="1"/>
  <c r="I20" i="10"/>
  <c r="D47" i="35"/>
  <c r="F7" i="47" s="1"/>
  <c r="N25" i="67"/>
  <c r="B35" i="69"/>
  <c r="N8" i="53"/>
  <c r="V54" i="35"/>
  <c r="N36" i="39"/>
  <c r="V55" i="35"/>
  <c r="P15" i="47" s="1"/>
  <c r="U22" i="46"/>
  <c r="E49" i="9"/>
  <c r="M13" i="39" s="1"/>
  <c r="E32" i="66"/>
  <c r="E33" i="66" s="1"/>
  <c r="B32" i="35"/>
  <c r="C59" i="46" s="1"/>
  <c r="D76" i="74"/>
  <c r="D114" i="40"/>
  <c r="J214" i="58" s="1"/>
  <c r="E16" i="66"/>
  <c r="E15" i="9"/>
  <c r="F39" i="64"/>
  <c r="F29" i="64"/>
  <c r="K233" i="40"/>
  <c r="U29" i="46"/>
  <c r="F24" i="64"/>
  <c r="C27" i="35"/>
  <c r="E54" i="46" s="1"/>
  <c r="H15" i="49"/>
  <c r="H20" i="49" s="1"/>
  <c r="F26" i="64"/>
  <c r="F35" i="64"/>
  <c r="N35" i="67"/>
  <c r="E45" i="9"/>
  <c r="U14" i="46"/>
  <c r="F36" i="64"/>
  <c r="F34" i="64"/>
  <c r="F17" i="64"/>
  <c r="G407" i="40"/>
  <c r="S411" i="40"/>
  <c r="D344" i="40"/>
  <c r="D350" i="40" s="1"/>
  <c r="E37" i="66"/>
  <c r="F54" i="64"/>
  <c r="C61" i="46"/>
  <c r="I30" i="69"/>
  <c r="G41" i="46"/>
  <c r="G77" i="46" s="1"/>
  <c r="G89" i="46" s="1"/>
  <c r="F5" i="47"/>
  <c r="I32" i="69"/>
  <c r="K32" i="69"/>
  <c r="K31" i="69"/>
  <c r="I31" i="69"/>
  <c r="V15" i="46"/>
  <c r="J6" i="58"/>
  <c r="G30" i="74"/>
  <c r="J1" i="40"/>
  <c r="G12" i="85" s="1"/>
  <c r="Q26" i="25"/>
  <c r="F12" i="35"/>
  <c r="H49" i="56" s="1"/>
  <c r="O49" i="56" s="1"/>
  <c r="G6" i="52"/>
  <c r="G5" i="53" s="1"/>
  <c r="J17" i="33"/>
  <c r="H56" i="25" s="1"/>
  <c r="E122" i="35"/>
  <c r="G56" i="56"/>
  <c r="N56" i="56"/>
  <c r="E141" i="35"/>
  <c r="G49" i="70"/>
  <c r="N49" i="70" s="1"/>
  <c r="E45" i="35"/>
  <c r="E74" i="35" s="1"/>
  <c r="E106" i="35" s="1"/>
  <c r="E117" i="35" s="1"/>
  <c r="I5" i="46"/>
  <c r="I41" i="46" s="1"/>
  <c r="I77" i="46" s="1"/>
  <c r="I89" i="46" s="1"/>
  <c r="H5" i="47"/>
  <c r="G56" i="70"/>
  <c r="G49" i="56"/>
  <c r="N49" i="56" s="1"/>
  <c r="N56" i="70"/>
  <c r="I29" i="69"/>
  <c r="G34" i="69"/>
  <c r="H34" i="69"/>
  <c r="F3" i="74"/>
  <c r="F98" i="74"/>
  <c r="F35" i="74"/>
  <c r="F40" i="74" s="1"/>
  <c r="F57" i="74" s="1"/>
  <c r="F63" i="74" s="1"/>
  <c r="F69" i="74" s="1"/>
  <c r="F74" i="74" s="1"/>
  <c r="F79" i="74" s="1"/>
  <c r="F85" i="74" s="1"/>
  <c r="F91" i="74" s="1"/>
  <c r="D117" i="35"/>
  <c r="J34" i="33"/>
  <c r="I17" i="33"/>
  <c r="F25" i="64"/>
  <c r="F55" i="64"/>
  <c r="F30" i="64"/>
  <c r="F21" i="64"/>
  <c r="F41" i="64"/>
  <c r="E41" i="46"/>
  <c r="E77" i="46" s="1"/>
  <c r="E89" i="46" s="1"/>
  <c r="D5" i="47"/>
  <c r="F38" i="64"/>
  <c r="F32" i="64"/>
  <c r="D102" i="58"/>
  <c r="F42" i="64"/>
  <c r="F19" i="64"/>
  <c r="AB5" i="33"/>
  <c r="R5" i="33"/>
  <c r="E5" i="33"/>
  <c r="F46" i="64"/>
  <c r="F22" i="64"/>
  <c r="F45" i="64"/>
  <c r="F47" i="64"/>
  <c r="F16" i="64"/>
  <c r="F26" i="63"/>
  <c r="F12" i="65"/>
  <c r="F16" i="65" s="1"/>
  <c r="G16" i="65" s="1"/>
  <c r="F31" i="64"/>
  <c r="F23" i="64"/>
  <c r="F18" i="64"/>
  <c r="F40" i="64"/>
  <c r="F27" i="64"/>
  <c r="C41" i="46"/>
  <c r="C77" i="46" s="1"/>
  <c r="C89" i="46" s="1"/>
  <c r="B5" i="47"/>
  <c r="AA5" i="33"/>
  <c r="Q5" i="33"/>
  <c r="M45" i="67"/>
  <c r="F48" i="11"/>
  <c r="N36" i="67"/>
  <c r="V25" i="46"/>
  <c r="G349" i="40"/>
  <c r="B107" i="35"/>
  <c r="E26" i="76" s="1"/>
  <c r="AG3" i="76" s="1"/>
  <c r="E29" i="9"/>
  <c r="E30" i="9" s="1"/>
  <c r="H15" i="13"/>
  <c r="H15" i="69" s="1"/>
  <c r="E30" i="66"/>
  <c r="E31" i="66" s="1"/>
  <c r="D29" i="9"/>
  <c r="D30" i="9" s="1"/>
  <c r="E51" i="66"/>
  <c r="D172" i="40"/>
  <c r="C47" i="39" s="1"/>
  <c r="E50" i="9"/>
  <c r="E31" i="9"/>
  <c r="M11" i="39" s="1"/>
  <c r="M12" i="39" s="1"/>
  <c r="N38" i="25"/>
  <c r="L35" i="67" s="1"/>
  <c r="C32" i="35"/>
  <c r="E59" i="46" s="1"/>
  <c r="L26" i="39"/>
  <c r="N62" i="25"/>
  <c r="E14" i="9"/>
  <c r="H94" i="60" s="1"/>
  <c r="L27" i="67"/>
  <c r="D119" i="40"/>
  <c r="N27" i="25" s="1"/>
  <c r="D77" i="74"/>
  <c r="F83" i="74"/>
  <c r="H196" i="40" s="1"/>
  <c r="E15" i="66"/>
  <c r="C126" i="35"/>
  <c r="I185" i="58"/>
  <c r="J213" i="58" s="1"/>
  <c r="H17" i="33"/>
  <c r="I19" i="33"/>
  <c r="E36" i="9"/>
  <c r="D106" i="58"/>
  <c r="H107" i="58" s="1"/>
  <c r="J107" i="58" s="1"/>
  <c r="K107" i="58" s="1"/>
  <c r="L107" i="58" s="1"/>
  <c r="M107" i="58" s="1"/>
  <c r="N107" i="58" s="1"/>
  <c r="O107" i="58" s="1"/>
  <c r="P107" i="58" s="1"/>
  <c r="Q107" i="58" s="1"/>
  <c r="R107" i="58" s="1"/>
  <c r="S107" i="58" s="1"/>
  <c r="T107" i="58" s="1"/>
  <c r="U107" i="58" s="1"/>
  <c r="V107" i="58" s="1"/>
  <c r="W107" i="58" s="1"/>
  <c r="X107" i="58" s="1"/>
  <c r="H288" i="40"/>
  <c r="I288" i="40" s="1"/>
  <c r="J288" i="40" s="1"/>
  <c r="K288" i="40" s="1"/>
  <c r="L288" i="40" s="1"/>
  <c r="M288" i="40" s="1"/>
  <c r="N288" i="40" s="1"/>
  <c r="O288" i="40" s="1"/>
  <c r="P288" i="40" s="1"/>
  <c r="Q288" i="40" s="1"/>
  <c r="R288" i="40" s="1"/>
  <c r="S288" i="40" s="1"/>
  <c r="T288" i="40" s="1"/>
  <c r="U288" i="40" s="1"/>
  <c r="V288" i="40" s="1"/>
  <c r="W288" i="40" s="1"/>
  <c r="M25" i="67"/>
  <c r="M24" i="39"/>
  <c r="L22" i="10"/>
  <c r="M22" i="10" s="1"/>
  <c r="D27" i="35"/>
  <c r="G54" i="46" s="1"/>
  <c r="V45" i="46"/>
  <c r="V32" i="35"/>
  <c r="R59" i="46" s="1"/>
  <c r="E290" i="40"/>
  <c r="H290" i="40" s="1"/>
  <c r="I290" i="40" s="1"/>
  <c r="J290" i="40" s="1"/>
  <c r="K290" i="40" s="1"/>
  <c r="L290" i="40" s="1"/>
  <c r="M290" i="40" s="1"/>
  <c r="N290" i="40" s="1"/>
  <c r="O290" i="40" s="1"/>
  <c r="P290" i="40" s="1"/>
  <c r="Q290" i="40" s="1"/>
  <c r="R290" i="40" s="1"/>
  <c r="S290" i="40" s="1"/>
  <c r="T290" i="40" s="1"/>
  <c r="U290" i="40" s="1"/>
  <c r="V290" i="40" s="1"/>
  <c r="W290" i="40" s="1"/>
  <c r="D32" i="35"/>
  <c r="G59" i="46" s="1"/>
  <c r="M35" i="67"/>
  <c r="G81" i="74"/>
  <c r="I370" i="40" s="1"/>
  <c r="G41" i="74"/>
  <c r="G42" i="74" s="1"/>
  <c r="G36" i="74"/>
  <c r="G37" i="74" s="1"/>
  <c r="H31" i="74"/>
  <c r="G80" i="74"/>
  <c r="I348" i="40" s="1"/>
  <c r="G32" i="74"/>
  <c r="D126" i="35"/>
  <c r="F64" i="74"/>
  <c r="H370" i="40"/>
  <c r="J30" i="73"/>
  <c r="J48" i="11"/>
  <c r="D48" i="11"/>
  <c r="F37" i="67"/>
  <c r="H48" i="11"/>
  <c r="E37" i="67"/>
  <c r="N162" i="58"/>
  <c r="N163" i="58" s="1"/>
  <c r="P182" i="58" s="1"/>
  <c r="N160" i="58"/>
  <c r="L149" i="58"/>
  <c r="L148" i="58"/>
  <c r="C37" i="67"/>
  <c r="G21" i="46"/>
  <c r="D36" i="39"/>
  <c r="D37" i="67"/>
  <c r="M44" i="39"/>
  <c r="I96" i="60" s="1"/>
  <c r="O79" i="25"/>
  <c r="E16" i="53"/>
  <c r="F24" i="47"/>
  <c r="K37" i="73"/>
  <c r="I25" i="69"/>
  <c r="N45" i="67"/>
  <c r="N44" i="39"/>
  <c r="C102" i="58"/>
  <c r="L17" i="67"/>
  <c r="D30" i="66"/>
  <c r="D31" i="66" s="1"/>
  <c r="U85" i="35"/>
  <c r="V52" i="35"/>
  <c r="O11" i="53" s="1"/>
  <c r="H14" i="49"/>
  <c r="H14" i="13"/>
  <c r="D50" i="66"/>
  <c r="D49" i="9"/>
  <c r="D51" i="66"/>
  <c r="D32" i="66"/>
  <c r="D33" i="66" s="1"/>
  <c r="C172" i="40"/>
  <c r="B47" i="39" s="1"/>
  <c r="N38" i="67"/>
  <c r="D31" i="9"/>
  <c r="D32" i="9" s="1"/>
  <c r="I14" i="69"/>
  <c r="K26" i="73"/>
  <c r="F50" i="9"/>
  <c r="F51" i="66"/>
  <c r="F32" i="66"/>
  <c r="F33" i="66" s="1"/>
  <c r="E172" i="40"/>
  <c r="D35" i="39" s="1"/>
  <c r="F30" i="66"/>
  <c r="F31" i="66" s="1"/>
  <c r="E13" i="76"/>
  <c r="R3" i="76" s="1"/>
  <c r="F29" i="9"/>
  <c r="F30" i="9" s="1"/>
  <c r="F49" i="9"/>
  <c r="I15" i="13"/>
  <c r="H54" i="25" s="1"/>
  <c r="I15" i="49"/>
  <c r="L15" i="49" s="1"/>
  <c r="V8" i="46"/>
  <c r="F31" i="9"/>
  <c r="F32" i="9" s="1"/>
  <c r="G7" i="46"/>
  <c r="V7" i="46" s="1"/>
  <c r="E12" i="76"/>
  <c r="Q3" i="76" s="1"/>
  <c r="D80" i="35"/>
  <c r="F131" i="40"/>
  <c r="U28" i="85" s="1"/>
  <c r="F88" i="40"/>
  <c r="F89" i="40" s="1"/>
  <c r="U410" i="40"/>
  <c r="U88" i="40" s="1"/>
  <c r="U407" i="40"/>
  <c r="V411" i="40" s="1"/>
  <c r="H51" i="66"/>
  <c r="H50" i="9"/>
  <c r="H49" i="9"/>
  <c r="H32" i="66"/>
  <c r="H33" i="66" s="1"/>
  <c r="G172" i="40"/>
  <c r="H29" i="9"/>
  <c r="H30" i="9" s="1"/>
  <c r="H31" i="9"/>
  <c r="H50" i="66"/>
  <c r="H30" i="66"/>
  <c r="H31" i="66" s="1"/>
  <c r="J47" i="62"/>
  <c r="K32" i="62" s="1"/>
  <c r="L47" i="62"/>
  <c r="I18" i="33"/>
  <c r="G26" i="66"/>
  <c r="G47" i="9"/>
  <c r="E35" i="39"/>
  <c r="E47" i="39"/>
  <c r="G48" i="66"/>
  <c r="G25" i="9"/>
  <c r="E48" i="67"/>
  <c r="F407" i="40"/>
  <c r="F406" i="40" s="1"/>
  <c r="G32" i="9"/>
  <c r="O12" i="67"/>
  <c r="O13" i="67" s="1"/>
  <c r="O11" i="39"/>
  <c r="O12" i="39" s="1"/>
  <c r="V410" i="40"/>
  <c r="V88" i="40" s="1"/>
  <c r="V407" i="40"/>
  <c r="W411" i="40" s="1"/>
  <c r="E36" i="67"/>
  <c r="P410" i="40"/>
  <c r="P88" i="40" s="1"/>
  <c r="P407" i="40"/>
  <c r="Q411" i="40" s="1"/>
  <c r="O14" i="67"/>
  <c r="O13" i="39"/>
  <c r="T407" i="40"/>
  <c r="U411" i="40" s="1"/>
  <c r="T410" i="40"/>
  <c r="T88" i="40" s="1"/>
  <c r="O62" i="25"/>
  <c r="M26" i="39"/>
  <c r="M27" i="67"/>
  <c r="J103" i="40"/>
  <c r="D22" i="10"/>
  <c r="E22" i="10" s="1"/>
  <c r="K22" i="10"/>
  <c r="J361" i="40"/>
  <c r="K363" i="40" s="1"/>
  <c r="K361" i="40" s="1"/>
  <c r="L363" i="40" s="1"/>
  <c r="D38" i="63"/>
  <c r="D46" i="63" s="1"/>
  <c r="D26" i="63"/>
  <c r="D39" i="64"/>
  <c r="D40" i="64"/>
  <c r="D32" i="64"/>
  <c r="D30" i="64"/>
  <c r="D19" i="64"/>
  <c r="D34" i="64"/>
  <c r="D41" i="64"/>
  <c r="D26" i="64"/>
  <c r="D45" i="64"/>
  <c r="D17" i="64"/>
  <c r="D36" i="64"/>
  <c r="D16" i="64"/>
  <c r="D27" i="64"/>
  <c r="D54" i="64"/>
  <c r="D43" i="64"/>
  <c r="D25" i="64"/>
  <c r="D55" i="64"/>
  <c r="D23" i="64"/>
  <c r="D42" i="64"/>
  <c r="D46" i="64"/>
  <c r="D12" i="65"/>
  <c r="D20" i="64"/>
  <c r="D47" i="64"/>
  <c r="D24" i="64"/>
  <c r="D35" i="64"/>
  <c r="D18" i="64"/>
  <c r="D29" i="64"/>
  <c r="D38" i="64"/>
  <c r="D22" i="64"/>
  <c r="D21" i="64"/>
  <c r="D31" i="64"/>
  <c r="D33" i="64"/>
  <c r="D22" i="63"/>
  <c r="C27" i="46"/>
  <c r="C93" i="35"/>
  <c r="H25" i="13"/>
  <c r="N79" i="25"/>
  <c r="C26" i="46"/>
  <c r="L45" i="67"/>
  <c r="L44" i="39"/>
  <c r="H95" i="60" s="1"/>
  <c r="D16" i="53"/>
  <c r="D24" i="47"/>
  <c r="D23" i="47"/>
  <c r="V22" i="46"/>
  <c r="V23" i="46"/>
  <c r="D406" i="40"/>
  <c r="D411" i="40" s="1"/>
  <c r="N33" i="25" s="1"/>
  <c r="C80" i="35"/>
  <c r="I33" i="33" s="1"/>
  <c r="M18" i="39"/>
  <c r="M19" i="67"/>
  <c r="D110" i="58"/>
  <c r="C295" i="40"/>
  <c r="H295" i="40" s="1"/>
  <c r="I295" i="40" s="1"/>
  <c r="J295" i="40" s="1"/>
  <c r="K295" i="40" s="1"/>
  <c r="L295" i="40" s="1"/>
  <c r="M295" i="40" s="1"/>
  <c r="N295" i="40" s="1"/>
  <c r="O295" i="40" s="1"/>
  <c r="P295" i="40" s="1"/>
  <c r="Q295" i="40" s="1"/>
  <c r="R295" i="40" s="1"/>
  <c r="S295" i="40" s="1"/>
  <c r="T295" i="40" s="1"/>
  <c r="U295" i="40" s="1"/>
  <c r="V295" i="40" s="1"/>
  <c r="W295" i="40" s="1"/>
  <c r="D32" i="62"/>
  <c r="H2" i="70"/>
  <c r="H2" i="72"/>
  <c r="H2" i="56"/>
  <c r="I2" i="54" s="1"/>
  <c r="G2" i="55" s="1"/>
  <c r="I110" i="40"/>
  <c r="N60" i="25"/>
  <c r="C47" i="35"/>
  <c r="L25" i="67"/>
  <c r="L24" i="39"/>
  <c r="F22" i="10"/>
  <c r="G18" i="10"/>
  <c r="K109" i="58"/>
  <c r="J30" i="58"/>
  <c r="L20" i="69"/>
  <c r="L20" i="13"/>
  <c r="M32" i="73" s="1"/>
  <c r="A71" i="8"/>
  <c r="B7" i="55"/>
  <c r="G42" i="46"/>
  <c r="H49" i="46" s="1"/>
  <c r="J6" i="33"/>
  <c r="N5" i="51"/>
  <c r="F50" i="56"/>
  <c r="F50" i="70"/>
  <c r="E8" i="52"/>
  <c r="U10" i="46"/>
  <c r="V10" i="46"/>
  <c r="P25" i="47"/>
  <c r="C30" i="46"/>
  <c r="H36" i="33"/>
  <c r="U8" i="46"/>
  <c r="E61" i="46"/>
  <c r="I28" i="33"/>
  <c r="E28" i="33" s="1"/>
  <c r="B93" i="35"/>
  <c r="V85" i="35"/>
  <c r="G29" i="46"/>
  <c r="D98" i="35"/>
  <c r="P7" i="47"/>
  <c r="V47" i="46"/>
  <c r="R16" i="46"/>
  <c r="U49" i="46"/>
  <c r="V49" i="46"/>
  <c r="V80" i="35"/>
  <c r="D41" i="66"/>
  <c r="D42" i="66" s="1"/>
  <c r="R51" i="46"/>
  <c r="V27" i="35"/>
  <c r="R54" i="46" s="1"/>
  <c r="C53" i="46"/>
  <c r="V57" i="46"/>
  <c r="E50" i="56"/>
  <c r="D8" i="52"/>
  <c r="I6" i="33"/>
  <c r="E50" i="70"/>
  <c r="E51" i="70" s="1"/>
  <c r="E42" i="46"/>
  <c r="F43" i="46" s="1"/>
  <c r="C15" i="35"/>
  <c r="U45" i="46"/>
  <c r="P52" i="46"/>
  <c r="U27" i="35"/>
  <c r="P54" i="46" s="1"/>
  <c r="E17" i="53"/>
  <c r="F25" i="47"/>
  <c r="U9" i="46"/>
  <c r="E21" i="46"/>
  <c r="E41" i="66"/>
  <c r="C107" i="35"/>
  <c r="E15" i="53"/>
  <c r="F23" i="47"/>
  <c r="R92" i="46"/>
  <c r="R53" i="46"/>
  <c r="P53" i="46"/>
  <c r="P92" i="46"/>
  <c r="G32" i="46"/>
  <c r="D57" i="56"/>
  <c r="C6" i="46"/>
  <c r="D57" i="70"/>
  <c r="C18" i="52"/>
  <c r="H13" i="33"/>
  <c r="B80" i="35"/>
  <c r="P42" i="46"/>
  <c r="Q49" i="46" s="1"/>
  <c r="N8" i="52"/>
  <c r="U47" i="46"/>
  <c r="D37" i="47"/>
  <c r="D19" i="53"/>
  <c r="U80" i="35"/>
  <c r="P84" i="46" s="1"/>
  <c r="V14" i="46"/>
  <c r="K14" i="48"/>
  <c r="L14" i="48"/>
  <c r="G30" i="46"/>
  <c r="J36" i="33"/>
  <c r="P21" i="46"/>
  <c r="P26" i="46" s="1"/>
  <c r="U107" i="35"/>
  <c r="C51" i="46"/>
  <c r="C54" i="46"/>
  <c r="H37" i="47"/>
  <c r="F19" i="53"/>
  <c r="R22" i="46"/>
  <c r="R26" i="46" s="1"/>
  <c r="V93" i="35"/>
  <c r="R85" i="46" s="1"/>
  <c r="E13" i="46"/>
  <c r="V13" i="46" s="1"/>
  <c r="C85" i="35"/>
  <c r="E27" i="46"/>
  <c r="C98" i="35"/>
  <c r="P24" i="47"/>
  <c r="U46" i="46"/>
  <c r="V9" i="46"/>
  <c r="U63" i="46"/>
  <c r="U15" i="46"/>
  <c r="R27" i="46"/>
  <c r="R31" i="46" s="1"/>
  <c r="V107" i="35"/>
  <c r="N37" i="47"/>
  <c r="B85" i="35"/>
  <c r="C12" i="46"/>
  <c r="D25" i="47"/>
  <c r="D17" i="53"/>
  <c r="E30" i="46"/>
  <c r="I36" i="33"/>
  <c r="E32" i="33" s="1"/>
  <c r="B98" i="35"/>
  <c r="P23" i="47"/>
  <c r="G53" i="46"/>
  <c r="U57" i="46"/>
  <c r="U98" i="35"/>
  <c r="P27" i="46"/>
  <c r="P31" i="46" s="1"/>
  <c r="U56" i="46"/>
  <c r="D85" i="35"/>
  <c r="E14" i="76" s="1"/>
  <c r="S3" i="76" s="1"/>
  <c r="U23" i="46"/>
  <c r="R32" i="46"/>
  <c r="N23" i="47"/>
  <c r="G16" i="46"/>
  <c r="V12" i="46"/>
  <c r="F38" i="63"/>
  <c r="P16" i="46"/>
  <c r="F22" i="63"/>
  <c r="U24" i="46"/>
  <c r="U7" i="46"/>
  <c r="U32" i="46"/>
  <c r="U25" i="46"/>
  <c r="P11" i="46"/>
  <c r="F385" i="40" l="1"/>
  <c r="F386" i="40" s="1"/>
  <c r="AG40" i="25" s="1"/>
  <c r="H56" i="40"/>
  <c r="I61" i="40" s="1"/>
  <c r="I7" i="40"/>
  <c r="I80" i="40" s="1"/>
  <c r="I217" i="40"/>
  <c r="I228" i="40" s="1"/>
  <c r="F94" i="85" s="1"/>
  <c r="F98" i="85" s="1"/>
  <c r="J6" i="40"/>
  <c r="J56" i="40" s="1"/>
  <c r="J61" i="40" s="1"/>
  <c r="B23" i="85"/>
  <c r="B31" i="85"/>
  <c r="B33" i="85" s="1"/>
  <c r="B35" i="85" s="1"/>
  <c r="H217" i="40"/>
  <c r="H228" i="40" s="1"/>
  <c r="H7" i="40"/>
  <c r="H80" i="40" s="1"/>
  <c r="F349" i="40"/>
  <c r="U14" i="85"/>
  <c r="U15" i="85" s="1"/>
  <c r="U19" i="85" s="1"/>
  <c r="U129" i="85"/>
  <c r="G141" i="85"/>
  <c r="G122" i="85"/>
  <c r="G45" i="85"/>
  <c r="G74" i="85" s="1"/>
  <c r="G106" i="85" s="1"/>
  <c r="G117" i="85" s="1"/>
  <c r="V59" i="85"/>
  <c r="E99" i="85"/>
  <c r="L29" i="39"/>
  <c r="C48" i="85"/>
  <c r="N29" i="67"/>
  <c r="V50" i="85"/>
  <c r="L29" i="67"/>
  <c r="C50" i="85"/>
  <c r="I64" i="40"/>
  <c r="H64" i="40"/>
  <c r="I208" i="40"/>
  <c r="I401" i="40" s="1"/>
  <c r="E84" i="85"/>
  <c r="M9" i="13"/>
  <c r="D11" i="14"/>
  <c r="N15" i="47"/>
  <c r="H129" i="40"/>
  <c r="H128" i="40"/>
  <c r="B8" i="13"/>
  <c r="B8" i="69"/>
  <c r="C32" i="33"/>
  <c r="D10" i="51"/>
  <c r="O23" i="40"/>
  <c r="O20" i="40"/>
  <c r="O17" i="40"/>
  <c r="O14" i="40"/>
  <c r="O10" i="40"/>
  <c r="P9" i="40"/>
  <c r="R16" i="58"/>
  <c r="O163" i="58"/>
  <c r="O164" i="58" s="1"/>
  <c r="O165" i="58" s="1"/>
  <c r="M48" i="72"/>
  <c r="H45" i="74"/>
  <c r="K20" i="48"/>
  <c r="L20" i="48"/>
  <c r="C31" i="33"/>
  <c r="D9" i="51"/>
  <c r="E21" i="48"/>
  <c r="H20" i="48"/>
  <c r="C21" i="48" s="1"/>
  <c r="F21" i="48" s="1"/>
  <c r="G21" i="48" s="1"/>
  <c r="C30" i="33"/>
  <c r="D8" i="51"/>
  <c r="R284" i="40"/>
  <c r="T63" i="58"/>
  <c r="S67" i="58"/>
  <c r="R267" i="40" s="1"/>
  <c r="C29" i="33"/>
  <c r="D7" i="51"/>
  <c r="R34" i="58"/>
  <c r="P31" i="40"/>
  <c r="J111" i="40"/>
  <c r="H82" i="74"/>
  <c r="J384" i="40" s="1"/>
  <c r="J204" i="40" s="1"/>
  <c r="F55" i="35"/>
  <c r="J15" i="47" s="1"/>
  <c r="F54" i="35"/>
  <c r="H383" i="40"/>
  <c r="P40" i="25" s="1"/>
  <c r="O12" i="53"/>
  <c r="P14" i="47"/>
  <c r="P12" i="47"/>
  <c r="G88" i="40"/>
  <c r="G89" i="40" s="1"/>
  <c r="L16" i="10" s="1"/>
  <c r="K308" i="40"/>
  <c r="K309" i="40"/>
  <c r="H271" i="40"/>
  <c r="H190" i="40" s="1"/>
  <c r="H280" i="40"/>
  <c r="H281" i="40"/>
  <c r="H282" i="40"/>
  <c r="H225" i="40" s="1"/>
  <c r="H279" i="40"/>
  <c r="H221" i="40" s="1"/>
  <c r="K310" i="40"/>
  <c r="K307" i="40"/>
  <c r="I362" i="40"/>
  <c r="I359" i="40" s="1"/>
  <c r="H203" i="40"/>
  <c r="H62" i="40"/>
  <c r="I241" i="40"/>
  <c r="D120" i="40"/>
  <c r="C24" i="39" s="1"/>
  <c r="H83" i="60" s="1"/>
  <c r="G58" i="74"/>
  <c r="H268" i="40"/>
  <c r="H187" i="40" s="1"/>
  <c r="H166" i="40"/>
  <c r="D93" i="35"/>
  <c r="G85" i="46" s="1"/>
  <c r="L14" i="67"/>
  <c r="L13" i="39"/>
  <c r="N14" i="67"/>
  <c r="N13" i="39"/>
  <c r="H145" i="40"/>
  <c r="R343" i="40"/>
  <c r="O21" i="35"/>
  <c r="Z28" i="25"/>
  <c r="O47" i="35" s="1"/>
  <c r="T343" i="40"/>
  <c r="AB28" i="25"/>
  <c r="Q47" i="35" s="1"/>
  <c r="Q21" i="35"/>
  <c r="Q343" i="40"/>
  <c r="N21" i="35"/>
  <c r="Y28" i="25"/>
  <c r="N47" i="35" s="1"/>
  <c r="S343" i="40"/>
  <c r="AA28" i="25"/>
  <c r="P47" i="35" s="1"/>
  <c r="P21" i="35"/>
  <c r="X28" i="25"/>
  <c r="M47" i="35" s="1"/>
  <c r="P366" i="40"/>
  <c r="U343" i="40"/>
  <c r="AC28" i="25"/>
  <c r="R47" i="35" s="1"/>
  <c r="R21" i="35"/>
  <c r="V343" i="40"/>
  <c r="S21" i="35"/>
  <c r="AD28" i="25"/>
  <c r="S47" i="35" s="1"/>
  <c r="O343" i="40"/>
  <c r="W28" i="25"/>
  <c r="L47" i="35" s="1"/>
  <c r="M8" i="53" s="1"/>
  <c r="L21" i="35"/>
  <c r="P343" i="40"/>
  <c r="M21" i="35"/>
  <c r="W343" i="40"/>
  <c r="AE28" i="25"/>
  <c r="T47" i="35" s="1"/>
  <c r="T21" i="35"/>
  <c r="G26" i="46"/>
  <c r="F42" i="66"/>
  <c r="AV3" i="76"/>
  <c r="BH3" i="76" s="1"/>
  <c r="C32" i="81"/>
  <c r="I9" i="74"/>
  <c r="I385" i="40"/>
  <c r="I386" i="40" s="1"/>
  <c r="J8" i="74"/>
  <c r="J10" i="74" s="1"/>
  <c r="J22" i="74"/>
  <c r="J21" i="74"/>
  <c r="F70" i="74"/>
  <c r="F75" i="74" s="1"/>
  <c r="J19" i="74"/>
  <c r="K17" i="74"/>
  <c r="L17" i="74" s="1"/>
  <c r="G66" i="74"/>
  <c r="H66" i="74" s="1"/>
  <c r="F60" i="74"/>
  <c r="F59" i="74" s="1"/>
  <c r="F61" i="74" s="1"/>
  <c r="J24" i="74"/>
  <c r="K23" i="74"/>
  <c r="J25" i="74"/>
  <c r="H269" i="40"/>
  <c r="H188" i="40" s="1"/>
  <c r="J11" i="74"/>
  <c r="I13" i="74"/>
  <c r="I12" i="74"/>
  <c r="I6" i="74"/>
  <c r="J5" i="74"/>
  <c r="I7" i="74"/>
  <c r="I27" i="74"/>
  <c r="J26" i="74"/>
  <c r="J100" i="74" s="1"/>
  <c r="I28" i="74"/>
  <c r="K21" i="74"/>
  <c r="K22" i="74"/>
  <c r="L20" i="74"/>
  <c r="D403" i="40"/>
  <c r="N46" i="25" s="1"/>
  <c r="D385" i="40"/>
  <c r="D386" i="40" s="1"/>
  <c r="N40" i="25" s="1"/>
  <c r="L38" i="67"/>
  <c r="V50" i="35"/>
  <c r="P10" i="47" s="1"/>
  <c r="I248" i="40"/>
  <c r="J248" i="40" s="1"/>
  <c r="K248" i="40" s="1"/>
  <c r="L248" i="40" s="1"/>
  <c r="M248" i="40" s="1"/>
  <c r="M395" i="40" s="1"/>
  <c r="M398" i="40" s="1"/>
  <c r="N28" i="39"/>
  <c r="H401" i="40"/>
  <c r="H250" i="40"/>
  <c r="H402" i="40" s="1"/>
  <c r="H326" i="40"/>
  <c r="E84" i="35"/>
  <c r="I15" i="46" s="1"/>
  <c r="G403" i="40"/>
  <c r="P42" i="25"/>
  <c r="H53" i="40"/>
  <c r="E99" i="35"/>
  <c r="I32" i="46" s="1"/>
  <c r="N72" i="25"/>
  <c r="E403" i="40"/>
  <c r="F49" i="66"/>
  <c r="E21" i="76"/>
  <c r="Z3" i="76" s="1"/>
  <c r="D49" i="72"/>
  <c r="O72" i="25"/>
  <c r="M38" i="67"/>
  <c r="E385" i="40"/>
  <c r="E386" i="40" s="1"/>
  <c r="O40" i="25" s="1"/>
  <c r="D108" i="35"/>
  <c r="E22" i="76" s="1"/>
  <c r="AA3" i="76" s="1"/>
  <c r="AO3" i="76" s="1"/>
  <c r="E66" i="76" s="1"/>
  <c r="M25" i="13"/>
  <c r="N37" i="73" s="1"/>
  <c r="L42" i="64"/>
  <c r="L55" i="64"/>
  <c r="L22" i="64"/>
  <c r="L24" i="64"/>
  <c r="L20" i="64"/>
  <c r="L38" i="64"/>
  <c r="L43" i="64"/>
  <c r="L18" i="64"/>
  <c r="L16" i="64"/>
  <c r="L23" i="64"/>
  <c r="L46" i="64"/>
  <c r="Q6" i="33"/>
  <c r="L21" i="64"/>
  <c r="D59" i="46"/>
  <c r="L29" i="64"/>
  <c r="L36" i="64"/>
  <c r="L25" i="64"/>
  <c r="L12" i="65"/>
  <c r="L38" i="65" s="1"/>
  <c r="L34" i="64"/>
  <c r="L47" i="64"/>
  <c r="L35" i="64"/>
  <c r="L45" i="64"/>
  <c r="D45" i="46"/>
  <c r="D49" i="46"/>
  <c r="L26" i="63"/>
  <c r="L39" i="64"/>
  <c r="L17" i="64"/>
  <c r="L31" i="64"/>
  <c r="L19" i="64"/>
  <c r="L30" i="64"/>
  <c r="L38" i="63"/>
  <c r="L46" i="63" s="1"/>
  <c r="L40" i="64"/>
  <c r="L41" i="64"/>
  <c r="L54" i="64"/>
  <c r="L27" i="64"/>
  <c r="L33" i="64"/>
  <c r="L32" i="64"/>
  <c r="J54" i="64"/>
  <c r="J39" i="64"/>
  <c r="J20" i="64"/>
  <c r="L22" i="63"/>
  <c r="L33" i="63" s="1"/>
  <c r="S56" i="46"/>
  <c r="Q56" i="46"/>
  <c r="H26" i="63"/>
  <c r="H22" i="63"/>
  <c r="E17" i="52"/>
  <c r="J25" i="64"/>
  <c r="S59" i="46"/>
  <c r="S45" i="46"/>
  <c r="J17" i="64"/>
  <c r="J42" i="64"/>
  <c r="U103" i="35"/>
  <c r="P36" i="46" s="1"/>
  <c r="S52" i="46"/>
  <c r="J31" i="64"/>
  <c r="S42" i="46"/>
  <c r="S46" i="46"/>
  <c r="J40" i="64"/>
  <c r="J45" i="64"/>
  <c r="S54" i="46"/>
  <c r="J12" i="65"/>
  <c r="J31" i="65" s="1"/>
  <c r="S47" i="46"/>
  <c r="S53" i="46"/>
  <c r="J29" i="64"/>
  <c r="J22" i="64"/>
  <c r="J46" i="64"/>
  <c r="J21" i="64"/>
  <c r="J34" i="64"/>
  <c r="H46" i="46"/>
  <c r="J18" i="64"/>
  <c r="J36" i="64"/>
  <c r="S49" i="46"/>
  <c r="J16" i="64"/>
  <c r="S51" i="46"/>
  <c r="S63" i="46"/>
  <c r="J27" i="64"/>
  <c r="J47" i="64"/>
  <c r="J30" i="64"/>
  <c r="S57" i="46"/>
  <c r="J19" i="64"/>
  <c r="J35" i="64"/>
  <c r="J24" i="64"/>
  <c r="R12" i="33"/>
  <c r="S12" i="33"/>
  <c r="H38" i="63"/>
  <c r="H46" i="63" s="1"/>
  <c r="V6" i="46"/>
  <c r="J22" i="63"/>
  <c r="J26" i="63"/>
  <c r="D52" i="46"/>
  <c r="J38" i="63"/>
  <c r="J46" i="63" s="1"/>
  <c r="F28" i="64"/>
  <c r="D61" i="46"/>
  <c r="D63" i="46"/>
  <c r="H54" i="64"/>
  <c r="H46" i="64"/>
  <c r="H23" i="64"/>
  <c r="H47" i="64"/>
  <c r="H24" i="64"/>
  <c r="H42" i="64"/>
  <c r="H45" i="64"/>
  <c r="H12" i="65"/>
  <c r="H55" i="64"/>
  <c r="H29" i="64"/>
  <c r="H40" i="64"/>
  <c r="H39" i="64"/>
  <c r="H26" i="64"/>
  <c r="H36" i="64"/>
  <c r="H41" i="64"/>
  <c r="H43" i="64"/>
  <c r="H38" i="64"/>
  <c r="H35" i="64"/>
  <c r="H27" i="64"/>
  <c r="H17" i="64"/>
  <c r="H19" i="64"/>
  <c r="H22" i="64"/>
  <c r="H16" i="64"/>
  <c r="H21" i="64"/>
  <c r="H33" i="64"/>
  <c r="H34" i="64"/>
  <c r="H32" i="64"/>
  <c r="H20" i="64"/>
  <c r="H18" i="64"/>
  <c r="H31" i="64"/>
  <c r="H25" i="64"/>
  <c r="H30" i="64"/>
  <c r="D46" i="46"/>
  <c r="E51" i="56"/>
  <c r="AQ3" i="76"/>
  <c r="BA3" i="76" s="1"/>
  <c r="BM3" i="76" s="1"/>
  <c r="D57" i="46"/>
  <c r="N7" i="47"/>
  <c r="D56" i="46"/>
  <c r="D47" i="46"/>
  <c r="U86" i="35"/>
  <c r="N19" i="52" s="1"/>
  <c r="E8" i="53"/>
  <c r="B60" i="35"/>
  <c r="C10" i="53"/>
  <c r="B11" i="47"/>
  <c r="M25" i="69"/>
  <c r="F37" i="64"/>
  <c r="F49" i="64" s="1"/>
  <c r="C93" i="46"/>
  <c r="J12" i="33"/>
  <c r="F8" i="33" s="1"/>
  <c r="F59" i="70"/>
  <c r="J41" i="64"/>
  <c r="J55" i="64"/>
  <c r="J26" i="64"/>
  <c r="J43" i="64"/>
  <c r="G78" i="46"/>
  <c r="J33" i="64"/>
  <c r="J32" i="64"/>
  <c r="J23" i="64"/>
  <c r="F59" i="56"/>
  <c r="Q46" i="46"/>
  <c r="M14" i="67"/>
  <c r="G27" i="62"/>
  <c r="G36" i="62"/>
  <c r="G31" i="62"/>
  <c r="U59" i="46"/>
  <c r="H345" i="40"/>
  <c r="H350" i="40" s="1"/>
  <c r="P39" i="25"/>
  <c r="G44" i="62"/>
  <c r="G25" i="62"/>
  <c r="G45" i="62"/>
  <c r="G17" i="62"/>
  <c r="G30" i="62"/>
  <c r="G43" i="62"/>
  <c r="H20" i="13"/>
  <c r="J32" i="73" s="1"/>
  <c r="G38" i="62"/>
  <c r="G15" i="62"/>
  <c r="H16" i="49"/>
  <c r="H17" i="49" s="1"/>
  <c r="H16" i="13"/>
  <c r="H16" i="69" s="1"/>
  <c r="G20" i="62"/>
  <c r="M20" i="69"/>
  <c r="D349" i="40"/>
  <c r="L34" i="39"/>
  <c r="N69" i="25"/>
  <c r="D353" i="40"/>
  <c r="N39" i="25" s="1"/>
  <c r="H22" i="13"/>
  <c r="H22" i="69" s="1"/>
  <c r="C16" i="39"/>
  <c r="C24" i="67"/>
  <c r="L233" i="40"/>
  <c r="L389" i="40" s="1"/>
  <c r="L392" i="40" s="1"/>
  <c r="H97" i="35"/>
  <c r="K389" i="40"/>
  <c r="K392" i="40" s="1"/>
  <c r="G37" i="62"/>
  <c r="G34" i="62"/>
  <c r="G23" i="62"/>
  <c r="G22" i="62"/>
  <c r="J27" i="73"/>
  <c r="G18" i="62"/>
  <c r="G33" i="62"/>
  <c r="C23" i="39"/>
  <c r="H84" i="60" s="1"/>
  <c r="V54" i="46"/>
  <c r="G35" i="74"/>
  <c r="G40" i="74" s="1"/>
  <c r="G57" i="74" s="1"/>
  <c r="G63" i="74" s="1"/>
  <c r="G69" i="74" s="1"/>
  <c r="G74" i="74" s="1"/>
  <c r="G79" i="74" s="1"/>
  <c r="G85" i="74" s="1"/>
  <c r="G91" i="74" s="1"/>
  <c r="G98" i="74"/>
  <c r="G3" i="74"/>
  <c r="J101" i="58"/>
  <c r="J55" i="58"/>
  <c r="J82" i="58"/>
  <c r="Q45" i="46"/>
  <c r="Q63" i="46"/>
  <c r="I34" i="69"/>
  <c r="K34" i="69"/>
  <c r="Q54" i="46"/>
  <c r="V59" i="46"/>
  <c r="K6" i="58"/>
  <c r="K1" i="40"/>
  <c r="H12" i="85" s="1"/>
  <c r="G12" i="35"/>
  <c r="H6" i="52"/>
  <c r="H5" i="53" s="1"/>
  <c r="R26" i="25"/>
  <c r="H30" i="74"/>
  <c r="F141" i="35"/>
  <c r="O56" i="56"/>
  <c r="H56" i="56"/>
  <c r="F45" i="35"/>
  <c r="F74" i="35" s="1"/>
  <c r="F106" i="35" s="1"/>
  <c r="F117" i="35" s="1"/>
  <c r="O56" i="70"/>
  <c r="J5" i="47"/>
  <c r="H49" i="70"/>
  <c r="O49" i="70" s="1"/>
  <c r="F122" i="35"/>
  <c r="H56" i="70"/>
  <c r="K5" i="46"/>
  <c r="K41" i="46" s="1"/>
  <c r="K77" i="46" s="1"/>
  <c r="K89" i="46" s="1"/>
  <c r="Q52" i="46"/>
  <c r="F33" i="63"/>
  <c r="O32" i="25"/>
  <c r="D59" i="70"/>
  <c r="B108" i="35"/>
  <c r="C78" i="46"/>
  <c r="V21" i="46"/>
  <c r="C103" i="35"/>
  <c r="E36" i="46" s="1"/>
  <c r="C17" i="52"/>
  <c r="H12" i="33"/>
  <c r="AA12" i="33" s="1"/>
  <c r="D59" i="56"/>
  <c r="M22" i="69"/>
  <c r="G28" i="62"/>
  <c r="G39" i="62"/>
  <c r="G41" i="62"/>
  <c r="G47" i="62"/>
  <c r="G35" i="62"/>
  <c r="G19" i="62"/>
  <c r="C35" i="39"/>
  <c r="C43" i="39" s="1"/>
  <c r="G40" i="62"/>
  <c r="G26" i="62"/>
  <c r="G29" i="62"/>
  <c r="G21" i="62"/>
  <c r="G16" i="62"/>
  <c r="G42" i="62"/>
  <c r="G24" i="62"/>
  <c r="M12" i="67"/>
  <c r="M13" i="67" s="1"/>
  <c r="E32" i="9"/>
  <c r="C36" i="67"/>
  <c r="C43" i="67" s="1"/>
  <c r="E48" i="66"/>
  <c r="C48" i="67"/>
  <c r="E25" i="9"/>
  <c r="E47" i="9"/>
  <c r="E26" i="66"/>
  <c r="G11" i="46"/>
  <c r="G17" i="46" s="1"/>
  <c r="H16" i="46" s="1"/>
  <c r="C17" i="67"/>
  <c r="D143" i="40"/>
  <c r="D163" i="40" s="1"/>
  <c r="H86" i="60" s="1"/>
  <c r="H22" i="49"/>
  <c r="H174" i="40"/>
  <c r="H270" i="40"/>
  <c r="H278" i="40"/>
  <c r="P43" i="25" s="1"/>
  <c r="E57" i="35" s="1"/>
  <c r="H17" i="47" s="1"/>
  <c r="H94" i="40"/>
  <c r="F51" i="56"/>
  <c r="H283" i="40"/>
  <c r="H226" i="40" s="1"/>
  <c r="H272" i="40"/>
  <c r="H191" i="40" s="1"/>
  <c r="F411" i="40"/>
  <c r="AG33" i="25" s="1"/>
  <c r="O69" i="25"/>
  <c r="M34" i="39"/>
  <c r="G83" i="74"/>
  <c r="H81" i="74"/>
  <c r="J370" i="40" s="1"/>
  <c r="H41" i="74"/>
  <c r="H42" i="74" s="1"/>
  <c r="H36" i="74"/>
  <c r="H37" i="74" s="1"/>
  <c r="I31" i="74"/>
  <c r="H80" i="74"/>
  <c r="J348" i="40" s="1"/>
  <c r="H32" i="74"/>
  <c r="H33" i="74" s="1"/>
  <c r="J81" i="40" s="1"/>
  <c r="L212" i="58"/>
  <c r="H273" i="40"/>
  <c r="E13" i="35"/>
  <c r="H274" i="40"/>
  <c r="H277" i="40"/>
  <c r="H262" i="40"/>
  <c r="H89" i="40"/>
  <c r="H275" i="40"/>
  <c r="H149" i="40" s="1"/>
  <c r="E17" i="35"/>
  <c r="I46" i="46" s="1"/>
  <c r="H263" i="40"/>
  <c r="H178" i="40" s="1"/>
  <c r="G38" i="74"/>
  <c r="I90" i="40" s="1"/>
  <c r="G64" i="74"/>
  <c r="H54" i="46"/>
  <c r="E353" i="40"/>
  <c r="O39" i="25" s="1"/>
  <c r="D52" i="85" s="1"/>
  <c r="E350" i="40"/>
  <c r="G43" i="74"/>
  <c r="I95" i="40" s="1"/>
  <c r="H376" i="40"/>
  <c r="H373" i="40" s="1"/>
  <c r="H372" i="40"/>
  <c r="G33" i="74"/>
  <c r="I81" i="40" s="1"/>
  <c r="I78" i="40" s="1"/>
  <c r="E44" i="67"/>
  <c r="C31" i="46"/>
  <c r="M148" i="58"/>
  <c r="M149" i="58"/>
  <c r="D42" i="39"/>
  <c r="I106" i="60" s="1"/>
  <c r="I95" i="60"/>
  <c r="H96" i="60"/>
  <c r="K95" i="60"/>
  <c r="K96" i="60"/>
  <c r="V59" i="35"/>
  <c r="P19" i="47" s="1"/>
  <c r="K27" i="73"/>
  <c r="I20" i="62"/>
  <c r="I21" i="62"/>
  <c r="I31" i="62"/>
  <c r="I18" i="62"/>
  <c r="I23" i="62"/>
  <c r="I45" i="62"/>
  <c r="I43" i="62"/>
  <c r="I35" i="62"/>
  <c r="I36" i="62"/>
  <c r="I34" i="62"/>
  <c r="I47" i="62"/>
  <c r="I19" i="62"/>
  <c r="B48" i="67"/>
  <c r="I38" i="62"/>
  <c r="D48" i="66"/>
  <c r="F25" i="9"/>
  <c r="V86" i="35"/>
  <c r="O19" i="52" s="1"/>
  <c r="J26" i="73"/>
  <c r="H14" i="69"/>
  <c r="D25" i="9"/>
  <c r="D47" i="9"/>
  <c r="B35" i="39"/>
  <c r="B42" i="39" s="1"/>
  <c r="G106" i="60" s="1"/>
  <c r="I24" i="62"/>
  <c r="L12" i="67"/>
  <c r="L13" i="67" s="1"/>
  <c r="E43" i="67"/>
  <c r="D26" i="66"/>
  <c r="L11" i="39"/>
  <c r="L12" i="39" s="1"/>
  <c r="B36" i="67"/>
  <c r="B43" i="67" s="1"/>
  <c r="F26" i="66"/>
  <c r="I22" i="62"/>
  <c r="I41" i="62"/>
  <c r="I27" i="62"/>
  <c r="I39" i="62"/>
  <c r="I26" i="62"/>
  <c r="I32" i="62"/>
  <c r="I37" i="62"/>
  <c r="I29" i="62"/>
  <c r="I42" i="62"/>
  <c r="F47" i="9"/>
  <c r="L22" i="49" s="1"/>
  <c r="I16" i="62"/>
  <c r="I25" i="62"/>
  <c r="I17" i="62"/>
  <c r="I15" i="62"/>
  <c r="I40" i="62"/>
  <c r="F48" i="66"/>
  <c r="N11" i="39"/>
  <c r="N12" i="39" s="1"/>
  <c r="D43" i="39"/>
  <c r="M23" i="69" s="1"/>
  <c r="N12" i="67"/>
  <c r="N13" i="67" s="1"/>
  <c r="I15" i="69"/>
  <c r="I30" i="62"/>
  <c r="I28" i="62"/>
  <c r="I44" i="62"/>
  <c r="D36" i="67"/>
  <c r="D47" i="39"/>
  <c r="D48" i="67"/>
  <c r="C50" i="25"/>
  <c r="C55" i="25" s="1"/>
  <c r="C56" i="25" s="1"/>
  <c r="I16" i="49"/>
  <c r="I17" i="49" s="1"/>
  <c r="L14" i="49" s="1"/>
  <c r="I16" i="13"/>
  <c r="K28" i="73" s="1"/>
  <c r="I20" i="49"/>
  <c r="I20" i="13"/>
  <c r="K32" i="73" s="1"/>
  <c r="D86" i="35"/>
  <c r="E19" i="52" s="1"/>
  <c r="J33" i="33"/>
  <c r="F33" i="33" s="1"/>
  <c r="E349" i="40"/>
  <c r="R84" i="46"/>
  <c r="C123" i="35"/>
  <c r="I37" i="33" s="1"/>
  <c r="M26" i="62"/>
  <c r="M20" i="62"/>
  <c r="M27" i="62"/>
  <c r="M21" i="62"/>
  <c r="M31" i="62"/>
  <c r="M43" i="62"/>
  <c r="M38" i="62"/>
  <c r="M34" i="62"/>
  <c r="M35" i="62"/>
  <c r="M24" i="62"/>
  <c r="M36" i="62"/>
  <c r="M18" i="62"/>
  <c r="M23" i="62"/>
  <c r="M44" i="62"/>
  <c r="M29" i="62"/>
  <c r="M17" i="62"/>
  <c r="M28" i="62"/>
  <c r="M41" i="62"/>
  <c r="M33" i="62"/>
  <c r="M16" i="62"/>
  <c r="M40" i="62"/>
  <c r="M39" i="62"/>
  <c r="M45" i="62"/>
  <c r="M30" i="62"/>
  <c r="M15" i="62"/>
  <c r="M42" i="62"/>
  <c r="M47" i="62"/>
  <c r="M19" i="62"/>
  <c r="M37" i="62"/>
  <c r="M22" i="62"/>
  <c r="M25" i="62"/>
  <c r="M32" i="62"/>
  <c r="P12" i="67"/>
  <c r="P13" i="67" s="1"/>
  <c r="H32" i="9"/>
  <c r="P11" i="39"/>
  <c r="P12" i="39" s="1"/>
  <c r="U123" i="35"/>
  <c r="U124" i="35" s="1"/>
  <c r="D33" i="63"/>
  <c r="D48" i="63" s="1"/>
  <c r="H48" i="66"/>
  <c r="F47" i="39"/>
  <c r="H25" i="9"/>
  <c r="F36" i="67"/>
  <c r="H47" i="9"/>
  <c r="H26" i="66"/>
  <c r="F35" i="39"/>
  <c r="F48" i="67"/>
  <c r="L38" i="10"/>
  <c r="M38" i="10" s="1"/>
  <c r="G140" i="40"/>
  <c r="V28" i="35"/>
  <c r="R55" i="46" s="1"/>
  <c r="S55" i="46" s="1"/>
  <c r="H35" i="9"/>
  <c r="H36" i="66"/>
  <c r="H37" i="66" s="1"/>
  <c r="J16" i="10"/>
  <c r="F92" i="40"/>
  <c r="F113" i="40" s="1"/>
  <c r="G36" i="66"/>
  <c r="G37" i="66" s="1"/>
  <c r="U129" i="35"/>
  <c r="U14" i="35"/>
  <c r="G35" i="9"/>
  <c r="E43" i="39"/>
  <c r="E42" i="39"/>
  <c r="J106" i="60" s="1"/>
  <c r="K29" i="62"/>
  <c r="K36" i="62"/>
  <c r="K30" i="62"/>
  <c r="K43" i="62"/>
  <c r="K39" i="62"/>
  <c r="K17" i="62"/>
  <c r="K19" i="62"/>
  <c r="K37" i="62"/>
  <c r="K45" i="62"/>
  <c r="K15" i="62"/>
  <c r="K35" i="62"/>
  <c r="K44" i="62"/>
  <c r="K20" i="62"/>
  <c r="K27" i="62"/>
  <c r="K21" i="62"/>
  <c r="K16" i="62"/>
  <c r="K24" i="62"/>
  <c r="K26" i="62"/>
  <c r="K23" i="62"/>
  <c r="K47" i="62"/>
  <c r="K33" i="62"/>
  <c r="K41" i="62"/>
  <c r="K31" i="62"/>
  <c r="K28" i="62"/>
  <c r="K40" i="62"/>
  <c r="K38" i="62"/>
  <c r="K34" i="62"/>
  <c r="K22" i="62"/>
  <c r="K42" i="62"/>
  <c r="K18" i="62"/>
  <c r="K25" i="62"/>
  <c r="P14" i="67"/>
  <c r="P13" i="39"/>
  <c r="U28" i="35"/>
  <c r="P55" i="46" s="1"/>
  <c r="Q55" i="46" s="1"/>
  <c r="J38" i="10"/>
  <c r="K38" i="10" s="1"/>
  <c r="F140" i="40"/>
  <c r="K103" i="40"/>
  <c r="L361" i="40"/>
  <c r="M363" i="40" s="1"/>
  <c r="D33" i="65"/>
  <c r="F38" i="65"/>
  <c r="G38" i="65" s="1"/>
  <c r="D26" i="65"/>
  <c r="D25" i="65"/>
  <c r="D34" i="65"/>
  <c r="D28" i="65"/>
  <c r="D31" i="65"/>
  <c r="D38" i="65"/>
  <c r="F22" i="65"/>
  <c r="G22" i="65" s="1"/>
  <c r="F37" i="65"/>
  <c r="G37" i="65" s="1"/>
  <c r="F25" i="65"/>
  <c r="G25" i="65" s="1"/>
  <c r="F20" i="65"/>
  <c r="G20" i="65" s="1"/>
  <c r="D43" i="65"/>
  <c r="F26" i="65"/>
  <c r="G26" i="65" s="1"/>
  <c r="F41" i="65"/>
  <c r="G41" i="65" s="1"/>
  <c r="D44" i="65"/>
  <c r="F34" i="65"/>
  <c r="G34" i="65" s="1"/>
  <c r="F28" i="65"/>
  <c r="D37" i="65"/>
  <c r="D19" i="65"/>
  <c r="F35" i="65"/>
  <c r="G35" i="65" s="1"/>
  <c r="F31" i="65"/>
  <c r="G31" i="65" s="1"/>
  <c r="F17" i="65"/>
  <c r="D20" i="65"/>
  <c r="D35" i="65"/>
  <c r="F33" i="65"/>
  <c r="G33" i="65" s="1"/>
  <c r="F39" i="65"/>
  <c r="G39" i="65" s="1"/>
  <c r="F44" i="65"/>
  <c r="G44" i="65" s="1"/>
  <c r="D16" i="65"/>
  <c r="D41" i="65"/>
  <c r="F43" i="65"/>
  <c r="G43" i="65" s="1"/>
  <c r="D21" i="65"/>
  <c r="F29" i="65"/>
  <c r="G29" i="65" s="1"/>
  <c r="D29" i="65"/>
  <c r="F21" i="65"/>
  <c r="G21" i="65" s="1"/>
  <c r="F19" i="65"/>
  <c r="D22" i="65"/>
  <c r="D28" i="64"/>
  <c r="D37" i="64"/>
  <c r="L30" i="67"/>
  <c r="C48" i="35"/>
  <c r="C73" i="35" s="1"/>
  <c r="D42" i="47" s="1"/>
  <c r="N64" i="25"/>
  <c r="L28" i="39"/>
  <c r="N63" i="25"/>
  <c r="C50" i="35"/>
  <c r="D10" i="47" s="1"/>
  <c r="D49" i="66"/>
  <c r="B103" i="35"/>
  <c r="C36" i="46" s="1"/>
  <c r="E85" i="46"/>
  <c r="H25" i="69"/>
  <c r="J37" i="73"/>
  <c r="E84" i="46"/>
  <c r="C86" i="35"/>
  <c r="I11" i="33" s="1"/>
  <c r="M21" i="69"/>
  <c r="M21" i="13"/>
  <c r="N33" i="73" s="1"/>
  <c r="D47" i="62"/>
  <c r="E32" i="62" s="1"/>
  <c r="D7" i="47"/>
  <c r="D8" i="53"/>
  <c r="G22" i="10"/>
  <c r="F23" i="10"/>
  <c r="K30" i="58"/>
  <c r="L109" i="58"/>
  <c r="I179" i="40"/>
  <c r="Q30" i="25"/>
  <c r="F18" i="35"/>
  <c r="K47" i="46" s="1"/>
  <c r="C46" i="35"/>
  <c r="L23" i="39"/>
  <c r="N59" i="25"/>
  <c r="N29" i="25"/>
  <c r="L24" i="67"/>
  <c r="N34" i="25"/>
  <c r="J110" i="40"/>
  <c r="D51" i="46"/>
  <c r="U51" i="46"/>
  <c r="H33" i="33"/>
  <c r="C84" i="46"/>
  <c r="B86" i="35"/>
  <c r="F49" i="46"/>
  <c r="S6" i="33"/>
  <c r="AC6" i="33"/>
  <c r="F6" i="33"/>
  <c r="F46" i="46"/>
  <c r="P78" i="46"/>
  <c r="N17" i="52"/>
  <c r="U108" i="35"/>
  <c r="F47" i="46"/>
  <c r="E33" i="33"/>
  <c r="C85" i="46"/>
  <c r="V32" i="46"/>
  <c r="B123" i="35"/>
  <c r="H37" i="33" s="1"/>
  <c r="F57" i="46"/>
  <c r="Q57" i="46"/>
  <c r="Q42" i="46"/>
  <c r="Q47" i="46"/>
  <c r="Q59" i="46"/>
  <c r="Q51" i="46"/>
  <c r="U21" i="46"/>
  <c r="E26" i="46"/>
  <c r="U26" i="46" s="1"/>
  <c r="E44" i="46"/>
  <c r="C19" i="35"/>
  <c r="H57" i="46"/>
  <c r="F59" i="46"/>
  <c r="U30" i="46"/>
  <c r="D54" i="46"/>
  <c r="U54" i="46"/>
  <c r="AA13" i="33"/>
  <c r="Q12" i="33"/>
  <c r="F45" i="46"/>
  <c r="F32" i="33"/>
  <c r="D53" i="46"/>
  <c r="U53" i="46"/>
  <c r="V53" i="46"/>
  <c r="H53" i="46"/>
  <c r="O17" i="52"/>
  <c r="V108" i="35"/>
  <c r="R78" i="46"/>
  <c r="V30" i="46"/>
  <c r="R6" i="33"/>
  <c r="AB6" i="33"/>
  <c r="V42" i="46"/>
  <c r="H59" i="46"/>
  <c r="H42" i="46"/>
  <c r="H45" i="46"/>
  <c r="H61" i="46"/>
  <c r="H51" i="46"/>
  <c r="H52" i="46"/>
  <c r="H56" i="46"/>
  <c r="H63" i="46"/>
  <c r="V123" i="35"/>
  <c r="V124" i="35" s="1"/>
  <c r="E6" i="33"/>
  <c r="U12" i="46"/>
  <c r="C16" i="46"/>
  <c r="F55" i="46"/>
  <c r="Q53" i="46"/>
  <c r="L25" i="13"/>
  <c r="M37" i="73" s="1"/>
  <c r="D17" i="52"/>
  <c r="E59" i="56"/>
  <c r="C108" i="35"/>
  <c r="E59" i="70"/>
  <c r="L25" i="69"/>
  <c r="E78" i="46"/>
  <c r="I12" i="33"/>
  <c r="Q61" i="46"/>
  <c r="F61" i="46"/>
  <c r="V61" i="46"/>
  <c r="U61" i="46"/>
  <c r="V103" i="35"/>
  <c r="F42" i="46"/>
  <c r="U42" i="46"/>
  <c r="F51" i="46"/>
  <c r="F53" i="46"/>
  <c r="F52" i="46"/>
  <c r="F54" i="46"/>
  <c r="F63" i="46"/>
  <c r="E31" i="46"/>
  <c r="V27" i="46"/>
  <c r="U13" i="46"/>
  <c r="E16" i="46"/>
  <c r="V29" i="46"/>
  <c r="G31" i="46"/>
  <c r="U27" i="46"/>
  <c r="U6" i="46"/>
  <c r="C11" i="46"/>
  <c r="U11" i="46" s="1"/>
  <c r="G49" i="66"/>
  <c r="E42" i="66"/>
  <c r="E49" i="66"/>
  <c r="H47" i="46"/>
  <c r="F51" i="70"/>
  <c r="F56" i="46"/>
  <c r="P17" i="46"/>
  <c r="Q11" i="46" s="1"/>
  <c r="F46" i="63"/>
  <c r="R17" i="46"/>
  <c r="S11" i="46" s="1"/>
  <c r="I53" i="40"/>
  <c r="J49" i="40"/>
  <c r="O194" i="40"/>
  <c r="K209" i="40"/>
  <c r="J38" i="40"/>
  <c r="M242" i="40"/>
  <c r="K235" i="40"/>
  <c r="K64" i="40" s="1"/>
  <c r="K246" i="40"/>
  <c r="K6" i="40" l="1"/>
  <c r="K7" i="40" s="1"/>
  <c r="K80" i="40" s="1"/>
  <c r="H61" i="40"/>
  <c r="J217" i="40"/>
  <c r="J7" i="40"/>
  <c r="J80" i="40" s="1"/>
  <c r="H63" i="40"/>
  <c r="B38" i="85"/>
  <c r="B40" i="85"/>
  <c r="B36" i="85"/>
  <c r="B119" i="85"/>
  <c r="I63" i="40"/>
  <c r="E37" i="35"/>
  <c r="I63" i="46" s="1"/>
  <c r="E37" i="85"/>
  <c r="P44" i="25"/>
  <c r="E79" i="85"/>
  <c r="G92" i="40"/>
  <c r="G113" i="40" s="1"/>
  <c r="V14" i="85"/>
  <c r="V15" i="85" s="1"/>
  <c r="V19" i="85" s="1"/>
  <c r="V129" i="85"/>
  <c r="H141" i="85"/>
  <c r="H122" i="85"/>
  <c r="H45" i="85"/>
  <c r="H74" i="85" s="1"/>
  <c r="H106" i="85" s="1"/>
  <c r="H117" i="85" s="1"/>
  <c r="U20" i="85"/>
  <c r="U22" i="85"/>
  <c r="F84" i="35"/>
  <c r="K15" i="46" s="1"/>
  <c r="I250" i="40"/>
  <c r="I402" i="40" s="1"/>
  <c r="I403" i="40" s="1"/>
  <c r="L36" i="67"/>
  <c r="C52" i="85"/>
  <c r="D54" i="35"/>
  <c r="F14" i="47" s="1"/>
  <c r="D54" i="85"/>
  <c r="D55" i="85"/>
  <c r="M28" i="39"/>
  <c r="D50" i="85"/>
  <c r="E65" i="35"/>
  <c r="H26" i="47" s="1"/>
  <c r="E65" i="85"/>
  <c r="F99" i="35"/>
  <c r="K32" i="46" s="1"/>
  <c r="F99" i="85"/>
  <c r="C54" i="35"/>
  <c r="D14" i="47" s="1"/>
  <c r="C54" i="85"/>
  <c r="C55" i="85"/>
  <c r="H236" i="40"/>
  <c r="E94" i="85"/>
  <c r="E98" i="85" s="1"/>
  <c r="E55" i="85"/>
  <c r="E54" i="85"/>
  <c r="J208" i="40"/>
  <c r="F84" i="85"/>
  <c r="C73" i="85"/>
  <c r="C51" i="85"/>
  <c r="L42" i="39"/>
  <c r="C66" i="85"/>
  <c r="K21" i="48"/>
  <c r="L21" i="48"/>
  <c r="E22" i="48"/>
  <c r="H21" i="48"/>
  <c r="C22" i="48" s="1"/>
  <c r="F22" i="48" s="1"/>
  <c r="G22" i="48" s="1"/>
  <c r="Q9" i="40"/>
  <c r="S16" i="58"/>
  <c r="P23" i="40"/>
  <c r="P20" i="40"/>
  <c r="P17" i="40"/>
  <c r="P14" i="40"/>
  <c r="P10" i="40"/>
  <c r="U63" i="58"/>
  <c r="T67" i="58"/>
  <c r="S267" i="40" s="1"/>
  <c r="S284" i="40"/>
  <c r="N48" i="72"/>
  <c r="I45" i="74"/>
  <c r="S34" i="58"/>
  <c r="Q31" i="40"/>
  <c r="G83" i="35"/>
  <c r="M14" i="46" s="1"/>
  <c r="J380" i="40"/>
  <c r="J381" i="40" s="1"/>
  <c r="K111" i="40"/>
  <c r="I82" i="74"/>
  <c r="K384" i="40" s="1"/>
  <c r="K204" i="40" s="1"/>
  <c r="J14" i="47"/>
  <c r="G12" i="53"/>
  <c r="E17" i="66"/>
  <c r="V14" i="35"/>
  <c r="V15" i="35" s="1"/>
  <c r="L17" i="65"/>
  <c r="C25" i="67"/>
  <c r="V129" i="35"/>
  <c r="E54" i="35"/>
  <c r="E55" i="35"/>
  <c r="H15" i="47" s="1"/>
  <c r="H385" i="40"/>
  <c r="H386" i="40" s="1"/>
  <c r="N14" i="47"/>
  <c r="N12" i="53"/>
  <c r="H224" i="40"/>
  <c r="P45" i="25" s="1"/>
  <c r="H127" i="40"/>
  <c r="L307" i="40"/>
  <c r="L310" i="40"/>
  <c r="L309" i="40"/>
  <c r="H85" i="40"/>
  <c r="H97" i="40" s="1"/>
  <c r="H116" i="40" s="1"/>
  <c r="L308" i="40"/>
  <c r="E94" i="35"/>
  <c r="P49" i="25"/>
  <c r="Q42" i="25"/>
  <c r="J244" i="40"/>
  <c r="J241" i="40"/>
  <c r="I326" i="40"/>
  <c r="E16" i="9"/>
  <c r="D123" i="35"/>
  <c r="D124" i="35" s="1"/>
  <c r="G84" i="46"/>
  <c r="H58" i="74"/>
  <c r="D103" i="35"/>
  <c r="G36" i="46" s="1"/>
  <c r="V36" i="46" s="1"/>
  <c r="G70" i="74"/>
  <c r="H70" i="74" s="1"/>
  <c r="H75" i="74" s="1"/>
  <c r="J177" i="40" s="1"/>
  <c r="H177" i="40"/>
  <c r="H180" i="40" s="1"/>
  <c r="H189" i="40"/>
  <c r="J28" i="73"/>
  <c r="J9" i="74"/>
  <c r="K8" i="74"/>
  <c r="K10" i="74" s="1"/>
  <c r="G60" i="74"/>
  <c r="F65" i="74"/>
  <c r="F67" i="74" s="1"/>
  <c r="H86" i="40" s="1"/>
  <c r="G65" i="74"/>
  <c r="G67" i="74" s="1"/>
  <c r="K18" i="74"/>
  <c r="K19" i="74"/>
  <c r="K26" i="74"/>
  <c r="K100" i="74" s="1"/>
  <c r="J28" i="74"/>
  <c r="J27" i="74"/>
  <c r="J6" i="74"/>
  <c r="K5" i="74"/>
  <c r="J7" i="74"/>
  <c r="E79" i="35"/>
  <c r="I10" i="46" s="1"/>
  <c r="L22" i="74"/>
  <c r="L21" i="74"/>
  <c r="K11" i="74"/>
  <c r="J13" i="74"/>
  <c r="J12" i="74"/>
  <c r="K25" i="74"/>
  <c r="K24" i="74"/>
  <c r="L23" i="74"/>
  <c r="L18" i="74"/>
  <c r="L19" i="74"/>
  <c r="L36" i="39"/>
  <c r="C55" i="35"/>
  <c r="C66" i="35"/>
  <c r="D27" i="47" s="1"/>
  <c r="L43" i="67"/>
  <c r="N77" i="25"/>
  <c r="H403" i="40"/>
  <c r="P46" i="25" s="1"/>
  <c r="N71" i="25"/>
  <c r="L37" i="67"/>
  <c r="I395" i="40"/>
  <c r="I398" i="40" s="1"/>
  <c r="K395" i="40"/>
  <c r="K398" i="40" s="1"/>
  <c r="J395" i="40"/>
  <c r="J398" i="40" s="1"/>
  <c r="L395" i="40"/>
  <c r="L398" i="40" s="1"/>
  <c r="G79" i="46"/>
  <c r="F58" i="70"/>
  <c r="F58" i="56"/>
  <c r="L35" i="65"/>
  <c r="J33" i="65"/>
  <c r="J28" i="65"/>
  <c r="J43" i="65"/>
  <c r="L28" i="65"/>
  <c r="L16" i="65"/>
  <c r="M16" i="65" s="1"/>
  <c r="L29" i="65"/>
  <c r="L33" i="65"/>
  <c r="L41" i="65"/>
  <c r="L22" i="65"/>
  <c r="L20" i="65"/>
  <c r="L37" i="64"/>
  <c r="L19" i="65"/>
  <c r="L34" i="65"/>
  <c r="M34" i="65" s="1"/>
  <c r="E22" i="65"/>
  <c r="L25" i="65"/>
  <c r="L28" i="64"/>
  <c r="L43" i="65"/>
  <c r="L21" i="65"/>
  <c r="L31" i="65"/>
  <c r="L26" i="65"/>
  <c r="H33" i="63"/>
  <c r="H48" i="63" s="1"/>
  <c r="I35" i="63" s="1"/>
  <c r="J16" i="65"/>
  <c r="L37" i="65"/>
  <c r="L39" i="65"/>
  <c r="J21" i="65"/>
  <c r="J38" i="65"/>
  <c r="J39" i="65"/>
  <c r="J25" i="65"/>
  <c r="J17" i="65"/>
  <c r="J22" i="65"/>
  <c r="J34" i="65"/>
  <c r="J35" i="65"/>
  <c r="J26" i="65"/>
  <c r="J29" i="65"/>
  <c r="J19" i="65"/>
  <c r="J37" i="65"/>
  <c r="J44" i="65"/>
  <c r="J41" i="65"/>
  <c r="K41" i="65" s="1"/>
  <c r="J20" i="65"/>
  <c r="J28" i="64"/>
  <c r="J37" i="64"/>
  <c r="J33" i="63"/>
  <c r="J48" i="63" s="1"/>
  <c r="K46" i="63" s="1"/>
  <c r="H20" i="65"/>
  <c r="H33" i="65"/>
  <c r="H35" i="65"/>
  <c r="H43" i="65"/>
  <c r="H44" i="65"/>
  <c r="H37" i="65"/>
  <c r="H28" i="65"/>
  <c r="H22" i="65"/>
  <c r="H34" i="65"/>
  <c r="H26" i="65"/>
  <c r="H25" i="65"/>
  <c r="H21" i="65"/>
  <c r="H31" i="65"/>
  <c r="H41" i="65"/>
  <c r="H29" i="65"/>
  <c r="H16" i="65"/>
  <c r="I16" i="65" s="1"/>
  <c r="H19" i="65"/>
  <c r="H38" i="65"/>
  <c r="H28" i="64"/>
  <c r="E69" i="76"/>
  <c r="H37" i="64"/>
  <c r="V26" i="46"/>
  <c r="S11" i="33"/>
  <c r="AC12" i="33"/>
  <c r="B68" i="35"/>
  <c r="C15" i="52"/>
  <c r="C13" i="53"/>
  <c r="B21" i="47"/>
  <c r="U36" i="46"/>
  <c r="H17" i="13"/>
  <c r="H17" i="69" s="1"/>
  <c r="V11" i="46"/>
  <c r="D58" i="70"/>
  <c r="H351" i="40"/>
  <c r="H20" i="69"/>
  <c r="C44" i="67"/>
  <c r="C42" i="39"/>
  <c r="H106" i="60" s="1"/>
  <c r="N70" i="25"/>
  <c r="E17" i="9"/>
  <c r="E18" i="66"/>
  <c r="J34" i="73"/>
  <c r="L35" i="39"/>
  <c r="C52" i="35"/>
  <c r="D11" i="53" s="1"/>
  <c r="D165" i="40"/>
  <c r="E19" i="66" s="1"/>
  <c r="D30" i="40"/>
  <c r="H365" i="40"/>
  <c r="M233" i="40"/>
  <c r="M389" i="40" s="1"/>
  <c r="M392" i="40" s="1"/>
  <c r="I97" i="35"/>
  <c r="H98" i="74"/>
  <c r="H35" i="74"/>
  <c r="H40" i="74" s="1"/>
  <c r="H57" i="74" s="1"/>
  <c r="H63" i="74" s="1"/>
  <c r="H69" i="74" s="1"/>
  <c r="H74" i="74" s="1"/>
  <c r="H79" i="74" s="1"/>
  <c r="H85" i="74" s="1"/>
  <c r="H91" i="74" s="1"/>
  <c r="H3" i="74"/>
  <c r="D58" i="56"/>
  <c r="U31" i="46"/>
  <c r="C79" i="46"/>
  <c r="G141" i="35"/>
  <c r="G122" i="35"/>
  <c r="L5" i="47"/>
  <c r="M5" i="46"/>
  <c r="M41" i="46" s="1"/>
  <c r="M77" i="46" s="1"/>
  <c r="M89" i="46" s="1"/>
  <c r="G45" i="35"/>
  <c r="G74" i="35" s="1"/>
  <c r="G106" i="35" s="1"/>
  <c r="G117" i="35" s="1"/>
  <c r="L1" i="40"/>
  <c r="I12" i="85" s="1"/>
  <c r="L6" i="58"/>
  <c r="H12" i="35"/>
  <c r="I6" i="52"/>
  <c r="I5" i="53" s="1"/>
  <c r="I30" i="74"/>
  <c r="S26" i="25"/>
  <c r="K82" i="58"/>
  <c r="K101" i="58"/>
  <c r="K55" i="58"/>
  <c r="O63" i="25"/>
  <c r="M29" i="67"/>
  <c r="D50" i="35"/>
  <c r="F10" i="47" s="1"/>
  <c r="D55" i="35"/>
  <c r="M36" i="39"/>
  <c r="O71" i="25"/>
  <c r="M37" i="67"/>
  <c r="Q11" i="33"/>
  <c r="E38" i="63"/>
  <c r="E22" i="63"/>
  <c r="H161" i="40"/>
  <c r="E32" i="85" s="1"/>
  <c r="E89" i="35"/>
  <c r="I22" i="46" s="1"/>
  <c r="E35" i="65"/>
  <c r="E33" i="65"/>
  <c r="E16" i="35"/>
  <c r="I45" i="46" s="1"/>
  <c r="E37" i="65"/>
  <c r="E26" i="65"/>
  <c r="E29" i="65"/>
  <c r="E21" i="65"/>
  <c r="E20" i="65"/>
  <c r="E44" i="65"/>
  <c r="E38" i="65"/>
  <c r="E31" i="65"/>
  <c r="E41" i="65"/>
  <c r="M35" i="39"/>
  <c r="M36" i="67"/>
  <c r="O70" i="25"/>
  <c r="I80" i="74"/>
  <c r="K348" i="40" s="1"/>
  <c r="I32" i="74"/>
  <c r="I33" i="74" s="1"/>
  <c r="K81" i="40" s="1"/>
  <c r="I36" i="74"/>
  <c r="I37" i="74" s="1"/>
  <c r="J31" i="74"/>
  <c r="I41" i="74"/>
  <c r="I42" i="74" s="1"/>
  <c r="I81" i="74"/>
  <c r="K370" i="40" s="1"/>
  <c r="J78" i="40"/>
  <c r="I77" i="40"/>
  <c r="G50" i="56"/>
  <c r="G51" i="56" s="1"/>
  <c r="I42" i="46"/>
  <c r="F8" i="52"/>
  <c r="G50" i="70"/>
  <c r="G51" i="70" s="1"/>
  <c r="H38" i="74"/>
  <c r="J90" i="40" s="1"/>
  <c r="D52" i="35"/>
  <c r="E11" i="53" s="1"/>
  <c r="H43" i="74"/>
  <c r="J95" i="40" s="1"/>
  <c r="E14" i="35"/>
  <c r="I43" i="46" s="1"/>
  <c r="H92" i="40"/>
  <c r="H113" i="40" s="1"/>
  <c r="H114" i="40" s="1"/>
  <c r="L214" i="58" s="1"/>
  <c r="I372" i="40"/>
  <c r="J372" i="40" s="1"/>
  <c r="I376" i="40"/>
  <c r="I373" i="40" s="1"/>
  <c r="I345" i="40"/>
  <c r="Q39" i="25"/>
  <c r="I196" i="40"/>
  <c r="H64" i="74"/>
  <c r="H65" i="74" s="1"/>
  <c r="H67" i="74" s="1"/>
  <c r="H83" i="74"/>
  <c r="V31" i="46"/>
  <c r="N19" i="47"/>
  <c r="N148" i="58"/>
  <c r="N149" i="58"/>
  <c r="M23" i="13"/>
  <c r="N35" i="73" s="1"/>
  <c r="C124" i="35"/>
  <c r="AY3" i="76"/>
  <c r="BK3" i="76" s="1"/>
  <c r="B44" i="67"/>
  <c r="B43" i="39"/>
  <c r="D19" i="52"/>
  <c r="E33" i="63"/>
  <c r="I20" i="69"/>
  <c r="D44" i="67"/>
  <c r="D43" i="67"/>
  <c r="J11" i="33"/>
  <c r="AC11" i="33" s="1"/>
  <c r="I17" i="13"/>
  <c r="K29" i="73" s="1"/>
  <c r="I16" i="69"/>
  <c r="F106" i="58"/>
  <c r="O19" i="39"/>
  <c r="O20" i="67"/>
  <c r="G36" i="9"/>
  <c r="F142" i="40"/>
  <c r="AG46" i="25"/>
  <c r="G106" i="58"/>
  <c r="P19" i="39"/>
  <c r="P20" i="67"/>
  <c r="H36" i="9"/>
  <c r="L17" i="10"/>
  <c r="M16" i="10"/>
  <c r="F43" i="67"/>
  <c r="F44" i="67"/>
  <c r="P43" i="46"/>
  <c r="Q43" i="46" s="1"/>
  <c r="U15" i="35"/>
  <c r="G16" i="66"/>
  <c r="G15" i="9"/>
  <c r="G15" i="66"/>
  <c r="G14" i="9"/>
  <c r="J94" i="60" s="1"/>
  <c r="G45" i="9"/>
  <c r="F119" i="40"/>
  <c r="H15" i="9"/>
  <c r="H15" i="66"/>
  <c r="H45" i="9"/>
  <c r="H16" i="66"/>
  <c r="H14" i="9"/>
  <c r="K94" i="60" s="1"/>
  <c r="G119" i="40"/>
  <c r="K16" i="10"/>
  <c r="J17" i="10"/>
  <c r="G142" i="40"/>
  <c r="AH46" i="25"/>
  <c r="V66" i="85" s="1"/>
  <c r="F43" i="39"/>
  <c r="F42" i="39"/>
  <c r="K106" i="60" s="1"/>
  <c r="L103" i="40"/>
  <c r="D49" i="64"/>
  <c r="F18" i="65"/>
  <c r="G17" i="65"/>
  <c r="D30" i="65"/>
  <c r="E28" i="65"/>
  <c r="M361" i="40"/>
  <c r="N363" i="40" s="1"/>
  <c r="E34" i="65"/>
  <c r="E16" i="65"/>
  <c r="E43" i="65"/>
  <c r="E46" i="63"/>
  <c r="E21" i="63"/>
  <c r="E30" i="63"/>
  <c r="E36" i="63"/>
  <c r="E35" i="63"/>
  <c r="E45" i="63"/>
  <c r="E16" i="63"/>
  <c r="E44" i="63"/>
  <c r="E37" i="63"/>
  <c r="E34" i="63"/>
  <c r="E18" i="63"/>
  <c r="E24" i="63"/>
  <c r="E41" i="63"/>
  <c r="E26" i="63"/>
  <c r="E42" i="63"/>
  <c r="E19" i="63"/>
  <c r="E20" i="63"/>
  <c r="E27" i="63"/>
  <c r="E31" i="63"/>
  <c r="E25" i="63"/>
  <c r="E28" i="63"/>
  <c r="E48" i="63"/>
  <c r="E40" i="63"/>
  <c r="E32" i="63"/>
  <c r="E29" i="63"/>
  <c r="E43" i="63"/>
  <c r="E39" i="63"/>
  <c r="E17" i="63"/>
  <c r="E23" i="63"/>
  <c r="F23" i="65"/>
  <c r="G23" i="65" s="1"/>
  <c r="G19" i="65"/>
  <c r="E19" i="65"/>
  <c r="D23" i="65"/>
  <c r="E23" i="65" s="1"/>
  <c r="E25" i="65"/>
  <c r="G28" i="65"/>
  <c r="F30" i="65"/>
  <c r="D9" i="53"/>
  <c r="D8" i="47"/>
  <c r="L23" i="13"/>
  <c r="M35" i="73" s="1"/>
  <c r="L23" i="69"/>
  <c r="E17" i="62"/>
  <c r="E36" i="62"/>
  <c r="E23" i="62"/>
  <c r="E42" i="62"/>
  <c r="E24" i="62"/>
  <c r="E31" i="62"/>
  <c r="E40" i="62"/>
  <c r="E20" i="62"/>
  <c r="E28" i="62"/>
  <c r="E25" i="62"/>
  <c r="E35" i="62"/>
  <c r="E27" i="62"/>
  <c r="E34" i="62"/>
  <c r="E33" i="62"/>
  <c r="E22" i="62"/>
  <c r="E38" i="62"/>
  <c r="E44" i="62"/>
  <c r="E47" i="62"/>
  <c r="E26" i="62"/>
  <c r="E37" i="62"/>
  <c r="E45" i="62"/>
  <c r="E29" i="62"/>
  <c r="E39" i="62"/>
  <c r="E16" i="62"/>
  <c r="E30" i="62"/>
  <c r="E41" i="62"/>
  <c r="E43" i="62"/>
  <c r="E18" i="62"/>
  <c r="E19" i="62"/>
  <c r="E15" i="62"/>
  <c r="E21" i="62"/>
  <c r="K110" i="40"/>
  <c r="I264" i="40"/>
  <c r="J179" i="40"/>
  <c r="N42" i="47"/>
  <c r="I66" i="74"/>
  <c r="L25" i="39"/>
  <c r="L15" i="13" s="1"/>
  <c r="N61" i="25"/>
  <c r="L26" i="67"/>
  <c r="N111" i="25"/>
  <c r="D6" i="47"/>
  <c r="E34" i="33"/>
  <c r="C51" i="35"/>
  <c r="C121" i="35" s="1"/>
  <c r="R30" i="25"/>
  <c r="G18" i="35"/>
  <c r="M47" i="46" s="1"/>
  <c r="L58" i="70"/>
  <c r="M109" i="58"/>
  <c r="L30" i="58"/>
  <c r="F26" i="10"/>
  <c r="G23" i="10"/>
  <c r="L19" i="69"/>
  <c r="E92" i="46"/>
  <c r="L19" i="13"/>
  <c r="M31" i="73" s="1"/>
  <c r="L58" i="56"/>
  <c r="N65" i="25"/>
  <c r="L30" i="39"/>
  <c r="L31" i="67"/>
  <c r="C19" i="52"/>
  <c r="H11" i="33"/>
  <c r="C17" i="46"/>
  <c r="D16" i="46" s="1"/>
  <c r="F44" i="46"/>
  <c r="E46" i="66"/>
  <c r="R79" i="46"/>
  <c r="H8" i="46"/>
  <c r="H10" i="46"/>
  <c r="H6" i="46"/>
  <c r="H15" i="46"/>
  <c r="H7" i="46"/>
  <c r="H9" i="46"/>
  <c r="H14" i="46"/>
  <c r="H12" i="46"/>
  <c r="H13" i="46"/>
  <c r="E58" i="56"/>
  <c r="L57" i="56"/>
  <c r="E58" i="70"/>
  <c r="E79" i="46"/>
  <c r="L57" i="70"/>
  <c r="H11" i="46"/>
  <c r="H17" i="46" s="1"/>
  <c r="P79" i="46"/>
  <c r="B124" i="35"/>
  <c r="V16" i="46"/>
  <c r="U16" i="46"/>
  <c r="E17" i="46"/>
  <c r="V17" i="46" s="1"/>
  <c r="E8" i="33"/>
  <c r="R11" i="33"/>
  <c r="AB12" i="33"/>
  <c r="D9" i="52"/>
  <c r="E48" i="46"/>
  <c r="C22" i="35"/>
  <c r="I7" i="33"/>
  <c r="E9" i="33" s="1"/>
  <c r="L50" i="70"/>
  <c r="C20" i="35"/>
  <c r="L50" i="56"/>
  <c r="R36" i="46"/>
  <c r="S16" i="46"/>
  <c r="S17" i="46" s="1"/>
  <c r="S15" i="46"/>
  <c r="S9" i="46"/>
  <c r="S10" i="46"/>
  <c r="S8" i="46"/>
  <c r="S12" i="46"/>
  <c r="S14" i="46"/>
  <c r="S7" i="46"/>
  <c r="S13" i="46"/>
  <c r="S6" i="46"/>
  <c r="Q10" i="46"/>
  <c r="Q12" i="46"/>
  <c r="Q15" i="46"/>
  <c r="Q13" i="46"/>
  <c r="Q8" i="46"/>
  <c r="Q7" i="46"/>
  <c r="Q9" i="46"/>
  <c r="Q14" i="46"/>
  <c r="Q6" i="46"/>
  <c r="AB11" i="33"/>
  <c r="R10" i="33"/>
  <c r="Q16" i="46"/>
  <c r="Q17" i="46" s="1"/>
  <c r="L48" i="63"/>
  <c r="M46" i="63" s="1"/>
  <c r="E36" i="33"/>
  <c r="E35" i="33"/>
  <c r="F48" i="63"/>
  <c r="G46" i="63" s="1"/>
  <c r="L235" i="40"/>
  <c r="L64" i="40" s="1"/>
  <c r="N242" i="40"/>
  <c r="J41" i="40"/>
  <c r="J62" i="40" s="1"/>
  <c r="L209" i="40"/>
  <c r="J52" i="40"/>
  <c r="F94" i="35"/>
  <c r="I236" i="40"/>
  <c r="Q49" i="25"/>
  <c r="L246" i="40"/>
  <c r="J362" i="40"/>
  <c r="I203" i="40"/>
  <c r="P194" i="40"/>
  <c r="N248" i="40"/>
  <c r="N395" i="40" s="1"/>
  <c r="N398" i="40" s="1"/>
  <c r="I27" i="46" l="1"/>
  <c r="I31" i="46" s="1"/>
  <c r="K217" i="40"/>
  <c r="J63" i="40"/>
  <c r="L6" i="40"/>
  <c r="L7" i="40" s="1"/>
  <c r="L80" i="40" s="1"/>
  <c r="K56" i="40"/>
  <c r="K61" i="40" s="1"/>
  <c r="E78" i="35"/>
  <c r="I9" i="46" s="1"/>
  <c r="E78" i="85"/>
  <c r="E92" i="85"/>
  <c r="E28" i="35"/>
  <c r="I55" i="46" s="1"/>
  <c r="E28" i="85"/>
  <c r="I45" i="85"/>
  <c r="I74" i="85" s="1"/>
  <c r="I106" i="85" s="1"/>
  <c r="I117" i="85" s="1"/>
  <c r="I141" i="85"/>
  <c r="I122" i="85"/>
  <c r="U23" i="85"/>
  <c r="U31" i="85"/>
  <c r="U33" i="85" s="1"/>
  <c r="U35" i="85" s="1"/>
  <c r="V20" i="85"/>
  <c r="V22" i="85"/>
  <c r="E76" i="35"/>
  <c r="I7" i="46" s="1"/>
  <c r="E127" i="85"/>
  <c r="E76" i="85"/>
  <c r="I32" i="33"/>
  <c r="H32" i="33"/>
  <c r="E12" i="53"/>
  <c r="D59" i="85"/>
  <c r="G99" i="85"/>
  <c r="F62" i="35"/>
  <c r="G15" i="53" s="1"/>
  <c r="F62" i="85"/>
  <c r="F65" i="35"/>
  <c r="J26" i="47" s="1"/>
  <c r="F65" i="85"/>
  <c r="E62" i="35"/>
  <c r="H23" i="47" s="1"/>
  <c r="E62" i="85"/>
  <c r="G84" i="85"/>
  <c r="K208" i="40"/>
  <c r="G84" i="35"/>
  <c r="M15" i="46" s="1"/>
  <c r="J401" i="40"/>
  <c r="J250" i="40"/>
  <c r="J402" i="40" s="1"/>
  <c r="C121" i="85"/>
  <c r="C59" i="85"/>
  <c r="C60" i="85" s="1"/>
  <c r="P38" i="25"/>
  <c r="E66" i="85" s="1"/>
  <c r="N26" i="47"/>
  <c r="N11" i="53"/>
  <c r="N12" i="47"/>
  <c r="O48" i="72"/>
  <c r="J45" i="74"/>
  <c r="R9" i="40"/>
  <c r="T16" i="58"/>
  <c r="Q23" i="40"/>
  <c r="Q20" i="40"/>
  <c r="Q17" i="40"/>
  <c r="Q14" i="40"/>
  <c r="Q10" i="40"/>
  <c r="T284" i="40"/>
  <c r="V63" i="58"/>
  <c r="U67" i="58"/>
  <c r="T267" i="40" s="1"/>
  <c r="L22" i="48"/>
  <c r="K22" i="48"/>
  <c r="I129" i="40"/>
  <c r="I128" i="40"/>
  <c r="H22" i="48"/>
  <c r="C23" i="48" s="1"/>
  <c r="F23" i="48" s="1"/>
  <c r="G23" i="48" s="1"/>
  <c r="E23" i="48"/>
  <c r="T34" i="58"/>
  <c r="R31" i="40"/>
  <c r="R43" i="46"/>
  <c r="S43" i="46" s="1"/>
  <c r="J30" i="65"/>
  <c r="K30" i="65" s="1"/>
  <c r="K380" i="40"/>
  <c r="H83" i="35"/>
  <c r="L111" i="40"/>
  <c r="J82" i="74"/>
  <c r="L384" i="40" s="1"/>
  <c r="L204" i="40" s="1"/>
  <c r="J383" i="40"/>
  <c r="R40" i="25" s="1"/>
  <c r="H14" i="47"/>
  <c r="F12" i="53"/>
  <c r="J37" i="33"/>
  <c r="F35" i="33" s="1"/>
  <c r="I166" i="40"/>
  <c r="I283" i="40"/>
  <c r="I226" i="40" s="1"/>
  <c r="I280" i="40"/>
  <c r="I279" i="40"/>
  <c r="I282" i="40"/>
  <c r="I225" i="40" s="1"/>
  <c r="I281" i="40"/>
  <c r="M309" i="40"/>
  <c r="M310" i="40"/>
  <c r="M308" i="40"/>
  <c r="M307" i="40"/>
  <c r="E98" i="35"/>
  <c r="H84" i="40"/>
  <c r="I371" i="40"/>
  <c r="I86" i="40"/>
  <c r="I99" i="40" s="1"/>
  <c r="I117" i="40" s="1"/>
  <c r="J371" i="40"/>
  <c r="J86" i="40"/>
  <c r="J99" i="40" s="1"/>
  <c r="K241" i="40"/>
  <c r="J326" i="40"/>
  <c r="G99" i="35"/>
  <c r="M32" i="46" s="1"/>
  <c r="N32" i="46" s="1"/>
  <c r="K244" i="40"/>
  <c r="R42" i="25"/>
  <c r="J29" i="73"/>
  <c r="I70" i="74"/>
  <c r="I75" i="74" s="1"/>
  <c r="K177" i="40" s="1"/>
  <c r="I350" i="40"/>
  <c r="G75" i="74"/>
  <c r="I177" i="40" s="1"/>
  <c r="I58" i="74"/>
  <c r="K22" i="65"/>
  <c r="H317" i="40"/>
  <c r="H321" i="40" s="1"/>
  <c r="I145" i="40"/>
  <c r="I43" i="74"/>
  <c r="K95" i="40" s="1"/>
  <c r="L8" i="74"/>
  <c r="L9" i="74" s="1"/>
  <c r="K9" i="74"/>
  <c r="H60" i="74"/>
  <c r="G59" i="74"/>
  <c r="G61" i="74" s="1"/>
  <c r="I351" i="40" s="1"/>
  <c r="H371" i="40"/>
  <c r="H377" i="40" s="1"/>
  <c r="L24" i="74"/>
  <c r="L25" i="74"/>
  <c r="K12" i="74"/>
  <c r="K13" i="74"/>
  <c r="L11" i="74"/>
  <c r="K6" i="74"/>
  <c r="L5" i="74"/>
  <c r="K7" i="74"/>
  <c r="K28" i="74"/>
  <c r="K27" i="74"/>
  <c r="L26" i="74"/>
  <c r="L100" i="74" s="1"/>
  <c r="D15" i="47"/>
  <c r="Q46" i="25"/>
  <c r="D12" i="53"/>
  <c r="I94" i="40"/>
  <c r="M39" i="65"/>
  <c r="M41" i="65"/>
  <c r="M43" i="65"/>
  <c r="M22" i="65"/>
  <c r="L18" i="65"/>
  <c r="M18" i="65" s="1"/>
  <c r="M44" i="65"/>
  <c r="M38" i="65"/>
  <c r="M35" i="65"/>
  <c r="M25" i="65"/>
  <c r="M29" i="65"/>
  <c r="M28" i="65"/>
  <c r="L49" i="64"/>
  <c r="K38" i="65"/>
  <c r="M21" i="65"/>
  <c r="M20" i="65"/>
  <c r="M17" i="65"/>
  <c r="M19" i="65"/>
  <c r="M37" i="65"/>
  <c r="M33" i="65"/>
  <c r="L30" i="65"/>
  <c r="M30" i="65" s="1"/>
  <c r="K25" i="65"/>
  <c r="M26" i="65"/>
  <c r="L23" i="65"/>
  <c r="M23" i="65" s="1"/>
  <c r="M31" i="65"/>
  <c r="K19" i="65"/>
  <c r="K33" i="65"/>
  <c r="K44" i="65"/>
  <c r="K17" i="65"/>
  <c r="K43" i="65"/>
  <c r="K31" i="65"/>
  <c r="K37" i="65"/>
  <c r="K16" i="65"/>
  <c r="K20" i="65"/>
  <c r="J18" i="65"/>
  <c r="K18" i="65" s="1"/>
  <c r="K39" i="65"/>
  <c r="K28" i="65"/>
  <c r="K26" i="65"/>
  <c r="K21" i="65"/>
  <c r="K35" i="65"/>
  <c r="K34" i="65"/>
  <c r="J49" i="64"/>
  <c r="J23" i="65"/>
  <c r="K23" i="65" s="1"/>
  <c r="K29" i="65"/>
  <c r="I38" i="63"/>
  <c r="I28" i="63"/>
  <c r="I21" i="65"/>
  <c r="I43" i="65"/>
  <c r="I25" i="63"/>
  <c r="I25" i="65"/>
  <c r="I35" i="65"/>
  <c r="I29" i="63"/>
  <c r="I39" i="63"/>
  <c r="I30" i="63"/>
  <c r="I16" i="63"/>
  <c r="I42" i="63"/>
  <c r="I26" i="63"/>
  <c r="I27" i="63"/>
  <c r="I48" i="63"/>
  <c r="I37" i="63"/>
  <c r="I24" i="63"/>
  <c r="I43" i="63"/>
  <c r="I31" i="63"/>
  <c r="I20" i="63"/>
  <c r="I32" i="63"/>
  <c r="I19" i="63"/>
  <c r="I33" i="63"/>
  <c r="I40" i="63"/>
  <c r="I22" i="63"/>
  <c r="I41" i="63"/>
  <c r="I17" i="63"/>
  <c r="I23" i="63"/>
  <c r="I31" i="65"/>
  <c r="I44" i="65"/>
  <c r="I21" i="63"/>
  <c r="I45" i="63"/>
  <c r="I46" i="63"/>
  <c r="I18" i="63"/>
  <c r="I34" i="63"/>
  <c r="I44" i="63"/>
  <c r="I36" i="63"/>
  <c r="I22" i="65"/>
  <c r="I29" i="65"/>
  <c r="H30" i="65"/>
  <c r="I28" i="65"/>
  <c r="I41" i="65"/>
  <c r="I37" i="65"/>
  <c r="H49" i="64"/>
  <c r="I38" i="65"/>
  <c r="I26" i="65"/>
  <c r="I33" i="65"/>
  <c r="I19" i="65"/>
  <c r="H23" i="65"/>
  <c r="I23" i="65" s="1"/>
  <c r="I34" i="65"/>
  <c r="I20" i="65"/>
  <c r="B70" i="35"/>
  <c r="C18" i="53"/>
  <c r="B30" i="47"/>
  <c r="C21" i="52"/>
  <c r="AA17" i="33"/>
  <c r="D12" i="47"/>
  <c r="C59" i="35"/>
  <c r="D19" i="47" s="1"/>
  <c r="D88" i="58"/>
  <c r="D168" i="40"/>
  <c r="D247" i="40" s="1"/>
  <c r="E18" i="9"/>
  <c r="H23" i="49"/>
  <c r="H23" i="13"/>
  <c r="H23" i="69" s="1"/>
  <c r="J97" i="35"/>
  <c r="N233" i="40"/>
  <c r="N389" i="40" s="1"/>
  <c r="N392" i="40" s="1"/>
  <c r="E32" i="35"/>
  <c r="I59" i="46" s="1"/>
  <c r="J59" i="46" s="1"/>
  <c r="L55" i="58"/>
  <c r="L82" i="58"/>
  <c r="L101" i="58"/>
  <c r="T26" i="25"/>
  <c r="M6" i="58"/>
  <c r="I12" i="35"/>
  <c r="M1" i="40"/>
  <c r="J6" i="52"/>
  <c r="J5" i="53" s="1"/>
  <c r="J30" i="74"/>
  <c r="J45" i="46"/>
  <c r="H122" i="35"/>
  <c r="H45" i="35"/>
  <c r="H74" i="35" s="1"/>
  <c r="H106" i="35" s="1"/>
  <c r="H117" i="35" s="1"/>
  <c r="H141" i="35"/>
  <c r="I3" i="74"/>
  <c r="I98" i="74"/>
  <c r="I35" i="74"/>
  <c r="I40" i="74" s="1"/>
  <c r="I57" i="74" s="1"/>
  <c r="I63" i="74" s="1"/>
  <c r="I69" i="74" s="1"/>
  <c r="I74" i="74" s="1"/>
  <c r="I79" i="74" s="1"/>
  <c r="I85" i="74" s="1"/>
  <c r="I91" i="74" s="1"/>
  <c r="E127" i="35"/>
  <c r="F15" i="47"/>
  <c r="J32" i="33"/>
  <c r="E66" i="35"/>
  <c r="H27" i="47" s="1"/>
  <c r="E15" i="35"/>
  <c r="E19" i="35" s="1"/>
  <c r="D59" i="35"/>
  <c r="F19" i="47" s="1"/>
  <c r="J376" i="40"/>
  <c r="J373" i="40" s="1"/>
  <c r="F12" i="47"/>
  <c r="I83" i="74"/>
  <c r="I64" i="74"/>
  <c r="I65" i="74" s="1"/>
  <c r="I67" i="74" s="1"/>
  <c r="I89" i="40"/>
  <c r="F14" i="35" s="1"/>
  <c r="K43" i="46" s="1"/>
  <c r="I263" i="40"/>
  <c r="I178" i="40" s="1"/>
  <c r="F13" i="35"/>
  <c r="M212" i="58"/>
  <c r="I269" i="40"/>
  <c r="I188" i="40" s="1"/>
  <c r="I274" i="40"/>
  <c r="F17" i="35"/>
  <c r="K46" i="46" s="1"/>
  <c r="I275" i="40"/>
  <c r="I149" i="40" s="1"/>
  <c r="I273" i="40"/>
  <c r="I262" i="40"/>
  <c r="I277" i="40"/>
  <c r="I270" i="40"/>
  <c r="I189" i="40" s="1"/>
  <c r="F78" i="85" s="1"/>
  <c r="I272" i="40"/>
  <c r="I174" i="40"/>
  <c r="I278" i="40"/>
  <c r="I271" i="40"/>
  <c r="I190" i="40" s="1"/>
  <c r="I268" i="40"/>
  <c r="I187" i="40" s="1"/>
  <c r="J63" i="46"/>
  <c r="J57" i="46"/>
  <c r="J47" i="46"/>
  <c r="J51" i="46"/>
  <c r="J55" i="46"/>
  <c r="J42" i="46"/>
  <c r="J56" i="46"/>
  <c r="K372" i="40"/>
  <c r="J77" i="40"/>
  <c r="K78" i="40"/>
  <c r="J345" i="40"/>
  <c r="R39" i="25"/>
  <c r="J196" i="40"/>
  <c r="J80" i="74"/>
  <c r="L348" i="40" s="1"/>
  <c r="J32" i="74"/>
  <c r="J33" i="74" s="1"/>
  <c r="L81" i="40" s="1"/>
  <c r="K31" i="74"/>
  <c r="J41" i="74"/>
  <c r="J42" i="74" s="1"/>
  <c r="J81" i="74"/>
  <c r="L370" i="40" s="1"/>
  <c r="J36" i="74"/>
  <c r="J37" i="74" s="1"/>
  <c r="J43" i="46"/>
  <c r="I38" i="74"/>
  <c r="K90" i="40" s="1"/>
  <c r="J46" i="46"/>
  <c r="I17" i="69"/>
  <c r="S10" i="33"/>
  <c r="P44" i="46"/>
  <c r="Q44" i="46" s="1"/>
  <c r="U19" i="35"/>
  <c r="F16" i="39"/>
  <c r="G143" i="40"/>
  <c r="G163" i="40" s="1"/>
  <c r="F17" i="67"/>
  <c r="AH27" i="25"/>
  <c r="V46" i="85" s="1"/>
  <c r="N42" i="39"/>
  <c r="V66" i="35"/>
  <c r="P27" i="47" s="1"/>
  <c r="N43" i="67"/>
  <c r="E17" i="67"/>
  <c r="AG27" i="25"/>
  <c r="U46" i="85" s="1"/>
  <c r="E16" i="39"/>
  <c r="F143" i="40"/>
  <c r="F163" i="40" s="1"/>
  <c r="K17" i="10"/>
  <c r="J23" i="10"/>
  <c r="M17" i="10"/>
  <c r="L23" i="10"/>
  <c r="R44" i="46"/>
  <c r="S44" i="46" s="1"/>
  <c r="V19" i="35"/>
  <c r="M103" i="40"/>
  <c r="N361" i="40"/>
  <c r="O363" i="40" s="1"/>
  <c r="G18" i="65"/>
  <c r="F24" i="65"/>
  <c r="F32" i="65"/>
  <c r="G32" i="65" s="1"/>
  <c r="G30" i="65"/>
  <c r="D32" i="65"/>
  <c r="E32" i="65" s="1"/>
  <c r="E30" i="65"/>
  <c r="D11" i="46"/>
  <c r="D17" i="46" s="1"/>
  <c r="F16" i="46"/>
  <c r="H93" i="60"/>
  <c r="I184" i="58"/>
  <c r="N109" i="58"/>
  <c r="N30" i="58" s="1"/>
  <c r="M30" i="58"/>
  <c r="G26" i="10"/>
  <c r="F35" i="10"/>
  <c r="E93" i="46"/>
  <c r="D11" i="47"/>
  <c r="D10" i="53"/>
  <c r="J66" i="74"/>
  <c r="H343" i="40"/>
  <c r="H198" i="40"/>
  <c r="M110" i="40"/>
  <c r="L110" i="40"/>
  <c r="H18" i="35"/>
  <c r="S30" i="25"/>
  <c r="L15" i="69"/>
  <c r="L16" i="69" s="1"/>
  <c r="L16" i="13"/>
  <c r="M28" i="73" s="1"/>
  <c r="M27" i="73"/>
  <c r="K179" i="40"/>
  <c r="J264" i="40"/>
  <c r="R83" i="46"/>
  <c r="O20" i="52"/>
  <c r="F48" i="46"/>
  <c r="D10" i="52"/>
  <c r="P83" i="46"/>
  <c r="N20" i="52"/>
  <c r="AA11" i="33"/>
  <c r="Q10" i="33"/>
  <c r="L18" i="69"/>
  <c r="E83" i="46"/>
  <c r="AB16" i="33"/>
  <c r="L18" i="13"/>
  <c r="D20" i="52"/>
  <c r="F11" i="46"/>
  <c r="F7" i="46"/>
  <c r="F14" i="46"/>
  <c r="F12" i="46"/>
  <c r="U17" i="46"/>
  <c r="F13" i="46"/>
  <c r="F8" i="46"/>
  <c r="F9" i="46"/>
  <c r="F10" i="46"/>
  <c r="F15" i="46"/>
  <c r="F6" i="46"/>
  <c r="D7" i="46"/>
  <c r="D14" i="46"/>
  <c r="D10" i="46"/>
  <c r="D9" i="46"/>
  <c r="D6" i="46"/>
  <c r="D15" i="46"/>
  <c r="D12" i="46"/>
  <c r="D13" i="46"/>
  <c r="D8" i="46"/>
  <c r="E11" i="33"/>
  <c r="AB7" i="33"/>
  <c r="E7" i="33"/>
  <c r="R7" i="33"/>
  <c r="C23" i="35"/>
  <c r="I8" i="33"/>
  <c r="AB8" i="33" s="1"/>
  <c r="D11" i="52"/>
  <c r="D7" i="53" s="1"/>
  <c r="C31" i="35"/>
  <c r="E50" i="46"/>
  <c r="G48" i="63"/>
  <c r="G34" i="63"/>
  <c r="G40" i="63"/>
  <c r="G41" i="63"/>
  <c r="G18" i="63"/>
  <c r="G42" i="63"/>
  <c r="G21" i="63"/>
  <c r="G17" i="63"/>
  <c r="G27" i="63"/>
  <c r="G24" i="63"/>
  <c r="G35" i="63"/>
  <c r="G43" i="63"/>
  <c r="G29" i="63"/>
  <c r="G45" i="63"/>
  <c r="G32" i="63"/>
  <c r="G23" i="63"/>
  <c r="G39" i="63"/>
  <c r="G26" i="63"/>
  <c r="G20" i="63"/>
  <c r="G16" i="63"/>
  <c r="G28" i="63"/>
  <c r="G44" i="63"/>
  <c r="G19" i="63"/>
  <c r="G31" i="63"/>
  <c r="G37" i="63"/>
  <c r="G30" i="63"/>
  <c r="G25" i="63"/>
  <c r="G36" i="63"/>
  <c r="G33" i="63"/>
  <c r="G22" i="63"/>
  <c r="G38" i="63"/>
  <c r="M23" i="63"/>
  <c r="M36" i="63"/>
  <c r="M37" i="63"/>
  <c r="M48" i="63"/>
  <c r="M16" i="63"/>
  <c r="M27" i="63"/>
  <c r="M21" i="63"/>
  <c r="M42" i="63"/>
  <c r="M24" i="63"/>
  <c r="M41" i="63"/>
  <c r="M25" i="63"/>
  <c r="M39" i="63"/>
  <c r="M40" i="63"/>
  <c r="M28" i="63"/>
  <c r="M34" i="63"/>
  <c r="M18" i="63"/>
  <c r="M43" i="63"/>
  <c r="M44" i="63"/>
  <c r="M26" i="63"/>
  <c r="M29" i="63"/>
  <c r="M35" i="63"/>
  <c r="M19" i="63"/>
  <c r="M32" i="63"/>
  <c r="M30" i="63"/>
  <c r="M45" i="63"/>
  <c r="M31" i="63"/>
  <c r="M20" i="63"/>
  <c r="M17" i="63"/>
  <c r="M33" i="63"/>
  <c r="M38" i="63"/>
  <c r="M22" i="63"/>
  <c r="K39" i="63"/>
  <c r="K21" i="63"/>
  <c r="K48" i="63"/>
  <c r="K42" i="63"/>
  <c r="K32" i="63"/>
  <c r="K40" i="63"/>
  <c r="K28" i="63"/>
  <c r="K29" i="63"/>
  <c r="K31" i="63"/>
  <c r="K23" i="63"/>
  <c r="K19" i="63"/>
  <c r="K44" i="63"/>
  <c r="K34" i="63"/>
  <c r="K27" i="63"/>
  <c r="K20" i="63"/>
  <c r="K18" i="63"/>
  <c r="K41" i="63"/>
  <c r="K16" i="63"/>
  <c r="K35" i="63"/>
  <c r="K25" i="63"/>
  <c r="K45" i="63"/>
  <c r="K30" i="63"/>
  <c r="K36" i="63"/>
  <c r="K37" i="63"/>
  <c r="K24" i="63"/>
  <c r="K17" i="63"/>
  <c r="K43" i="63"/>
  <c r="K26" i="63"/>
  <c r="K22" i="63"/>
  <c r="K38" i="63"/>
  <c r="K33" i="63"/>
  <c r="J32" i="65"/>
  <c r="K32" i="65" s="1"/>
  <c r="J359" i="40"/>
  <c r="J53" i="40"/>
  <c r="K49" i="40"/>
  <c r="M209" i="40"/>
  <c r="M246" i="40"/>
  <c r="F98" i="35"/>
  <c r="K27" i="46"/>
  <c r="Q194" i="40"/>
  <c r="K38" i="40"/>
  <c r="J228" i="40"/>
  <c r="G94" i="85" s="1"/>
  <c r="G98" i="85" s="1"/>
  <c r="O242" i="40"/>
  <c r="M235" i="40"/>
  <c r="O248" i="40"/>
  <c r="O395" i="40" s="1"/>
  <c r="O398" i="40" s="1"/>
  <c r="L217" i="40" l="1"/>
  <c r="M6" i="40"/>
  <c r="M7" i="40" s="1"/>
  <c r="M80" i="40" s="1"/>
  <c r="L56" i="40"/>
  <c r="L61" i="40" s="1"/>
  <c r="F37" i="35"/>
  <c r="K63" i="46" s="1"/>
  <c r="F37" i="85"/>
  <c r="U118" i="85"/>
  <c r="U119" i="85"/>
  <c r="U38" i="85"/>
  <c r="U36" i="85"/>
  <c r="K45" i="74"/>
  <c r="J12" i="85"/>
  <c r="V31" i="85"/>
  <c r="V33" i="85" s="1"/>
  <c r="V35" i="85" s="1"/>
  <c r="V23" i="85"/>
  <c r="J23" i="47"/>
  <c r="F15" i="53"/>
  <c r="J403" i="40"/>
  <c r="R46" i="25" s="1"/>
  <c r="H99" i="85"/>
  <c r="G65" i="35"/>
  <c r="L26" i="47" s="1"/>
  <c r="G65" i="85"/>
  <c r="H84" i="85"/>
  <c r="L208" i="40"/>
  <c r="K401" i="40"/>
  <c r="H84" i="35"/>
  <c r="K250" i="40"/>
  <c r="K402" i="40" s="1"/>
  <c r="J128" i="40"/>
  <c r="J129" i="40"/>
  <c r="J385" i="40"/>
  <c r="J386" i="40" s="1"/>
  <c r="U34" i="58"/>
  <c r="S31" i="40"/>
  <c r="S9" i="40"/>
  <c r="U16" i="58"/>
  <c r="W63" i="58"/>
  <c r="V67" i="58"/>
  <c r="U267" i="40" s="1"/>
  <c r="U284" i="40"/>
  <c r="R20" i="40"/>
  <c r="R14" i="40"/>
  <c r="R23" i="40"/>
  <c r="R17" i="40"/>
  <c r="R10" i="40"/>
  <c r="E24" i="48"/>
  <c r="H23" i="48"/>
  <c r="C24" i="48" s="1"/>
  <c r="F24" i="48" s="1"/>
  <c r="G24" i="48" s="1"/>
  <c r="K23" i="48"/>
  <c r="L23" i="48"/>
  <c r="F36" i="33"/>
  <c r="L380" i="40"/>
  <c r="L381" i="40" s="1"/>
  <c r="L383" i="40" s="1"/>
  <c r="T40" i="25" s="1"/>
  <c r="I83" i="35"/>
  <c r="G55" i="35"/>
  <c r="L15" i="47" s="1"/>
  <c r="G54" i="35"/>
  <c r="K381" i="40"/>
  <c r="K383" i="40" s="1"/>
  <c r="S40" i="25" s="1"/>
  <c r="M111" i="40"/>
  <c r="K82" i="74"/>
  <c r="M384" i="40" s="1"/>
  <c r="M204" i="40" s="1"/>
  <c r="J70" i="74"/>
  <c r="K70" i="74" s="1"/>
  <c r="H89" i="58"/>
  <c r="J89" i="58" s="1"/>
  <c r="K89" i="58" s="1"/>
  <c r="L89" i="58" s="1"/>
  <c r="M89" i="58" s="1"/>
  <c r="N89" i="58" s="1"/>
  <c r="O89" i="58" s="1"/>
  <c r="P89" i="58" s="1"/>
  <c r="Q89" i="58" s="1"/>
  <c r="R89" i="58" s="1"/>
  <c r="S89" i="58" s="1"/>
  <c r="T89" i="58" s="1"/>
  <c r="U89" i="58" s="1"/>
  <c r="V89" i="58" s="1"/>
  <c r="W89" i="58" s="1"/>
  <c r="X89" i="58" s="1"/>
  <c r="J166" i="40"/>
  <c r="J283" i="40"/>
  <c r="J281" i="40"/>
  <c r="J279" i="40"/>
  <c r="J280" i="40"/>
  <c r="J282" i="40"/>
  <c r="J225" i="40" s="1"/>
  <c r="N307" i="40"/>
  <c r="I180" i="40"/>
  <c r="N308" i="40"/>
  <c r="N310" i="40"/>
  <c r="I127" i="40"/>
  <c r="I221" i="40"/>
  <c r="N309" i="40"/>
  <c r="H99" i="40"/>
  <c r="H117" i="40" s="1"/>
  <c r="H366" i="40" s="1"/>
  <c r="H367" i="40" s="1"/>
  <c r="K371" i="40"/>
  <c r="K86" i="40"/>
  <c r="K99" i="40" s="1"/>
  <c r="K326" i="40"/>
  <c r="L241" i="40"/>
  <c r="H99" i="35"/>
  <c r="S42" i="25"/>
  <c r="L244" i="40"/>
  <c r="J350" i="40"/>
  <c r="J58" i="74"/>
  <c r="L10" i="74"/>
  <c r="J145" i="40"/>
  <c r="I191" i="40"/>
  <c r="I365" i="40" s="1"/>
  <c r="F16" i="35"/>
  <c r="K45" i="46" s="1"/>
  <c r="I85" i="40"/>
  <c r="H59" i="74"/>
  <c r="H61" i="74" s="1"/>
  <c r="J351" i="40" s="1"/>
  <c r="I60" i="74"/>
  <c r="I374" i="40"/>
  <c r="H374" i="40"/>
  <c r="I224" i="40"/>
  <c r="L12" i="74"/>
  <c r="L13" i="74"/>
  <c r="L372" i="40"/>
  <c r="L27" i="74"/>
  <c r="L28" i="74"/>
  <c r="L6" i="74"/>
  <c r="L7" i="74"/>
  <c r="J94" i="40"/>
  <c r="G16" i="35" s="1"/>
  <c r="M45" i="46" s="1"/>
  <c r="T39" i="25"/>
  <c r="L345" i="40"/>
  <c r="L32" i="65"/>
  <c r="M32" i="65" s="1"/>
  <c r="L24" i="65"/>
  <c r="M24" i="65" s="1"/>
  <c r="J24" i="65"/>
  <c r="J27" i="65" s="1"/>
  <c r="I30" i="65"/>
  <c r="H32" i="65"/>
  <c r="I32" i="65" s="1"/>
  <c r="B72" i="35"/>
  <c r="B34" i="47"/>
  <c r="C60" i="35"/>
  <c r="C19" i="39"/>
  <c r="C26" i="39" s="1"/>
  <c r="H81" i="60" s="1"/>
  <c r="H92" i="60"/>
  <c r="E24" i="9"/>
  <c r="D169" i="40"/>
  <c r="E23" i="9" s="1"/>
  <c r="C20" i="67"/>
  <c r="C27" i="67" s="1"/>
  <c r="E25" i="66"/>
  <c r="J35" i="73"/>
  <c r="I44" i="46"/>
  <c r="J44" i="46" s="1"/>
  <c r="K97" i="35"/>
  <c r="O233" i="40"/>
  <c r="O389" i="40" s="1"/>
  <c r="O392" i="40" s="1"/>
  <c r="M55" i="58"/>
  <c r="M82" i="58"/>
  <c r="M101" i="58"/>
  <c r="I141" i="35"/>
  <c r="I45" i="35"/>
  <c r="I74" i="35" s="1"/>
  <c r="I106" i="35" s="1"/>
  <c r="I117" i="35" s="1"/>
  <c r="I122" i="35"/>
  <c r="K6" i="52"/>
  <c r="K5" i="53" s="1"/>
  <c r="N6" i="58"/>
  <c r="U26" i="25"/>
  <c r="N1" i="40"/>
  <c r="K30" i="74"/>
  <c r="J12" i="35"/>
  <c r="J3" i="74"/>
  <c r="J98" i="74"/>
  <c r="J35" i="74"/>
  <c r="J40" i="74" s="1"/>
  <c r="J57" i="74" s="1"/>
  <c r="J63" i="74" s="1"/>
  <c r="J69" i="74" s="1"/>
  <c r="J74" i="74" s="1"/>
  <c r="J79" i="74" s="1"/>
  <c r="J85" i="74" s="1"/>
  <c r="J91" i="74" s="1"/>
  <c r="J83" i="74"/>
  <c r="I366" i="40"/>
  <c r="F9" i="52"/>
  <c r="F10" i="52" s="1"/>
  <c r="I48" i="46"/>
  <c r="J48" i="46" s="1"/>
  <c r="E20" i="35"/>
  <c r="J38" i="74"/>
  <c r="L90" i="40" s="1"/>
  <c r="K77" i="40"/>
  <c r="L78" i="40"/>
  <c r="J43" i="74"/>
  <c r="L95" i="40" s="1"/>
  <c r="J89" i="40"/>
  <c r="G14" i="35" s="1"/>
  <c r="M43" i="46" s="1"/>
  <c r="G17" i="35"/>
  <c r="M46" i="46" s="1"/>
  <c r="J274" i="40"/>
  <c r="N212" i="58"/>
  <c r="J273" i="40"/>
  <c r="J262" i="40"/>
  <c r="G13" i="35"/>
  <c r="J263" i="40"/>
  <c r="J178" i="40" s="1"/>
  <c r="J180" i="40" s="1"/>
  <c r="J277" i="40"/>
  <c r="J269" i="40"/>
  <c r="J188" i="40" s="1"/>
  <c r="J275" i="40"/>
  <c r="J149" i="40" s="1"/>
  <c r="J226" i="40"/>
  <c r="J271" i="40"/>
  <c r="J190" i="40" s="1"/>
  <c r="J270" i="40"/>
  <c r="J189" i="40" s="1"/>
  <c r="G78" i="85" s="1"/>
  <c r="J278" i="40"/>
  <c r="J272" i="40"/>
  <c r="J191" i="40" s="1"/>
  <c r="J268" i="40"/>
  <c r="J187" i="40" s="1"/>
  <c r="J174" i="40"/>
  <c r="Q43" i="25"/>
  <c r="F57" i="35" s="1"/>
  <c r="J17" i="47" s="1"/>
  <c r="F89" i="35"/>
  <c r="K22" i="46" s="1"/>
  <c r="H50" i="56"/>
  <c r="H51" i="56" s="1"/>
  <c r="G8" i="52"/>
  <c r="H50" i="70"/>
  <c r="H51" i="70" s="1"/>
  <c r="K42" i="46"/>
  <c r="L46" i="46" s="1"/>
  <c r="F15" i="35"/>
  <c r="J374" i="40"/>
  <c r="J117" i="40"/>
  <c r="J366" i="40" s="1"/>
  <c r="H276" i="40"/>
  <c r="H87" i="40"/>
  <c r="H375" i="40"/>
  <c r="Q44" i="25"/>
  <c r="L31" i="74"/>
  <c r="K80" i="74"/>
  <c r="M348" i="40" s="1"/>
  <c r="K32" i="74"/>
  <c r="K33" i="74" s="1"/>
  <c r="M81" i="40" s="1"/>
  <c r="K81" i="74"/>
  <c r="M370" i="40" s="1"/>
  <c r="K41" i="74"/>
  <c r="K42" i="74" s="1"/>
  <c r="K36" i="74"/>
  <c r="K37" i="74" s="1"/>
  <c r="K38" i="74" s="1"/>
  <c r="M90" i="40" s="1"/>
  <c r="I161" i="40"/>
  <c r="F32" i="85" s="1"/>
  <c r="J64" i="74"/>
  <c r="J65" i="74" s="1"/>
  <c r="J67" i="74" s="1"/>
  <c r="I92" i="40"/>
  <c r="I113" i="40" s="1"/>
  <c r="I114" i="40" s="1"/>
  <c r="M214" i="58" s="1"/>
  <c r="K345" i="40"/>
  <c r="S39" i="25"/>
  <c r="K196" i="40"/>
  <c r="I317" i="40"/>
  <c r="I321" i="40" s="1"/>
  <c r="F78" i="35"/>
  <c r="K9" i="46" s="1"/>
  <c r="J26" i="10"/>
  <c r="K23" i="10"/>
  <c r="N23" i="39"/>
  <c r="AH29" i="25"/>
  <c r="V46" i="35"/>
  <c r="N24" i="67"/>
  <c r="L26" i="10"/>
  <c r="M23" i="10"/>
  <c r="G18" i="66"/>
  <c r="F165" i="40"/>
  <c r="G17" i="9"/>
  <c r="F30" i="40"/>
  <c r="J86" i="60"/>
  <c r="H18" i="66"/>
  <c r="G165" i="40"/>
  <c r="H17" i="9"/>
  <c r="G30" i="40"/>
  <c r="K86" i="60"/>
  <c r="V20" i="35"/>
  <c r="R48" i="46"/>
  <c r="S48" i="46" s="1"/>
  <c r="V22" i="35"/>
  <c r="O9" i="52"/>
  <c r="H46" i="66"/>
  <c r="AG29" i="25"/>
  <c r="AG34" i="25"/>
  <c r="U46" i="35"/>
  <c r="P48" i="46"/>
  <c r="Q48" i="46" s="1"/>
  <c r="U22" i="35"/>
  <c r="N9" i="52"/>
  <c r="G46" i="66"/>
  <c r="U20" i="35"/>
  <c r="N103" i="40"/>
  <c r="D12" i="52"/>
  <c r="O361" i="40"/>
  <c r="P363" i="40" s="1"/>
  <c r="F27" i="65"/>
  <c r="G24" i="65"/>
  <c r="F17" i="46"/>
  <c r="K66" i="74"/>
  <c r="F43" i="11"/>
  <c r="E99" i="74"/>
  <c r="D335" i="40"/>
  <c r="C100" i="35"/>
  <c r="D239" i="40"/>
  <c r="F44" i="64"/>
  <c r="J18" i="35"/>
  <c r="U30" i="25"/>
  <c r="L179" i="40"/>
  <c r="K264" i="40"/>
  <c r="H200" i="40"/>
  <c r="E81" i="85" s="1"/>
  <c r="T30" i="25"/>
  <c r="I18" i="35"/>
  <c r="G35" i="10"/>
  <c r="C19" i="67"/>
  <c r="F39" i="10"/>
  <c r="C18" i="39"/>
  <c r="E58" i="46"/>
  <c r="C33" i="35"/>
  <c r="C35" i="35" s="1"/>
  <c r="M30" i="73"/>
  <c r="I239" i="58"/>
  <c r="F50" i="46"/>
  <c r="P248" i="40"/>
  <c r="P395" i="40" s="1"/>
  <c r="P398" i="40" s="1"/>
  <c r="G94" i="35"/>
  <c r="J236" i="40"/>
  <c r="R49" i="25"/>
  <c r="R194" i="40"/>
  <c r="N246" i="40"/>
  <c r="K41" i="40"/>
  <c r="K62" i="40" s="1"/>
  <c r="N209" i="40"/>
  <c r="N235" i="40"/>
  <c r="K31" i="46"/>
  <c r="K52" i="40"/>
  <c r="K63" i="40" s="1"/>
  <c r="M64" i="40"/>
  <c r="K376" i="40"/>
  <c r="P242" i="40"/>
  <c r="J203" i="40"/>
  <c r="K362" i="40"/>
  <c r="M56" i="40" l="1"/>
  <c r="M61" i="40" s="1"/>
  <c r="N6" i="40"/>
  <c r="N7" i="40" s="1"/>
  <c r="N80" i="40" s="1"/>
  <c r="M217" i="40"/>
  <c r="F92" i="85"/>
  <c r="G37" i="35"/>
  <c r="M63" i="46" s="1"/>
  <c r="G37" i="85"/>
  <c r="F28" i="35"/>
  <c r="K55" i="46" s="1"/>
  <c r="F28" i="85"/>
  <c r="G79" i="85"/>
  <c r="F79" i="85"/>
  <c r="V118" i="85"/>
  <c r="V119" i="85"/>
  <c r="V38" i="85"/>
  <c r="V36" i="85"/>
  <c r="C42" i="35"/>
  <c r="J141" i="85"/>
  <c r="J122" i="85"/>
  <c r="J45" i="85"/>
  <c r="J74" i="85" s="1"/>
  <c r="J106" i="85" s="1"/>
  <c r="J117" i="85" s="1"/>
  <c r="L45" i="74"/>
  <c r="K12" i="85"/>
  <c r="U48" i="85"/>
  <c r="U48" i="35"/>
  <c r="F127" i="35"/>
  <c r="F127" i="85"/>
  <c r="F76" i="85"/>
  <c r="G76" i="85"/>
  <c r="G127" i="85"/>
  <c r="J75" i="74"/>
  <c r="L177" i="40" s="1"/>
  <c r="K403" i="40"/>
  <c r="S46" i="25" s="1"/>
  <c r="D15" i="52"/>
  <c r="H10" i="33"/>
  <c r="I99" i="85"/>
  <c r="I84" i="85"/>
  <c r="L250" i="40"/>
  <c r="L402" i="40" s="1"/>
  <c r="M208" i="40"/>
  <c r="L401" i="40"/>
  <c r="I84" i="35"/>
  <c r="G62" i="35"/>
  <c r="H15" i="53" s="1"/>
  <c r="G62" i="85"/>
  <c r="H65" i="35"/>
  <c r="H65" i="85"/>
  <c r="N13" i="47"/>
  <c r="T9" i="40"/>
  <c r="V16" i="58"/>
  <c r="S23" i="40"/>
  <c r="S20" i="40"/>
  <c r="S17" i="40"/>
  <c r="S14" i="40"/>
  <c r="S10" i="40"/>
  <c r="V34" i="58"/>
  <c r="T31" i="40"/>
  <c r="L385" i="40"/>
  <c r="L386" i="40" s="1"/>
  <c r="L24" i="48"/>
  <c r="K24" i="48"/>
  <c r="K129" i="40"/>
  <c r="K128" i="40"/>
  <c r="E25" i="48"/>
  <c r="H24" i="48"/>
  <c r="C25" i="48" s="1"/>
  <c r="F25" i="48" s="1"/>
  <c r="G25" i="48" s="1"/>
  <c r="X63" i="58"/>
  <c r="W67" i="58"/>
  <c r="V267" i="40" s="1"/>
  <c r="V284" i="40"/>
  <c r="K385" i="40"/>
  <c r="K386" i="40" s="1"/>
  <c r="M380" i="40"/>
  <c r="M381" i="40" s="1"/>
  <c r="J83" i="35"/>
  <c r="H55" i="35"/>
  <c r="H54" i="35"/>
  <c r="N111" i="40"/>
  <c r="L82" i="74"/>
  <c r="N384" i="40" s="1"/>
  <c r="N204" i="40" s="1"/>
  <c r="L14" i="47"/>
  <c r="H12" i="53"/>
  <c r="F79" i="35"/>
  <c r="K10" i="46" s="1"/>
  <c r="Q45" i="25"/>
  <c r="E21" i="35"/>
  <c r="I49" i="46" s="1"/>
  <c r="J49" i="46" s="1"/>
  <c r="K43" i="74"/>
  <c r="M95" i="40" s="1"/>
  <c r="K166" i="40"/>
  <c r="K283" i="40"/>
  <c r="K226" i="40" s="1"/>
  <c r="K282" i="40"/>
  <c r="K225" i="40" s="1"/>
  <c r="K279" i="40"/>
  <c r="K280" i="40"/>
  <c r="K281" i="40"/>
  <c r="O310" i="40"/>
  <c r="F76" i="35"/>
  <c r="K7" i="46" s="1"/>
  <c r="H119" i="40"/>
  <c r="P27" i="25" s="1"/>
  <c r="E46" i="35" s="1"/>
  <c r="H6" i="47" s="1"/>
  <c r="P28" i="25"/>
  <c r="E47" i="35" s="1"/>
  <c r="H7" i="47" s="1"/>
  <c r="O309" i="40"/>
  <c r="J127" i="40"/>
  <c r="O308" i="40"/>
  <c r="H201" i="40"/>
  <c r="O307" i="40"/>
  <c r="L371" i="40"/>
  <c r="L86" i="40"/>
  <c r="L99" i="40" s="1"/>
  <c r="L326" i="40"/>
  <c r="T42" i="25"/>
  <c r="I99" i="35"/>
  <c r="M241" i="40"/>
  <c r="M244" i="40"/>
  <c r="K350" i="40"/>
  <c r="K58" i="74"/>
  <c r="I367" i="40"/>
  <c r="K145" i="40"/>
  <c r="E24" i="66"/>
  <c r="I97" i="40"/>
  <c r="I116" i="40" s="1"/>
  <c r="J224" i="40"/>
  <c r="M372" i="40"/>
  <c r="I84" i="40"/>
  <c r="I87" i="40" s="1"/>
  <c r="I377" i="40"/>
  <c r="I375" i="40" s="1"/>
  <c r="J60" i="74"/>
  <c r="I59" i="74"/>
  <c r="I61" i="74" s="1"/>
  <c r="K351" i="40" s="1"/>
  <c r="J85" i="40"/>
  <c r="J97" i="40" s="1"/>
  <c r="J221" i="40"/>
  <c r="M345" i="40"/>
  <c r="U39" i="25"/>
  <c r="L27" i="65"/>
  <c r="M27" i="65" s="1"/>
  <c r="K24" i="65"/>
  <c r="B39" i="47"/>
  <c r="C20" i="53"/>
  <c r="D21" i="52"/>
  <c r="D13" i="53"/>
  <c r="C25" i="39"/>
  <c r="H85" i="60" s="1"/>
  <c r="C26" i="67"/>
  <c r="D21" i="47"/>
  <c r="L97" i="35"/>
  <c r="P233" i="40"/>
  <c r="N55" i="58"/>
  <c r="N82" i="58"/>
  <c r="N101" i="58"/>
  <c r="J141" i="35"/>
  <c r="J122" i="35"/>
  <c r="J45" i="35"/>
  <c r="J74" i="35" s="1"/>
  <c r="J106" i="35" s="1"/>
  <c r="J117" i="35" s="1"/>
  <c r="K35" i="74"/>
  <c r="K40" i="74" s="1"/>
  <c r="K57" i="74" s="1"/>
  <c r="K63" i="74" s="1"/>
  <c r="K69" i="74" s="1"/>
  <c r="K74" i="74" s="1"/>
  <c r="K79" i="74" s="1"/>
  <c r="K85" i="74" s="1"/>
  <c r="K91" i="74" s="1"/>
  <c r="K3" i="74"/>
  <c r="K98" i="74"/>
  <c r="L45" i="46"/>
  <c r="L6" i="52"/>
  <c r="L5" i="53" s="1"/>
  <c r="L30" i="74"/>
  <c r="O1" i="40"/>
  <c r="L12" i="85" s="1"/>
  <c r="O6" i="58"/>
  <c r="V26" i="25"/>
  <c r="K12" i="35"/>
  <c r="K83" i="74"/>
  <c r="Q38" i="25"/>
  <c r="F32" i="35"/>
  <c r="K59" i="46" s="1"/>
  <c r="L59" i="46" s="1"/>
  <c r="J365" i="40"/>
  <c r="J367" i="40" s="1"/>
  <c r="L196" i="40"/>
  <c r="K263" i="40"/>
  <c r="K178" i="40" s="1"/>
  <c r="K180" i="40" s="1"/>
  <c r="K273" i="40"/>
  <c r="O212" i="58"/>
  <c r="K262" i="40"/>
  <c r="K89" i="40"/>
  <c r="H14" i="35" s="1"/>
  <c r="K277" i="40"/>
  <c r="H13" i="35"/>
  <c r="K275" i="40"/>
  <c r="K149" i="40" s="1"/>
  <c r="K274" i="40"/>
  <c r="H17" i="35"/>
  <c r="K269" i="40"/>
  <c r="K188" i="40" s="1"/>
  <c r="K94" i="40"/>
  <c r="K270" i="40"/>
  <c r="K189" i="40" s="1"/>
  <c r="H78" i="85" s="1"/>
  <c r="K278" i="40"/>
  <c r="K268" i="40"/>
  <c r="K187" i="40" s="1"/>
  <c r="K271" i="40"/>
  <c r="K190" i="40" s="1"/>
  <c r="K272" i="40"/>
  <c r="K191" i="40" s="1"/>
  <c r="K174" i="40"/>
  <c r="H8" i="52"/>
  <c r="M42" i="46"/>
  <c r="N43" i="46" s="1"/>
  <c r="G15" i="35"/>
  <c r="M78" i="40"/>
  <c r="L77" i="40"/>
  <c r="K44" i="46"/>
  <c r="L44" i="46" s="1"/>
  <c r="F19" i="35"/>
  <c r="L43" i="46"/>
  <c r="L56" i="46"/>
  <c r="L47" i="46"/>
  <c r="L63" i="46"/>
  <c r="L42" i="46"/>
  <c r="L51" i="46"/>
  <c r="L55" i="46"/>
  <c r="L57" i="46"/>
  <c r="R44" i="25"/>
  <c r="G79" i="35"/>
  <c r="M10" i="46" s="1"/>
  <c r="L80" i="74"/>
  <c r="N348" i="40" s="1"/>
  <c r="L81" i="74"/>
  <c r="N370" i="40" s="1"/>
  <c r="L41" i="74"/>
  <c r="L42" i="74" s="1"/>
  <c r="L36" i="74"/>
  <c r="L37" i="74" s="1"/>
  <c r="L32" i="74"/>
  <c r="L33" i="74" s="1"/>
  <c r="N81" i="40" s="1"/>
  <c r="G89" i="35"/>
  <c r="M22" i="46" s="1"/>
  <c r="N22" i="46" s="1"/>
  <c r="R43" i="25"/>
  <c r="G57" i="35" s="1"/>
  <c r="L17" i="47" s="1"/>
  <c r="G76" i="35"/>
  <c r="M7" i="46" s="1"/>
  <c r="G127" i="35"/>
  <c r="K64" i="74"/>
  <c r="J317" i="40"/>
  <c r="J321" i="40" s="1"/>
  <c r="G78" i="35"/>
  <c r="M9" i="46" s="1"/>
  <c r="J161" i="40"/>
  <c r="G32" i="85" s="1"/>
  <c r="J92" i="40"/>
  <c r="J113" i="40" s="1"/>
  <c r="J114" i="40" s="1"/>
  <c r="N214" i="58" s="1"/>
  <c r="I55" i="35"/>
  <c r="I54" i="35"/>
  <c r="G88" i="58"/>
  <c r="H19" i="66"/>
  <c r="G168" i="40"/>
  <c r="H18" i="9"/>
  <c r="L35" i="10"/>
  <c r="M26" i="10"/>
  <c r="P6" i="47"/>
  <c r="O10" i="52"/>
  <c r="O12" i="52"/>
  <c r="V31" i="35"/>
  <c r="V23" i="35"/>
  <c r="R50" i="46"/>
  <c r="S50" i="46" s="1"/>
  <c r="O11" i="52"/>
  <c r="O7" i="53" s="1"/>
  <c r="N26" i="67"/>
  <c r="N25" i="39"/>
  <c r="N6" i="47"/>
  <c r="N10" i="53"/>
  <c r="U23" i="35"/>
  <c r="P50" i="46"/>
  <c r="Q50" i="46" s="1"/>
  <c r="U31" i="35"/>
  <c r="N11" i="52"/>
  <c r="N7" i="53" s="1"/>
  <c r="N12" i="52"/>
  <c r="N10" i="52"/>
  <c r="G19" i="66"/>
  <c r="F88" i="58"/>
  <c r="G18" i="9"/>
  <c r="F168" i="40"/>
  <c r="K26" i="10"/>
  <c r="J35" i="10"/>
  <c r="O103" i="40"/>
  <c r="G27" i="65"/>
  <c r="F36" i="65"/>
  <c r="P361" i="40"/>
  <c r="Q363" i="40" s="1"/>
  <c r="E337" i="40"/>
  <c r="O47" i="25" s="1"/>
  <c r="D61" i="85" s="1"/>
  <c r="L264" i="40"/>
  <c r="M179" i="40"/>
  <c r="F47" i="11"/>
  <c r="E33" i="46"/>
  <c r="C102" i="35"/>
  <c r="E90" i="46" s="1"/>
  <c r="E81" i="35"/>
  <c r="H340" i="40"/>
  <c r="H349" i="40" s="1"/>
  <c r="L66" i="74"/>
  <c r="C37" i="39"/>
  <c r="E43" i="9"/>
  <c r="E45" i="66"/>
  <c r="C39" i="67"/>
  <c r="C46" i="67" s="1"/>
  <c r="H107" i="60"/>
  <c r="E44" i="66"/>
  <c r="E26" i="9"/>
  <c r="C38" i="67"/>
  <c r="E47" i="66"/>
  <c r="D257" i="40"/>
  <c r="E42" i="9"/>
  <c r="E43" i="66"/>
  <c r="E44" i="9"/>
  <c r="E27" i="66"/>
  <c r="E46" i="9"/>
  <c r="C38" i="39"/>
  <c r="C45" i="39" s="1"/>
  <c r="E22" i="9"/>
  <c r="E23" i="66"/>
  <c r="F41" i="10"/>
  <c r="G39" i="10"/>
  <c r="K75" i="74"/>
  <c r="M177" i="40" s="1"/>
  <c r="L70" i="74"/>
  <c r="F48" i="64"/>
  <c r="F58" i="46"/>
  <c r="E60" i="46"/>
  <c r="C38" i="35"/>
  <c r="E64" i="46" s="1"/>
  <c r="I9" i="33"/>
  <c r="I29" i="33"/>
  <c r="C36" i="35"/>
  <c r="E91" i="46"/>
  <c r="E62" i="46"/>
  <c r="D13" i="52"/>
  <c r="K27" i="65"/>
  <c r="J36" i="65"/>
  <c r="O235" i="40"/>
  <c r="O64" i="40" s="1"/>
  <c r="O209" i="40"/>
  <c r="Q242" i="40"/>
  <c r="K359" i="40"/>
  <c r="L49" i="40"/>
  <c r="K53" i="40"/>
  <c r="O246" i="40"/>
  <c r="K373" i="40"/>
  <c r="G98" i="35"/>
  <c r="M27" i="46"/>
  <c r="N64" i="40"/>
  <c r="L38" i="40"/>
  <c r="K228" i="40"/>
  <c r="H94" i="85" s="1"/>
  <c r="H98" i="85" s="1"/>
  <c r="Q248" i="40"/>
  <c r="Q395" i="40" s="1"/>
  <c r="Q398" i="40" s="1"/>
  <c r="S194" i="40"/>
  <c r="O6" i="40" l="1"/>
  <c r="O217" i="40" s="1"/>
  <c r="N56" i="40"/>
  <c r="N61" i="40" s="1"/>
  <c r="N217" i="40"/>
  <c r="G92" i="85"/>
  <c r="F66" i="85"/>
  <c r="H79" i="85"/>
  <c r="G28" i="35"/>
  <c r="M55" i="46" s="1"/>
  <c r="G28" i="85"/>
  <c r="H37" i="35"/>
  <c r="H37" i="85"/>
  <c r="L141" i="85"/>
  <c r="L122" i="85"/>
  <c r="L45" i="85"/>
  <c r="L74" i="85" s="1"/>
  <c r="L106" i="85" s="1"/>
  <c r="L117" i="85" s="1"/>
  <c r="N9" i="53"/>
  <c r="N8" i="47"/>
  <c r="K45" i="85"/>
  <c r="K74" i="85" s="1"/>
  <c r="K106" i="85" s="1"/>
  <c r="K117" i="85" s="1"/>
  <c r="K141" i="85"/>
  <c r="K122" i="85"/>
  <c r="H127" i="35"/>
  <c r="H127" i="85"/>
  <c r="H76" i="85"/>
  <c r="Q9" i="33"/>
  <c r="AA10" i="33"/>
  <c r="L23" i="47"/>
  <c r="J99" i="85"/>
  <c r="L403" i="40"/>
  <c r="T46" i="25" s="1"/>
  <c r="I65" i="35"/>
  <c r="I65" i="85"/>
  <c r="P41" i="25"/>
  <c r="E82" i="85"/>
  <c r="E85" i="85" s="1"/>
  <c r="J84" i="85"/>
  <c r="M250" i="40"/>
  <c r="M402" i="40" s="1"/>
  <c r="J84" i="35"/>
  <c r="N208" i="40"/>
  <c r="M401" i="40"/>
  <c r="D39" i="85"/>
  <c r="L129" i="40"/>
  <c r="L128" i="40"/>
  <c r="W34" i="58"/>
  <c r="U31" i="40"/>
  <c r="H25" i="48"/>
  <c r="C26" i="48" s="1"/>
  <c r="F26" i="48" s="1"/>
  <c r="G26" i="48" s="1"/>
  <c r="E26" i="48"/>
  <c r="W284" i="40"/>
  <c r="X67" i="58"/>
  <c r="W267" i="40" s="1"/>
  <c r="W16" i="58"/>
  <c r="U9" i="40"/>
  <c r="I12" i="53"/>
  <c r="K25" i="48"/>
  <c r="L25" i="48"/>
  <c r="T20" i="40"/>
  <c r="T23" i="40"/>
  <c r="T17" i="40"/>
  <c r="T14" i="40"/>
  <c r="T10" i="40"/>
  <c r="O204" i="40"/>
  <c r="N380" i="40"/>
  <c r="N381" i="40" s="1"/>
  <c r="N383" i="40" s="1"/>
  <c r="V40" i="25" s="1"/>
  <c r="K83" i="35"/>
  <c r="M383" i="40"/>
  <c r="M385" i="40"/>
  <c r="F66" i="35"/>
  <c r="J27" i="47" s="1"/>
  <c r="E22" i="35"/>
  <c r="E23" i="35" s="1"/>
  <c r="F8" i="53"/>
  <c r="H120" i="40"/>
  <c r="K127" i="40"/>
  <c r="L58" i="74"/>
  <c r="P29" i="25"/>
  <c r="P111" i="25" s="1"/>
  <c r="P307" i="40"/>
  <c r="L166" i="40"/>
  <c r="L283" i="40"/>
  <c r="L226" i="40" s="1"/>
  <c r="L282" i="40"/>
  <c r="L225" i="40" s="1"/>
  <c r="L279" i="40"/>
  <c r="L281" i="40"/>
  <c r="L280" i="40"/>
  <c r="P309" i="40"/>
  <c r="P308" i="40"/>
  <c r="P310" i="40"/>
  <c r="N241" i="40"/>
  <c r="U42" i="25"/>
  <c r="J99" i="35"/>
  <c r="N244" i="40"/>
  <c r="M326" i="40"/>
  <c r="L350" i="40"/>
  <c r="L145" i="40"/>
  <c r="L374" i="40"/>
  <c r="I343" i="40"/>
  <c r="I119" i="40"/>
  <c r="Q27" i="25" s="1"/>
  <c r="F21" i="35"/>
  <c r="K49" i="46" s="1"/>
  <c r="L49" i="46" s="1"/>
  <c r="Q28" i="25"/>
  <c r="F47" i="35" s="1"/>
  <c r="G8" i="53" s="1"/>
  <c r="I198" i="40"/>
  <c r="I200" i="40" s="1"/>
  <c r="L36" i="65"/>
  <c r="M36" i="65" s="1"/>
  <c r="J116" i="40"/>
  <c r="G21" i="35" s="1"/>
  <c r="M49" i="46" s="1"/>
  <c r="N49" i="46" s="1"/>
  <c r="L38" i="74"/>
  <c r="N90" i="40" s="1"/>
  <c r="L43" i="74"/>
  <c r="N95" i="40" s="1"/>
  <c r="N372" i="40"/>
  <c r="O372" i="40" s="1"/>
  <c r="P372" i="40" s="1"/>
  <c r="Q372" i="40" s="1"/>
  <c r="R45" i="25"/>
  <c r="J84" i="40"/>
  <c r="J87" i="40" s="1"/>
  <c r="I276" i="40"/>
  <c r="K85" i="40"/>
  <c r="K97" i="40" s="1"/>
  <c r="J59" i="74"/>
  <c r="J61" i="74" s="1"/>
  <c r="L351" i="40" s="1"/>
  <c r="K60" i="74"/>
  <c r="V39" i="25"/>
  <c r="N345" i="40"/>
  <c r="L94" i="40"/>
  <c r="I16" i="35" s="1"/>
  <c r="L75" i="74"/>
  <c r="N177" i="40" s="1"/>
  <c r="L117" i="40"/>
  <c r="AB17" i="33"/>
  <c r="L17" i="69"/>
  <c r="L17" i="13"/>
  <c r="M29" i="73" s="1"/>
  <c r="Q233" i="40"/>
  <c r="Q389" i="40" s="1"/>
  <c r="Q392" i="40" s="1"/>
  <c r="M97" i="35"/>
  <c r="P389" i="40"/>
  <c r="P392" i="40" s="1"/>
  <c r="W26" i="25"/>
  <c r="L12" i="35"/>
  <c r="M6" i="52"/>
  <c r="M5" i="53" s="1"/>
  <c r="P1" i="40"/>
  <c r="M12" i="85" s="1"/>
  <c r="P6" i="58"/>
  <c r="L35" i="74"/>
  <c r="L40" i="74" s="1"/>
  <c r="L57" i="74" s="1"/>
  <c r="L63" i="74" s="1"/>
  <c r="L69" i="74" s="1"/>
  <c r="L74" i="74" s="1"/>
  <c r="L79" i="74" s="1"/>
  <c r="L85" i="74" s="1"/>
  <c r="L91" i="74" s="1"/>
  <c r="L98" i="74"/>
  <c r="L3" i="74"/>
  <c r="O101" i="58"/>
  <c r="O55" i="58"/>
  <c r="K141" i="35"/>
  <c r="K122" i="35"/>
  <c r="K45" i="35"/>
  <c r="K74" i="35" s="1"/>
  <c r="K106" i="35" s="1"/>
  <c r="K117" i="35" s="1"/>
  <c r="J12" i="53"/>
  <c r="H76" i="35"/>
  <c r="E82" i="35"/>
  <c r="I13" i="46" s="1"/>
  <c r="H210" i="40"/>
  <c r="K161" i="40"/>
  <c r="K224" i="40"/>
  <c r="H16" i="35"/>
  <c r="K221" i="40"/>
  <c r="N45" i="46"/>
  <c r="K117" i="40"/>
  <c r="K366" i="40" s="1"/>
  <c r="L263" i="40"/>
  <c r="L178" i="40" s="1"/>
  <c r="L180" i="40" s="1"/>
  <c r="L89" i="40"/>
  <c r="L273" i="40"/>
  <c r="I13" i="35"/>
  <c r="J8" i="52" s="1"/>
  <c r="L269" i="40"/>
  <c r="L188" i="40" s="1"/>
  <c r="L275" i="40"/>
  <c r="L149" i="40" s="1"/>
  <c r="P212" i="58"/>
  <c r="L277" i="40"/>
  <c r="I17" i="35"/>
  <c r="L262" i="40"/>
  <c r="L274" i="40"/>
  <c r="L268" i="40"/>
  <c r="L187" i="40" s="1"/>
  <c r="I79" i="85" s="1"/>
  <c r="L270" i="40"/>
  <c r="L189" i="40" s="1"/>
  <c r="I78" i="85" s="1"/>
  <c r="L278" i="40"/>
  <c r="L174" i="40"/>
  <c r="L271" i="40"/>
  <c r="L190" i="40" s="1"/>
  <c r="L272" i="40"/>
  <c r="L191" i="40" s="1"/>
  <c r="N46" i="46"/>
  <c r="M77" i="40"/>
  <c r="N78" i="40"/>
  <c r="H79" i="35"/>
  <c r="S44" i="25"/>
  <c r="L64" i="74"/>
  <c r="L65" i="74" s="1"/>
  <c r="L67" i="74" s="1"/>
  <c r="G32" i="35"/>
  <c r="M59" i="46" s="1"/>
  <c r="N59" i="46" s="1"/>
  <c r="R38" i="25"/>
  <c r="G66" i="85" s="1"/>
  <c r="K374" i="40"/>
  <c r="M44" i="46"/>
  <c r="N44" i="46" s="1"/>
  <c r="G19" i="35"/>
  <c r="K92" i="40"/>
  <c r="K113" i="40" s="1"/>
  <c r="K114" i="40" s="1"/>
  <c r="O214" i="58" s="1"/>
  <c r="S43" i="25"/>
  <c r="H57" i="35" s="1"/>
  <c r="H89" i="35"/>
  <c r="I8" i="52"/>
  <c r="H15" i="35"/>
  <c r="J377" i="40"/>
  <c r="I201" i="40"/>
  <c r="F82" i="85" s="1"/>
  <c r="K65" i="74"/>
  <c r="K67" i="74" s="1"/>
  <c r="N51" i="46"/>
  <c r="N47" i="46"/>
  <c r="N42" i="46"/>
  <c r="N57" i="46"/>
  <c r="N63" i="46"/>
  <c r="N55" i="46"/>
  <c r="N56" i="46"/>
  <c r="F20" i="35"/>
  <c r="G9" i="52"/>
  <c r="G10" i="52" s="1"/>
  <c r="K48" i="46"/>
  <c r="L48" i="46" s="1"/>
  <c r="L83" i="74"/>
  <c r="K317" i="40"/>
  <c r="K321" i="40" s="1"/>
  <c r="H78" i="35"/>
  <c r="M196" i="40"/>
  <c r="N385" i="40"/>
  <c r="N386" i="40" s="1"/>
  <c r="E20" i="67"/>
  <c r="E27" i="67" s="1"/>
  <c r="F247" i="40"/>
  <c r="U100" i="85" s="1"/>
  <c r="U102" i="85" s="1"/>
  <c r="J92" i="60"/>
  <c r="G24" i="9"/>
  <c r="G25" i="66"/>
  <c r="E19" i="39"/>
  <c r="E26" i="39" s="1"/>
  <c r="J81" i="60" s="1"/>
  <c r="U33" i="35"/>
  <c r="U35" i="35" s="1"/>
  <c r="P58" i="46"/>
  <c r="N13" i="53"/>
  <c r="N11" i="47"/>
  <c r="P93" i="46"/>
  <c r="F18" i="39"/>
  <c r="L39" i="10"/>
  <c r="M35" i="10"/>
  <c r="F19" i="67"/>
  <c r="E19" i="67"/>
  <c r="K35" i="10"/>
  <c r="E18" i="39"/>
  <c r="J39" i="10"/>
  <c r="R58" i="46"/>
  <c r="V33" i="35"/>
  <c r="V35" i="35" s="1"/>
  <c r="H24" i="9"/>
  <c r="G247" i="40"/>
  <c r="V100" i="85" s="1"/>
  <c r="V102" i="85" s="1"/>
  <c r="F19" i="39"/>
  <c r="F26" i="39" s="1"/>
  <c r="K81" i="60" s="1"/>
  <c r="H25" i="66"/>
  <c r="K92" i="60"/>
  <c r="F20" i="67"/>
  <c r="F27" i="67" s="1"/>
  <c r="P103" i="40"/>
  <c r="F40" i="65"/>
  <c r="G36" i="65"/>
  <c r="Q361" i="40"/>
  <c r="R363" i="40" s="1"/>
  <c r="R361" i="40" s="1"/>
  <c r="S363" i="40" s="1"/>
  <c r="S361" i="40" s="1"/>
  <c r="T363" i="40" s="1"/>
  <c r="T361" i="40" s="1"/>
  <c r="U363" i="40" s="1"/>
  <c r="O78" i="25"/>
  <c r="E329" i="40"/>
  <c r="E330" i="40" s="1"/>
  <c r="M43" i="39"/>
  <c r="D61" i="35"/>
  <c r="E14" i="52" s="1"/>
  <c r="M44" i="67"/>
  <c r="G41" i="10"/>
  <c r="F44" i="10"/>
  <c r="G44" i="10" s="1"/>
  <c r="E35" i="46"/>
  <c r="I12" i="46"/>
  <c r="E82" i="46"/>
  <c r="I14" i="33"/>
  <c r="D16" i="52"/>
  <c r="C104" i="35"/>
  <c r="E37" i="46" s="1"/>
  <c r="F33" i="46" s="1"/>
  <c r="N179" i="40"/>
  <c r="M264" i="40"/>
  <c r="F49" i="11"/>
  <c r="F50" i="64"/>
  <c r="G48" i="64" s="1"/>
  <c r="C44" i="39"/>
  <c r="C46" i="39"/>
  <c r="H105" i="60" s="1"/>
  <c r="C27" i="39"/>
  <c r="H82" i="60" s="1"/>
  <c r="L24" i="13"/>
  <c r="M36" i="73" s="1"/>
  <c r="L24" i="69"/>
  <c r="C47" i="67"/>
  <c r="C45" i="67"/>
  <c r="C28" i="67"/>
  <c r="F64" i="46"/>
  <c r="F62" i="46"/>
  <c r="AB9" i="33"/>
  <c r="R8" i="33"/>
  <c r="F60" i="46"/>
  <c r="E31" i="33"/>
  <c r="E30" i="33"/>
  <c r="J40" i="65"/>
  <c r="K36" i="65"/>
  <c r="L41" i="40"/>
  <c r="L62" i="40" s="1"/>
  <c r="K236" i="40"/>
  <c r="H94" i="35"/>
  <c r="H98" i="35" s="1"/>
  <c r="S49" i="25"/>
  <c r="R242" i="40"/>
  <c r="L376" i="40"/>
  <c r="P246" i="40"/>
  <c r="K203" i="40"/>
  <c r="K365" i="40" s="1"/>
  <c r="L362" i="40"/>
  <c r="P209" i="40"/>
  <c r="T194" i="40"/>
  <c r="N27" i="46"/>
  <c r="M31" i="46"/>
  <c r="N31" i="46" s="1"/>
  <c r="R248" i="40"/>
  <c r="R395" i="40" s="1"/>
  <c r="R398" i="40" s="1"/>
  <c r="L52" i="40"/>
  <c r="L63" i="40" s="1"/>
  <c r="P235" i="40"/>
  <c r="P64" i="40" s="1"/>
  <c r="O56" i="40" l="1"/>
  <c r="O61" i="40" s="1"/>
  <c r="O7" i="40"/>
  <c r="O80" i="40" s="1"/>
  <c r="P6" i="40"/>
  <c r="P7" i="40" s="1"/>
  <c r="P80" i="40" s="1"/>
  <c r="H32" i="35"/>
  <c r="H32" i="85"/>
  <c r="H92" i="85"/>
  <c r="I37" i="35"/>
  <c r="I37" i="85"/>
  <c r="H28" i="35"/>
  <c r="H28" i="85"/>
  <c r="V110" i="85"/>
  <c r="V111" i="85"/>
  <c r="V109" i="85"/>
  <c r="V104" i="85"/>
  <c r="U111" i="85"/>
  <c r="U110" i="85"/>
  <c r="U109" i="85"/>
  <c r="U104" i="85"/>
  <c r="M122" i="85"/>
  <c r="M45" i="85"/>
  <c r="M74" i="85" s="1"/>
  <c r="M106" i="85" s="1"/>
  <c r="M117" i="85" s="1"/>
  <c r="M141" i="85"/>
  <c r="I76" i="35"/>
  <c r="I127" i="85"/>
  <c r="I76" i="85"/>
  <c r="J65" i="35"/>
  <c r="J65" i="85"/>
  <c r="K99" i="85"/>
  <c r="E52" i="35"/>
  <c r="E52" i="85"/>
  <c r="D44" i="85"/>
  <c r="D43" i="85"/>
  <c r="D40" i="85"/>
  <c r="K84" i="85"/>
  <c r="K84" i="35"/>
  <c r="N250" i="40"/>
  <c r="N402" i="40" s="1"/>
  <c r="O208" i="40"/>
  <c r="N401" i="40"/>
  <c r="H62" i="35"/>
  <c r="I15" i="53" s="1"/>
  <c r="H62" i="85"/>
  <c r="F81" i="35"/>
  <c r="K12" i="46" s="1"/>
  <c r="F81" i="85"/>
  <c r="F85" i="85" s="1"/>
  <c r="M403" i="40"/>
  <c r="U46" i="25" s="1"/>
  <c r="M129" i="40"/>
  <c r="M128" i="40"/>
  <c r="H26" i="48"/>
  <c r="C27" i="48" s="1"/>
  <c r="F27" i="48" s="1"/>
  <c r="G27" i="48" s="1"/>
  <c r="E27" i="48"/>
  <c r="L26" i="48"/>
  <c r="K26" i="48"/>
  <c r="X34" i="58"/>
  <c r="W31" i="40" s="1"/>
  <c r="V31" i="40"/>
  <c r="U23" i="40"/>
  <c r="U20" i="40"/>
  <c r="U17" i="40"/>
  <c r="U14" i="40"/>
  <c r="U10" i="40"/>
  <c r="V9" i="40"/>
  <c r="X16" i="58"/>
  <c r="W9" i="40" s="1"/>
  <c r="M386" i="40"/>
  <c r="U40" i="25"/>
  <c r="P204" i="40"/>
  <c r="O380" i="40"/>
  <c r="O381" i="40" s="1"/>
  <c r="L83" i="35"/>
  <c r="F11" i="52"/>
  <c r="F7" i="53" s="1"/>
  <c r="I50" i="46"/>
  <c r="J50" i="46" s="1"/>
  <c r="K185" i="58"/>
  <c r="L213" i="58" s="1"/>
  <c r="J343" i="40"/>
  <c r="Q308" i="40"/>
  <c r="L127" i="40"/>
  <c r="Q309" i="40"/>
  <c r="Q307" i="40"/>
  <c r="Q310" i="40"/>
  <c r="M166" i="40"/>
  <c r="M283" i="40"/>
  <c r="M226" i="40" s="1"/>
  <c r="M279" i="40"/>
  <c r="M281" i="40"/>
  <c r="M280" i="40"/>
  <c r="M282" i="40"/>
  <c r="M225" i="40" s="1"/>
  <c r="M371" i="40"/>
  <c r="M86" i="40"/>
  <c r="N371" i="40"/>
  <c r="N86" i="40"/>
  <c r="N99" i="40" s="1"/>
  <c r="N117" i="40" s="1"/>
  <c r="V42" i="25"/>
  <c r="O244" i="40"/>
  <c r="N326" i="40"/>
  <c r="O241" i="40"/>
  <c r="K99" i="35"/>
  <c r="I120" i="40"/>
  <c r="M350" i="40"/>
  <c r="F22" i="35"/>
  <c r="G11" i="52" s="1"/>
  <c r="M145" i="40"/>
  <c r="I210" i="40"/>
  <c r="I340" i="40"/>
  <c r="I349" i="40" s="1"/>
  <c r="K116" i="40"/>
  <c r="K343" i="40" s="1"/>
  <c r="J198" i="40"/>
  <c r="J119" i="40"/>
  <c r="R27" i="25" s="1"/>
  <c r="R28" i="25"/>
  <c r="G47" i="35" s="1"/>
  <c r="H8" i="53" s="1"/>
  <c r="L40" i="65"/>
  <c r="L42" i="65" s="1"/>
  <c r="J7" i="47"/>
  <c r="G22" i="35"/>
  <c r="M50" i="46" s="1"/>
  <c r="N50" i="46" s="1"/>
  <c r="F12" i="52"/>
  <c r="G66" i="35"/>
  <c r="L27" i="47" s="1"/>
  <c r="J276" i="40"/>
  <c r="K84" i="40"/>
  <c r="K276" i="40" s="1"/>
  <c r="K59" i="74"/>
  <c r="K61" i="74" s="1"/>
  <c r="M351" i="40" s="1"/>
  <c r="L60" i="74"/>
  <c r="L59" i="74" s="1"/>
  <c r="L61" i="74" s="1"/>
  <c r="N351" i="40" s="1"/>
  <c r="L85" i="40"/>
  <c r="L221" i="40"/>
  <c r="I92" i="85" s="1"/>
  <c r="L224" i="40"/>
  <c r="L366" i="40"/>
  <c r="S38" i="25"/>
  <c r="N107" i="25"/>
  <c r="H20" i="25"/>
  <c r="C19" i="33" s="1"/>
  <c r="U361" i="40"/>
  <c r="V363" i="40" s="1"/>
  <c r="V361" i="40" s="1"/>
  <c r="W363" i="40" s="1"/>
  <c r="W361" i="40" s="1"/>
  <c r="R233" i="40"/>
  <c r="R389" i="40" s="1"/>
  <c r="R392" i="40" s="1"/>
  <c r="N97" i="35"/>
  <c r="P101" i="58"/>
  <c r="P55" i="58"/>
  <c r="M12" i="35"/>
  <c r="Q1" i="40"/>
  <c r="N12" i="85" s="1"/>
  <c r="Q6" i="58"/>
  <c r="X26" i="25"/>
  <c r="L141" i="35"/>
  <c r="L45" i="35"/>
  <c r="L74" i="35" s="1"/>
  <c r="L106" i="35" s="1"/>
  <c r="L117" i="35" s="1"/>
  <c r="L122" i="35"/>
  <c r="E85" i="35"/>
  <c r="I127" i="35"/>
  <c r="I16" i="46"/>
  <c r="S45" i="25"/>
  <c r="I89" i="35"/>
  <c r="T43" i="25"/>
  <c r="I57" i="35" s="1"/>
  <c r="L317" i="40"/>
  <c r="L321" i="40" s="1"/>
  <c r="I78" i="35"/>
  <c r="F46" i="35"/>
  <c r="J6" i="47" s="1"/>
  <c r="Q29" i="25"/>
  <c r="L185" i="58" s="1"/>
  <c r="M213" i="58" s="1"/>
  <c r="I79" i="35"/>
  <c r="T44" i="25"/>
  <c r="I14" i="35"/>
  <c r="I15" i="35" s="1"/>
  <c r="I19" i="35" s="1"/>
  <c r="L161" i="40"/>
  <c r="I32" i="85" s="1"/>
  <c r="M263" i="40"/>
  <c r="M178" i="40" s="1"/>
  <c r="M180" i="40" s="1"/>
  <c r="M269" i="40"/>
  <c r="M188" i="40" s="1"/>
  <c r="J17" i="35"/>
  <c r="Q212" i="58"/>
  <c r="M89" i="40"/>
  <c r="J13" i="35"/>
  <c r="M274" i="40"/>
  <c r="M277" i="40"/>
  <c r="M275" i="40"/>
  <c r="M149" i="40" s="1"/>
  <c r="M174" i="40"/>
  <c r="M273" i="40"/>
  <c r="M262" i="40"/>
  <c r="M94" i="40"/>
  <c r="M268" i="40"/>
  <c r="M187" i="40" s="1"/>
  <c r="M271" i="40"/>
  <c r="M190" i="40" s="1"/>
  <c r="M278" i="40"/>
  <c r="M272" i="40"/>
  <c r="M191" i="40" s="1"/>
  <c r="M270" i="40"/>
  <c r="M189" i="40" s="1"/>
  <c r="J78" i="85" s="1"/>
  <c r="F82" i="35"/>
  <c r="K13" i="46" s="1"/>
  <c r="Q41" i="25"/>
  <c r="M48" i="46"/>
  <c r="N48" i="46" s="1"/>
  <c r="H9" i="52"/>
  <c r="H10" i="52" s="1"/>
  <c r="G20" i="35"/>
  <c r="L92" i="40"/>
  <c r="L113" i="40" s="1"/>
  <c r="N196" i="40"/>
  <c r="J375" i="40"/>
  <c r="H19" i="35"/>
  <c r="K367" i="40"/>
  <c r="N77" i="40"/>
  <c r="O78" i="40"/>
  <c r="K55" i="35"/>
  <c r="K54" i="35"/>
  <c r="M39" i="10"/>
  <c r="L41" i="10"/>
  <c r="N21" i="47"/>
  <c r="N21" i="52"/>
  <c r="N15" i="52"/>
  <c r="P91" i="46"/>
  <c r="U38" i="35"/>
  <c r="P64" i="46" s="1"/>
  <c r="Q64" i="46" s="1"/>
  <c r="U36" i="35"/>
  <c r="P90" i="46"/>
  <c r="N13" i="52"/>
  <c r="P62" i="46"/>
  <c r="Q62" i="46" s="1"/>
  <c r="V36" i="35"/>
  <c r="R62" i="46"/>
  <c r="S62" i="46" s="1"/>
  <c r="R90" i="46"/>
  <c r="O13" i="52"/>
  <c r="V38" i="35"/>
  <c r="R64" i="46" s="1"/>
  <c r="S64" i="46" s="1"/>
  <c r="R91" i="46"/>
  <c r="L43" i="11"/>
  <c r="L47" i="11" s="1"/>
  <c r="V100" i="35"/>
  <c r="L44" i="64"/>
  <c r="L48" i="64" s="1"/>
  <c r="G239" i="40"/>
  <c r="G335" i="40"/>
  <c r="S58" i="46"/>
  <c r="R60" i="46"/>
  <c r="S60" i="46" s="1"/>
  <c r="G99" i="74"/>
  <c r="G101" i="74" s="1"/>
  <c r="F335" i="40"/>
  <c r="J43" i="11"/>
  <c r="J47" i="11" s="1"/>
  <c r="J49" i="11" s="1"/>
  <c r="K21" i="11" s="1"/>
  <c r="J44" i="64"/>
  <c r="F239" i="40"/>
  <c r="U100" i="35"/>
  <c r="K39" i="10"/>
  <c r="J41" i="10"/>
  <c r="Q58" i="46"/>
  <c r="P60" i="46"/>
  <c r="Q60" i="46" s="1"/>
  <c r="Q103" i="40"/>
  <c r="F42" i="65"/>
  <c r="G40" i="65"/>
  <c r="R13" i="33"/>
  <c r="AB14" i="33"/>
  <c r="E12" i="33"/>
  <c r="E13" i="33"/>
  <c r="F35" i="46"/>
  <c r="O179" i="40"/>
  <c r="N264" i="40"/>
  <c r="G19" i="11"/>
  <c r="G20" i="11"/>
  <c r="G36" i="11"/>
  <c r="G16" i="11"/>
  <c r="G26" i="11"/>
  <c r="G22" i="11"/>
  <c r="G34" i="11"/>
  <c r="G35" i="11"/>
  <c r="G42" i="11"/>
  <c r="G25" i="11"/>
  <c r="G41" i="11"/>
  <c r="G45" i="11"/>
  <c r="G24" i="11"/>
  <c r="G38" i="11"/>
  <c r="G48" i="11"/>
  <c r="G37" i="11"/>
  <c r="G44" i="11"/>
  <c r="G30" i="11"/>
  <c r="G23" i="11"/>
  <c r="G29" i="11"/>
  <c r="G15" i="11"/>
  <c r="G49" i="11"/>
  <c r="G40" i="11"/>
  <c r="G18" i="11"/>
  <c r="G17" i="11"/>
  <c r="G32" i="11"/>
  <c r="G39" i="11"/>
  <c r="G27" i="11"/>
  <c r="G31" i="11"/>
  <c r="G21" i="11"/>
  <c r="G28" i="11"/>
  <c r="G46" i="11"/>
  <c r="G33" i="11"/>
  <c r="F51" i="11"/>
  <c r="G43" i="11"/>
  <c r="D22" i="52"/>
  <c r="AB18" i="33"/>
  <c r="E81" i="46"/>
  <c r="E14" i="53"/>
  <c r="F22" i="47"/>
  <c r="D39" i="35"/>
  <c r="G47" i="11"/>
  <c r="F36" i="46"/>
  <c r="F23" i="46"/>
  <c r="F32" i="46"/>
  <c r="F28" i="46"/>
  <c r="F21" i="46"/>
  <c r="F29" i="46"/>
  <c r="F22" i="46"/>
  <c r="F31" i="46"/>
  <c r="F30" i="46"/>
  <c r="F27" i="46"/>
  <c r="F25" i="46"/>
  <c r="F34" i="46"/>
  <c r="F26" i="46"/>
  <c r="F24" i="46"/>
  <c r="G32" i="64"/>
  <c r="G45" i="64"/>
  <c r="G50" i="64"/>
  <c r="G20" i="64"/>
  <c r="G33" i="64"/>
  <c r="G37" i="64"/>
  <c r="G47" i="64"/>
  <c r="G28" i="64"/>
  <c r="G16" i="64"/>
  <c r="G23" i="64"/>
  <c r="G17" i="64"/>
  <c r="F52" i="64"/>
  <c r="G41" i="64"/>
  <c r="G49" i="64"/>
  <c r="G38" i="64"/>
  <c r="G27" i="64"/>
  <c r="G42" i="64"/>
  <c r="G36" i="64"/>
  <c r="G22" i="64"/>
  <c r="G24" i="64"/>
  <c r="G21" i="64"/>
  <c r="G30" i="64"/>
  <c r="G39" i="64"/>
  <c r="G46" i="64"/>
  <c r="G40" i="64"/>
  <c r="G18" i="64"/>
  <c r="G43" i="64"/>
  <c r="G19" i="64"/>
  <c r="G35" i="64"/>
  <c r="G29" i="64"/>
  <c r="G25" i="64"/>
  <c r="G31" i="64"/>
  <c r="G26" i="64"/>
  <c r="G34" i="64"/>
  <c r="G44" i="64"/>
  <c r="E80" i="46"/>
  <c r="K40" i="65"/>
  <c r="J42" i="65"/>
  <c r="L373" i="40"/>
  <c r="R372" i="40"/>
  <c r="Q235" i="40"/>
  <c r="U194" i="40"/>
  <c r="S242" i="40"/>
  <c r="L359" i="40"/>
  <c r="Q209" i="40"/>
  <c r="Q246" i="40"/>
  <c r="L53" i="40"/>
  <c r="M49" i="40"/>
  <c r="S248" i="40"/>
  <c r="S395" i="40" s="1"/>
  <c r="S398" i="40" s="1"/>
  <c r="M38" i="40"/>
  <c r="L228" i="40"/>
  <c r="I94" i="85" s="1"/>
  <c r="I98" i="85" s="1"/>
  <c r="Q6" i="40" l="1"/>
  <c r="Q56" i="40" s="1"/>
  <c r="P56" i="40"/>
  <c r="P61" i="40" s="1"/>
  <c r="P217" i="40"/>
  <c r="H66" i="85"/>
  <c r="J37" i="35"/>
  <c r="J37" i="85"/>
  <c r="J79" i="85"/>
  <c r="I28" i="35"/>
  <c r="I28" i="85"/>
  <c r="N141" i="85"/>
  <c r="N122" i="85"/>
  <c r="N45" i="85"/>
  <c r="N74" i="85" s="1"/>
  <c r="N106" i="85" s="1"/>
  <c r="N117" i="85" s="1"/>
  <c r="J127" i="85"/>
  <c r="J76" i="85"/>
  <c r="L99" i="85"/>
  <c r="N403" i="40"/>
  <c r="V46" i="25" s="1"/>
  <c r="F52" i="35"/>
  <c r="G11" i="53" s="1"/>
  <c r="F52" i="85"/>
  <c r="L84" i="85"/>
  <c r="O250" i="40"/>
  <c r="O402" i="40" s="1"/>
  <c r="P208" i="40"/>
  <c r="O401" i="40"/>
  <c r="L84" i="35"/>
  <c r="F11" i="53"/>
  <c r="H12" i="47"/>
  <c r="K65" i="35"/>
  <c r="K65" i="85"/>
  <c r="D43" i="35"/>
  <c r="D44" i="35"/>
  <c r="W23" i="40"/>
  <c r="W20" i="40"/>
  <c r="W17" i="40"/>
  <c r="W14" i="40"/>
  <c r="W10" i="40"/>
  <c r="V17" i="40"/>
  <c r="V23" i="40"/>
  <c r="V20" i="40"/>
  <c r="V14" i="40"/>
  <c r="V10" i="40"/>
  <c r="N129" i="40"/>
  <c r="N128" i="40"/>
  <c r="E28" i="48"/>
  <c r="H27" i="48"/>
  <c r="K27" i="48"/>
  <c r="L27" i="48"/>
  <c r="O383" i="40"/>
  <c r="O385" i="40" s="1"/>
  <c r="J54" i="35"/>
  <c r="J55" i="35"/>
  <c r="Q204" i="40"/>
  <c r="M83" i="35"/>
  <c r="P380" i="40"/>
  <c r="P381" i="40" s="1"/>
  <c r="M127" i="40"/>
  <c r="N166" i="40"/>
  <c r="N283" i="40"/>
  <c r="N226" i="40" s="1"/>
  <c r="N282" i="40"/>
  <c r="N225" i="40" s="1"/>
  <c r="N279" i="40"/>
  <c r="N281" i="40"/>
  <c r="N280" i="40"/>
  <c r="R307" i="40"/>
  <c r="R310" i="40"/>
  <c r="R309" i="40"/>
  <c r="R308" i="40"/>
  <c r="O326" i="40"/>
  <c r="L99" i="35"/>
  <c r="P241" i="40"/>
  <c r="P244" i="40"/>
  <c r="W42" i="25"/>
  <c r="J120" i="40"/>
  <c r="N350" i="40"/>
  <c r="M99" i="40"/>
  <c r="M117" i="40" s="1"/>
  <c r="F23" i="35"/>
  <c r="K50" i="46"/>
  <c r="L50" i="46" s="1"/>
  <c r="K119" i="40"/>
  <c r="S27" i="25" s="1"/>
  <c r="N145" i="40"/>
  <c r="K198" i="40"/>
  <c r="K200" i="40" s="1"/>
  <c r="H21" i="35"/>
  <c r="H22" i="35" s="1"/>
  <c r="H23" i="35" s="1"/>
  <c r="S28" i="25"/>
  <c r="H47" i="35" s="1"/>
  <c r="I8" i="53" s="1"/>
  <c r="J200" i="40"/>
  <c r="G23" i="35"/>
  <c r="H11" i="52"/>
  <c r="H7" i="53" s="1"/>
  <c r="M40" i="65"/>
  <c r="L7" i="47"/>
  <c r="L97" i="40"/>
  <c r="L116" i="40" s="1"/>
  <c r="L84" i="40"/>
  <c r="L87" i="40" s="1"/>
  <c r="K87" i="40"/>
  <c r="N85" i="40"/>
  <c r="M85" i="40"/>
  <c r="M97" i="40" s="1"/>
  <c r="T45" i="25"/>
  <c r="N366" i="40"/>
  <c r="M374" i="40"/>
  <c r="P374" i="40"/>
  <c r="S374" i="40"/>
  <c r="N374" i="40"/>
  <c r="Q374" i="40"/>
  <c r="U374" i="40"/>
  <c r="W374" i="40"/>
  <c r="V374" i="40"/>
  <c r="O374" i="40"/>
  <c r="R374" i="40"/>
  <c r="T374" i="40"/>
  <c r="H66" i="35"/>
  <c r="L12" i="53"/>
  <c r="S233" i="40"/>
  <c r="S389" i="40" s="1"/>
  <c r="S392" i="40" s="1"/>
  <c r="O97" i="35"/>
  <c r="M45" i="35"/>
  <c r="M74" i="35" s="1"/>
  <c r="M106" i="35" s="1"/>
  <c r="M117" i="35" s="1"/>
  <c r="M122" i="35"/>
  <c r="M141" i="35"/>
  <c r="Q55" i="58"/>
  <c r="Q101" i="58"/>
  <c r="N12" i="35"/>
  <c r="R1" i="40"/>
  <c r="O12" i="85" s="1"/>
  <c r="Y26" i="25"/>
  <c r="R6" i="58"/>
  <c r="N263" i="40"/>
  <c r="N178" i="40" s="1"/>
  <c r="N180" i="40" s="1"/>
  <c r="K17" i="35"/>
  <c r="K13" i="35"/>
  <c r="L8" i="52" s="1"/>
  <c r="N277" i="40"/>
  <c r="N269" i="40"/>
  <c r="N188" i="40" s="1"/>
  <c r="N273" i="40"/>
  <c r="N174" i="40"/>
  <c r="N89" i="40"/>
  <c r="N92" i="40" s="1"/>
  <c r="N262" i="40"/>
  <c r="N274" i="40"/>
  <c r="N275" i="40"/>
  <c r="N149" i="40" s="1"/>
  <c r="N272" i="40"/>
  <c r="N191" i="40" s="1"/>
  <c r="N268" i="40"/>
  <c r="N187" i="40" s="1"/>
  <c r="N270" i="40"/>
  <c r="N189" i="40" s="1"/>
  <c r="K78" i="85" s="1"/>
  <c r="N278" i="40"/>
  <c r="N94" i="40"/>
  <c r="N271" i="40"/>
  <c r="N190" i="40" s="1"/>
  <c r="G46" i="35"/>
  <c r="L6" i="47" s="1"/>
  <c r="R29" i="25"/>
  <c r="M185" i="58" s="1"/>
  <c r="N213" i="58" s="1"/>
  <c r="I32" i="35"/>
  <c r="T38" i="25"/>
  <c r="O196" i="40"/>
  <c r="M161" i="40"/>
  <c r="J32" i="85" s="1"/>
  <c r="J127" i="35"/>
  <c r="J76" i="35"/>
  <c r="J14" i="35"/>
  <c r="J15" i="35" s="1"/>
  <c r="G7" i="53"/>
  <c r="G12" i="52"/>
  <c r="F85" i="35"/>
  <c r="M317" i="40"/>
  <c r="M321" i="40" s="1"/>
  <c r="J78" i="35"/>
  <c r="K16" i="46"/>
  <c r="I9" i="52"/>
  <c r="I10" i="52" s="1"/>
  <c r="H20" i="35"/>
  <c r="L114" i="40"/>
  <c r="P214" i="58" s="1"/>
  <c r="U43" i="25"/>
  <c r="J57" i="35" s="1"/>
  <c r="J89" i="35"/>
  <c r="K8" i="52"/>
  <c r="J9" i="52"/>
  <c r="I20" i="35"/>
  <c r="U44" i="25"/>
  <c r="J79" i="35"/>
  <c r="O77" i="40"/>
  <c r="P78" i="40"/>
  <c r="K377" i="40"/>
  <c r="J201" i="40"/>
  <c r="G82" i="85" s="1"/>
  <c r="J16" i="35"/>
  <c r="M221" i="40"/>
  <c r="M224" i="40"/>
  <c r="M92" i="40"/>
  <c r="M113" i="40" s="1"/>
  <c r="K24" i="11"/>
  <c r="K27" i="11"/>
  <c r="K40" i="11"/>
  <c r="K20" i="11"/>
  <c r="K44" i="11"/>
  <c r="K23" i="11"/>
  <c r="K43" i="11"/>
  <c r="K32" i="11"/>
  <c r="K15" i="11"/>
  <c r="K34" i="11"/>
  <c r="K35" i="11"/>
  <c r="K46" i="11"/>
  <c r="K29" i="11"/>
  <c r="K17" i="11"/>
  <c r="J44" i="10"/>
  <c r="K44" i="10" s="1"/>
  <c r="K41" i="10"/>
  <c r="L50" i="64"/>
  <c r="M48" i="64" s="1"/>
  <c r="K30" i="11"/>
  <c r="K36" i="11"/>
  <c r="K26" i="11"/>
  <c r="K48" i="11"/>
  <c r="R33" i="46"/>
  <c r="V102" i="35"/>
  <c r="K38" i="11"/>
  <c r="K16" i="11"/>
  <c r="K31" i="11"/>
  <c r="K49" i="11"/>
  <c r="L49" i="11"/>
  <c r="M47" i="11" s="1"/>
  <c r="K22" i="11"/>
  <c r="K39" i="11"/>
  <c r="K37" i="11"/>
  <c r="J51" i="11"/>
  <c r="K45" i="11"/>
  <c r="P33" i="46"/>
  <c r="U102" i="35"/>
  <c r="K47" i="11"/>
  <c r="K42" i="11"/>
  <c r="K25" i="11"/>
  <c r="K28" i="11"/>
  <c r="K19" i="11"/>
  <c r="G42" i="9"/>
  <c r="G26" i="9"/>
  <c r="G47" i="66"/>
  <c r="G43" i="9"/>
  <c r="G44" i="9"/>
  <c r="G44" i="66"/>
  <c r="E37" i="39"/>
  <c r="E39" i="67"/>
  <c r="E46" i="67" s="1"/>
  <c r="G45" i="66"/>
  <c r="J107" i="60"/>
  <c r="E38" i="39"/>
  <c r="E45" i="39" s="1"/>
  <c r="G46" i="9"/>
  <c r="E38" i="67"/>
  <c r="F257" i="40"/>
  <c r="G43" i="66"/>
  <c r="G27" i="66"/>
  <c r="G22" i="9"/>
  <c r="G23" i="66"/>
  <c r="M41" i="10"/>
  <c r="L44" i="10"/>
  <c r="M44" i="10" s="1"/>
  <c r="K41" i="11"/>
  <c r="K33" i="11"/>
  <c r="K18" i="11"/>
  <c r="J48" i="64"/>
  <c r="G257" i="40"/>
  <c r="H44" i="9"/>
  <c r="H27" i="66"/>
  <c r="H26" i="9"/>
  <c r="H44" i="66"/>
  <c r="F38" i="67"/>
  <c r="K107" i="60"/>
  <c r="H43" i="9"/>
  <c r="H46" i="9"/>
  <c r="H45" i="66"/>
  <c r="F37" i="39"/>
  <c r="H43" i="66"/>
  <c r="F38" i="39"/>
  <c r="F45" i="39" s="1"/>
  <c r="H47" i="66"/>
  <c r="F39" i="67"/>
  <c r="F46" i="67" s="1"/>
  <c r="H42" i="9"/>
  <c r="H22" i="9"/>
  <c r="H23" i="66"/>
  <c r="R103" i="40"/>
  <c r="F45" i="65"/>
  <c r="G45" i="65" s="1"/>
  <c r="G42" i="65"/>
  <c r="O264" i="40"/>
  <c r="P179" i="40"/>
  <c r="F37" i="46"/>
  <c r="G65" i="46"/>
  <c r="M42" i="65"/>
  <c r="L45" i="65"/>
  <c r="M45" i="65" s="1"/>
  <c r="K42" i="65"/>
  <c r="J45" i="65"/>
  <c r="K45" i="65" s="1"/>
  <c r="R246" i="40"/>
  <c r="T242" i="40"/>
  <c r="R235" i="40"/>
  <c r="L203" i="40"/>
  <c r="L365" i="40" s="1"/>
  <c r="L367" i="40" s="1"/>
  <c r="M362" i="40"/>
  <c r="V194" i="40"/>
  <c r="M376" i="40"/>
  <c r="M52" i="40"/>
  <c r="R209" i="40"/>
  <c r="L236" i="40"/>
  <c r="I94" i="35"/>
  <c r="I98" i="35" s="1"/>
  <c r="T49" i="25"/>
  <c r="M41" i="40"/>
  <c r="M62" i="40" s="1"/>
  <c r="T248" i="40"/>
  <c r="Q64" i="40"/>
  <c r="S372" i="40"/>
  <c r="G70" i="46" l="1"/>
  <c r="Q61" i="40"/>
  <c r="Q217" i="40"/>
  <c r="R6" i="40"/>
  <c r="R7" i="40" s="1"/>
  <c r="R80" i="40" s="1"/>
  <c r="Q7" i="40"/>
  <c r="Q80" i="40" s="1"/>
  <c r="K79" i="85"/>
  <c r="I66" i="85"/>
  <c r="K37" i="35"/>
  <c r="K37" i="85"/>
  <c r="J92" i="85"/>
  <c r="J28" i="35"/>
  <c r="J28" i="85"/>
  <c r="O45" i="85"/>
  <c r="O74" i="85" s="1"/>
  <c r="O106" i="85" s="1"/>
  <c r="O117" i="85" s="1"/>
  <c r="O141" i="85"/>
  <c r="O122" i="85"/>
  <c r="K127" i="85"/>
  <c r="K76" i="85"/>
  <c r="J12" i="47"/>
  <c r="O403" i="40"/>
  <c r="W46" i="25" s="1"/>
  <c r="M99" i="85"/>
  <c r="L65" i="35"/>
  <c r="L65" i="85"/>
  <c r="M84" i="85"/>
  <c r="P401" i="40"/>
  <c r="P250" i="40"/>
  <c r="P402" i="40" s="1"/>
  <c r="Q208" i="40"/>
  <c r="M84" i="35"/>
  <c r="J340" i="40"/>
  <c r="J349" i="40" s="1"/>
  <c r="G81" i="85"/>
  <c r="G85" i="85" s="1"/>
  <c r="I62" i="35"/>
  <c r="J15" i="53" s="1"/>
  <c r="I62" i="85"/>
  <c r="H81" i="35"/>
  <c r="H81" i="85"/>
  <c r="C29" i="48"/>
  <c r="F29" i="48" s="1"/>
  <c r="G29" i="48" s="1"/>
  <c r="C28" i="48"/>
  <c r="F28" i="48" s="1"/>
  <c r="G28" i="48" s="1"/>
  <c r="E29" i="48"/>
  <c r="H29" i="48" s="1"/>
  <c r="H28" i="48"/>
  <c r="O129" i="40"/>
  <c r="O128" i="40"/>
  <c r="P383" i="40"/>
  <c r="P385" i="40"/>
  <c r="K12" i="53"/>
  <c r="R204" i="40"/>
  <c r="N83" i="35"/>
  <c r="Q380" i="40"/>
  <c r="Q381" i="40" s="1"/>
  <c r="W40" i="25"/>
  <c r="O386" i="40"/>
  <c r="S310" i="40"/>
  <c r="S308" i="40"/>
  <c r="S309" i="40"/>
  <c r="O283" i="40"/>
  <c r="O226" i="40" s="1"/>
  <c r="O282" i="40"/>
  <c r="O279" i="40"/>
  <c r="O280" i="40"/>
  <c r="O281" i="40"/>
  <c r="S307" i="40"/>
  <c r="P326" i="40"/>
  <c r="M99" i="35"/>
  <c r="H12" i="52"/>
  <c r="Q244" i="40"/>
  <c r="X42" i="25"/>
  <c r="Q241" i="40"/>
  <c r="O166" i="40"/>
  <c r="O350" i="40"/>
  <c r="K120" i="40"/>
  <c r="L343" i="40"/>
  <c r="I21" i="35"/>
  <c r="I22" i="35" s="1"/>
  <c r="J11" i="52" s="1"/>
  <c r="J7" i="53" s="1"/>
  <c r="O145" i="40"/>
  <c r="G81" i="35"/>
  <c r="M12" i="46" s="1"/>
  <c r="K340" i="40"/>
  <c r="K349" i="40" s="1"/>
  <c r="T28" i="25"/>
  <c r="I47" i="35" s="1"/>
  <c r="J8" i="53" s="1"/>
  <c r="N97" i="40"/>
  <c r="N116" i="40" s="1"/>
  <c r="M116" i="40"/>
  <c r="M343" i="40" s="1"/>
  <c r="L119" i="40"/>
  <c r="T27" i="25" s="1"/>
  <c r="L198" i="40"/>
  <c r="L200" i="40" s="1"/>
  <c r="L276" i="40"/>
  <c r="M84" i="40"/>
  <c r="M276" i="40" s="1"/>
  <c r="I66" i="35"/>
  <c r="M366" i="40"/>
  <c r="T233" i="40"/>
  <c r="P97" i="35"/>
  <c r="S1" i="40"/>
  <c r="P12" i="85" s="1"/>
  <c r="O12" i="35"/>
  <c r="Z26" i="25"/>
  <c r="S6" i="58"/>
  <c r="N141" i="35"/>
  <c r="N45" i="35"/>
  <c r="N74" i="35" s="1"/>
  <c r="N106" i="35" s="1"/>
  <c r="N117" i="35" s="1"/>
  <c r="N122" i="35"/>
  <c r="R55" i="58"/>
  <c r="R101" i="58"/>
  <c r="N161" i="40"/>
  <c r="I11" i="52"/>
  <c r="I7" i="53" s="1"/>
  <c r="U45" i="25"/>
  <c r="N113" i="40"/>
  <c r="H46" i="35"/>
  <c r="S29" i="25"/>
  <c r="N185" i="58" s="1"/>
  <c r="O213" i="58" s="1"/>
  <c r="G82" i="35"/>
  <c r="R41" i="25"/>
  <c r="J210" i="40"/>
  <c r="P196" i="40"/>
  <c r="N224" i="40"/>
  <c r="N221" i="40"/>
  <c r="K16" i="35"/>
  <c r="V43" i="25"/>
  <c r="K57" i="35" s="1"/>
  <c r="K89" i="35"/>
  <c r="J10" i="52"/>
  <c r="K78" i="35"/>
  <c r="N317" i="40"/>
  <c r="N321" i="40" s="1"/>
  <c r="K375" i="40"/>
  <c r="K14" i="35"/>
  <c r="K15" i="35" s="1"/>
  <c r="N84" i="40"/>
  <c r="M114" i="40"/>
  <c r="Q214" i="58" s="1"/>
  <c r="P77" i="40"/>
  <c r="Q78" i="40"/>
  <c r="J19" i="35"/>
  <c r="V44" i="25"/>
  <c r="K79" i="35"/>
  <c r="O263" i="40"/>
  <c r="O178" i="40" s="1"/>
  <c r="O180" i="40" s="1"/>
  <c r="O262" i="40"/>
  <c r="O174" i="40"/>
  <c r="L17" i="35"/>
  <c r="O94" i="40"/>
  <c r="O274" i="40"/>
  <c r="O273" i="40"/>
  <c r="O269" i="40"/>
  <c r="O188" i="40" s="1"/>
  <c r="O89" i="40"/>
  <c r="O275" i="40"/>
  <c r="O149" i="40" s="1"/>
  <c r="L13" i="35"/>
  <c r="M8" i="52" s="1"/>
  <c r="L90" i="35"/>
  <c r="O277" i="40"/>
  <c r="O271" i="40"/>
  <c r="O190" i="40" s="1"/>
  <c r="O225" i="40"/>
  <c r="O270" i="40"/>
  <c r="O189" i="40" s="1"/>
  <c r="L78" i="85" s="1"/>
  <c r="O268" i="40"/>
  <c r="O187" i="40" s="1"/>
  <c r="O278" i="40"/>
  <c r="O272" i="40"/>
  <c r="O191" i="40" s="1"/>
  <c r="J32" i="35"/>
  <c r="U38" i="25"/>
  <c r="K76" i="35"/>
  <c r="K127" i="35"/>
  <c r="P82" i="46"/>
  <c r="P80" i="46"/>
  <c r="N16" i="52"/>
  <c r="U104" i="35"/>
  <c r="P37" i="46" s="1"/>
  <c r="Q33" i="46" s="1"/>
  <c r="P35" i="46"/>
  <c r="J50" i="64"/>
  <c r="K48" i="64" s="1"/>
  <c r="O16" i="52"/>
  <c r="R82" i="46"/>
  <c r="R80" i="46"/>
  <c r="V104" i="35"/>
  <c r="R37" i="46" s="1"/>
  <c r="S33" i="46" s="1"/>
  <c r="E44" i="39"/>
  <c r="E46" i="39"/>
  <c r="J105" i="60" s="1"/>
  <c r="E27" i="39"/>
  <c r="J82" i="60" s="1"/>
  <c r="R35" i="46"/>
  <c r="M44" i="64"/>
  <c r="M37" i="64"/>
  <c r="M25" i="64"/>
  <c r="L52" i="64"/>
  <c r="M22" i="64"/>
  <c r="M43" i="64"/>
  <c r="M40" i="64"/>
  <c r="M39" i="64"/>
  <c r="M42" i="64"/>
  <c r="M38" i="64"/>
  <c r="M33" i="64"/>
  <c r="M19" i="64"/>
  <c r="M17" i="64"/>
  <c r="M46" i="64"/>
  <c r="M41" i="64"/>
  <c r="M27" i="64"/>
  <c r="M36" i="64"/>
  <c r="M29" i="64"/>
  <c r="M32" i="64"/>
  <c r="M18" i="64"/>
  <c r="M35" i="64"/>
  <c r="M26" i="64"/>
  <c r="M34" i="64"/>
  <c r="M21" i="64"/>
  <c r="M28" i="64"/>
  <c r="M50" i="64"/>
  <c r="M20" i="64"/>
  <c r="M47" i="64"/>
  <c r="M30" i="64"/>
  <c r="M24" i="64"/>
  <c r="M49" i="64"/>
  <c r="M16" i="64"/>
  <c r="M45" i="64"/>
  <c r="M23" i="64"/>
  <c r="M31" i="64"/>
  <c r="F47" i="67"/>
  <c r="F45" i="67"/>
  <c r="F28" i="67"/>
  <c r="M32" i="11"/>
  <c r="M45" i="11"/>
  <c r="M46" i="11"/>
  <c r="M36" i="11"/>
  <c r="M43" i="11"/>
  <c r="M35" i="11"/>
  <c r="M22" i="11"/>
  <c r="M21" i="11"/>
  <c r="M40" i="11"/>
  <c r="M15" i="11"/>
  <c r="M18" i="11"/>
  <c r="M42" i="11"/>
  <c r="M37" i="11"/>
  <c r="L51" i="11"/>
  <c r="M27" i="11"/>
  <c r="M38" i="11"/>
  <c r="M26" i="11"/>
  <c r="M29" i="11"/>
  <c r="M44" i="11"/>
  <c r="M31" i="11"/>
  <c r="M39" i="11"/>
  <c r="M49" i="11"/>
  <c r="M23" i="11"/>
  <c r="M41" i="11"/>
  <c r="M34" i="11"/>
  <c r="M30" i="11"/>
  <c r="M28" i="11"/>
  <c r="M25" i="11"/>
  <c r="M20" i="11"/>
  <c r="M33" i="11"/>
  <c r="M24" i="11"/>
  <c r="M48" i="11"/>
  <c r="M17" i="11"/>
  <c r="M19" i="11"/>
  <c r="M16" i="11"/>
  <c r="F46" i="39"/>
  <c r="K105" i="60" s="1"/>
  <c r="F44" i="39"/>
  <c r="F27" i="39"/>
  <c r="K82" i="60" s="1"/>
  <c r="E47" i="67"/>
  <c r="E45" i="67"/>
  <c r="E28" i="67"/>
  <c r="S103" i="40"/>
  <c r="P264" i="40"/>
  <c r="Q179" i="40"/>
  <c r="N49" i="40"/>
  <c r="M53" i="40"/>
  <c r="S235" i="40"/>
  <c r="U248" i="40"/>
  <c r="N38" i="40"/>
  <c r="M228" i="40"/>
  <c r="J94" i="85" s="1"/>
  <c r="J98" i="85" s="1"/>
  <c r="S209" i="40"/>
  <c r="M373" i="40"/>
  <c r="M359" i="40"/>
  <c r="U242" i="40"/>
  <c r="T372" i="40"/>
  <c r="T395" i="40"/>
  <c r="T398" i="40" s="1"/>
  <c r="M63" i="40"/>
  <c r="W194" i="40"/>
  <c r="R64" i="40"/>
  <c r="S246" i="40"/>
  <c r="R56" i="40" l="1"/>
  <c r="R61" i="40" s="1"/>
  <c r="R217" i="40"/>
  <c r="S6" i="40"/>
  <c r="S7" i="40" s="1"/>
  <c r="S80" i="40" s="1"/>
  <c r="J66" i="85"/>
  <c r="K92" i="85"/>
  <c r="K32" i="35"/>
  <c r="K32" i="85"/>
  <c r="L37" i="35"/>
  <c r="L37" i="85"/>
  <c r="L79" i="85"/>
  <c r="L76" i="35"/>
  <c r="L127" i="85"/>
  <c r="L76" i="85"/>
  <c r="L125" i="85"/>
  <c r="L126" i="85" s="1"/>
  <c r="P141" i="85"/>
  <c r="P122" i="85"/>
  <c r="P45" i="85"/>
  <c r="P74" i="85" s="1"/>
  <c r="P106" i="85" s="1"/>
  <c r="P117" i="85" s="1"/>
  <c r="N99" i="85"/>
  <c r="P403" i="40"/>
  <c r="X46" i="25" s="1"/>
  <c r="N84" i="85"/>
  <c r="Q401" i="40"/>
  <c r="R208" i="40"/>
  <c r="N84" i="35"/>
  <c r="Q250" i="40"/>
  <c r="Q402" i="40" s="1"/>
  <c r="M65" i="35"/>
  <c r="M65" i="85"/>
  <c r="G52" i="35"/>
  <c r="H11" i="53" s="1"/>
  <c r="G52" i="85"/>
  <c r="L340" i="40"/>
  <c r="L349" i="40" s="1"/>
  <c r="I81" i="85"/>
  <c r="P128" i="40"/>
  <c r="P129" i="40"/>
  <c r="K28" i="48"/>
  <c r="L28" i="48"/>
  <c r="K29" i="48"/>
  <c r="L29" i="48"/>
  <c r="L55" i="35"/>
  <c r="L54" i="35"/>
  <c r="S204" i="40"/>
  <c r="O83" i="35"/>
  <c r="R380" i="40"/>
  <c r="R381" i="40" s="1"/>
  <c r="Q383" i="40"/>
  <c r="X40" i="25"/>
  <c r="P386" i="40"/>
  <c r="T307" i="40"/>
  <c r="T309" i="40"/>
  <c r="P283" i="40"/>
  <c r="P226" i="40" s="1"/>
  <c r="P282" i="40"/>
  <c r="P225" i="40" s="1"/>
  <c r="P280" i="40"/>
  <c r="P281" i="40"/>
  <c r="P279" i="40"/>
  <c r="T308" i="40"/>
  <c r="T310" i="40"/>
  <c r="Q326" i="40"/>
  <c r="R241" i="40"/>
  <c r="N99" i="35"/>
  <c r="R244" i="40"/>
  <c r="L120" i="40"/>
  <c r="Y42" i="25"/>
  <c r="P166" i="40"/>
  <c r="P350" i="40"/>
  <c r="U28" i="25"/>
  <c r="J47" i="35" s="1"/>
  <c r="K8" i="53" s="1"/>
  <c r="M119" i="40"/>
  <c r="U27" i="25" s="1"/>
  <c r="I23" i="35"/>
  <c r="P145" i="40"/>
  <c r="J21" i="35"/>
  <c r="J22" i="35" s="1"/>
  <c r="N343" i="40"/>
  <c r="K21" i="35"/>
  <c r="V28" i="25"/>
  <c r="K47" i="35" s="1"/>
  <c r="L8" i="53" s="1"/>
  <c r="M198" i="40"/>
  <c r="M200" i="40" s="1"/>
  <c r="N119" i="40"/>
  <c r="V27" i="25" s="1"/>
  <c r="K46" i="35" s="1"/>
  <c r="I81" i="35"/>
  <c r="I12" i="52"/>
  <c r="N114" i="40"/>
  <c r="M87" i="40"/>
  <c r="J66" i="35"/>
  <c r="V45" i="25"/>
  <c r="L127" i="35"/>
  <c r="O161" i="40"/>
  <c r="T389" i="40"/>
  <c r="T392" i="40" s="1"/>
  <c r="U233" i="40"/>
  <c r="U389" i="40" s="1"/>
  <c r="U392" i="40" s="1"/>
  <c r="Q97" i="35"/>
  <c r="AA26" i="25"/>
  <c r="P12" i="35"/>
  <c r="T6" i="58"/>
  <c r="T1" i="40"/>
  <c r="Q12" i="85" s="1"/>
  <c r="K19" i="35"/>
  <c r="S55" i="58"/>
  <c r="S101" i="58"/>
  <c r="O141" i="35"/>
  <c r="O45" i="35"/>
  <c r="O74" i="35" s="1"/>
  <c r="O106" i="35" s="1"/>
  <c r="O117" i="35" s="1"/>
  <c r="O122" i="35"/>
  <c r="L125" i="35"/>
  <c r="L126" i="35" s="1"/>
  <c r="O84" i="40"/>
  <c r="L14" i="35"/>
  <c r="L15" i="35" s="1"/>
  <c r="K9" i="52"/>
  <c r="J20" i="35"/>
  <c r="J12" i="52"/>
  <c r="R78" i="40"/>
  <c r="Q77" i="40"/>
  <c r="O221" i="40"/>
  <c r="L92" i="85" s="1"/>
  <c r="O224" i="40"/>
  <c r="L16" i="35"/>
  <c r="L377" i="40"/>
  <c r="K201" i="40"/>
  <c r="H82" i="85" s="1"/>
  <c r="H85" i="85" s="1"/>
  <c r="O92" i="40"/>
  <c r="O113" i="40" s="1"/>
  <c r="P263" i="40"/>
  <c r="P178" i="40" s="1"/>
  <c r="P180" i="40" s="1"/>
  <c r="P275" i="40"/>
  <c r="P149" i="40" s="1"/>
  <c r="P262" i="40"/>
  <c r="P277" i="40"/>
  <c r="P94" i="40"/>
  <c r="P89" i="40"/>
  <c r="P92" i="40" s="1"/>
  <c r="M17" i="35"/>
  <c r="P274" i="40"/>
  <c r="P273" i="40"/>
  <c r="M90" i="35"/>
  <c r="P269" i="40"/>
  <c r="P188" i="40" s="1"/>
  <c r="M13" i="35"/>
  <c r="P174" i="40"/>
  <c r="P268" i="40"/>
  <c r="P187" i="40" s="1"/>
  <c r="P278" i="40"/>
  <c r="P271" i="40"/>
  <c r="P190" i="40" s="1"/>
  <c r="P272" i="40"/>
  <c r="P191" i="40" s="1"/>
  <c r="P270" i="40"/>
  <c r="P189" i="40" s="1"/>
  <c r="M78" i="85" s="1"/>
  <c r="L89" i="35"/>
  <c r="W43" i="25"/>
  <c r="L57" i="35" s="1"/>
  <c r="L78" i="35"/>
  <c r="O317" i="40"/>
  <c r="O321" i="40" s="1"/>
  <c r="N276" i="40"/>
  <c r="N87" i="40"/>
  <c r="Q196" i="40"/>
  <c r="I46" i="35"/>
  <c r="T29" i="25"/>
  <c r="O185" i="58" s="1"/>
  <c r="P213" i="58" s="1"/>
  <c r="L79" i="35"/>
  <c r="W44" i="25"/>
  <c r="M13" i="46"/>
  <c r="M16" i="46" s="1"/>
  <c r="G85" i="35"/>
  <c r="R81" i="46"/>
  <c r="O22" i="52"/>
  <c r="N22" i="52"/>
  <c r="P81" i="46"/>
  <c r="Q35" i="46"/>
  <c r="K35" i="64"/>
  <c r="K36" i="64"/>
  <c r="K50" i="64"/>
  <c r="K42" i="64"/>
  <c r="K40" i="64"/>
  <c r="K49" i="64"/>
  <c r="K37" i="64"/>
  <c r="K33" i="64"/>
  <c r="K16" i="64"/>
  <c r="K25" i="64"/>
  <c r="K18" i="64"/>
  <c r="K43" i="64"/>
  <c r="K29" i="64"/>
  <c r="K31" i="64"/>
  <c r="K38" i="64"/>
  <c r="K23" i="64"/>
  <c r="K27" i="64"/>
  <c r="K45" i="64"/>
  <c r="K17" i="64"/>
  <c r="K34" i="64"/>
  <c r="J52" i="64"/>
  <c r="K28" i="64"/>
  <c r="K39" i="64"/>
  <c r="K26" i="64"/>
  <c r="K46" i="64"/>
  <c r="K30" i="64"/>
  <c r="K21" i="64"/>
  <c r="K32" i="64"/>
  <c r="K22" i="64"/>
  <c r="K41" i="64"/>
  <c r="K19" i="64"/>
  <c r="K24" i="64"/>
  <c r="K20" i="64"/>
  <c r="K47" i="64"/>
  <c r="K44" i="64"/>
  <c r="S35" i="46"/>
  <c r="S32" i="46"/>
  <c r="S30" i="46"/>
  <c r="S27" i="46"/>
  <c r="S36" i="46"/>
  <c r="S29" i="46"/>
  <c r="S26" i="46"/>
  <c r="S23" i="46"/>
  <c r="S34" i="46"/>
  <c r="S25" i="46"/>
  <c r="S22" i="46"/>
  <c r="S28" i="46"/>
  <c r="S21" i="46"/>
  <c r="S24" i="46"/>
  <c r="S31" i="46"/>
  <c r="Q36" i="46"/>
  <c r="Q24" i="46"/>
  <c r="Q27" i="46"/>
  <c r="Q25" i="46"/>
  <c r="Q23" i="46"/>
  <c r="Q28" i="46"/>
  <c r="Q21" i="46"/>
  <c r="Q32" i="46"/>
  <c r="Q31" i="46"/>
  <c r="Q30" i="46"/>
  <c r="Q34" i="46"/>
  <c r="Q29" i="46"/>
  <c r="Q26" i="46"/>
  <c r="Q22" i="46"/>
  <c r="T103" i="40"/>
  <c r="R179" i="40"/>
  <c r="Q264" i="40"/>
  <c r="U372" i="40"/>
  <c r="N362" i="40"/>
  <c r="N359" i="40" s="1"/>
  <c r="M203" i="40"/>
  <c r="M365" i="40" s="1"/>
  <c r="M367" i="40" s="1"/>
  <c r="N41" i="40"/>
  <c r="N62" i="40" s="1"/>
  <c r="T235" i="40"/>
  <c r="T64" i="40" s="1"/>
  <c r="S64" i="40"/>
  <c r="T246" i="40"/>
  <c r="N376" i="40"/>
  <c r="N373" i="40" s="1"/>
  <c r="V248" i="40"/>
  <c r="V395" i="40" s="1"/>
  <c r="V398" i="40" s="1"/>
  <c r="V242" i="40"/>
  <c r="T209" i="40"/>
  <c r="M236" i="40"/>
  <c r="U49" i="25"/>
  <c r="J94" i="35"/>
  <c r="J98" i="35" s="1"/>
  <c r="U395" i="40"/>
  <c r="U398" i="40" s="1"/>
  <c r="N52" i="40"/>
  <c r="N63" i="40" s="1"/>
  <c r="S217" i="40" l="1"/>
  <c r="S56" i="40"/>
  <c r="S61" i="40" s="1"/>
  <c r="T6" i="40"/>
  <c r="T7" i="40" s="1"/>
  <c r="T80" i="40" s="1"/>
  <c r="L31" i="48"/>
  <c r="M127" i="85"/>
  <c r="M76" i="85"/>
  <c r="M125" i="85"/>
  <c r="M126" i="85" s="1"/>
  <c r="M37" i="35"/>
  <c r="M37" i="85"/>
  <c r="M79" i="85"/>
  <c r="L32" i="35"/>
  <c r="L32" i="85"/>
  <c r="L12" i="47"/>
  <c r="Q45" i="85"/>
  <c r="Q74" i="85" s="1"/>
  <c r="Q106" i="85" s="1"/>
  <c r="Q117" i="85" s="1"/>
  <c r="Q141" i="85"/>
  <c r="Q122" i="85"/>
  <c r="Q403" i="40"/>
  <c r="Y46" i="25" s="1"/>
  <c r="O99" i="85"/>
  <c r="J81" i="35"/>
  <c r="J81" i="85"/>
  <c r="K31" i="48"/>
  <c r="C10" i="48" s="1"/>
  <c r="O84" i="85"/>
  <c r="O84" i="35"/>
  <c r="R250" i="40"/>
  <c r="R402" i="40" s="1"/>
  <c r="R401" i="40"/>
  <c r="S208" i="40"/>
  <c r="N65" i="35"/>
  <c r="N65" i="85"/>
  <c r="J62" i="35"/>
  <c r="K15" i="53" s="1"/>
  <c r="J62" i="85"/>
  <c r="Q128" i="40"/>
  <c r="Q129" i="40"/>
  <c r="M12" i="53"/>
  <c r="Y40" i="25"/>
  <c r="M55" i="35"/>
  <c r="M54" i="35"/>
  <c r="Q385" i="40"/>
  <c r="Q386" i="40" s="1"/>
  <c r="R383" i="40"/>
  <c r="R385" i="40" s="1"/>
  <c r="T204" i="40"/>
  <c r="S380" i="40"/>
  <c r="S381" i="40" s="1"/>
  <c r="P83" i="35"/>
  <c r="U310" i="40"/>
  <c r="U308" i="40"/>
  <c r="Q283" i="40"/>
  <c r="Q226" i="40" s="1"/>
  <c r="Q281" i="40"/>
  <c r="Q280" i="40"/>
  <c r="Q279" i="40"/>
  <c r="Q282" i="40"/>
  <c r="Q225" i="40" s="1"/>
  <c r="U309" i="40"/>
  <c r="U307" i="40"/>
  <c r="Z42" i="25"/>
  <c r="R326" i="40"/>
  <c r="S244" i="40"/>
  <c r="S241" i="40"/>
  <c r="O99" i="35"/>
  <c r="M120" i="40"/>
  <c r="Q166" i="40"/>
  <c r="Q350" i="40"/>
  <c r="N120" i="40"/>
  <c r="M340" i="40"/>
  <c r="M349" i="40" s="1"/>
  <c r="Q145" i="40"/>
  <c r="K22" i="35"/>
  <c r="L11" i="52" s="1"/>
  <c r="L7" i="53" s="1"/>
  <c r="V29" i="25"/>
  <c r="N198" i="40"/>
  <c r="K20" i="35"/>
  <c r="L9" i="52"/>
  <c r="L10" i="52" s="1"/>
  <c r="X33" i="25"/>
  <c r="V233" i="40"/>
  <c r="V389" i="40" s="1"/>
  <c r="V392" i="40" s="1"/>
  <c r="R97" i="35"/>
  <c r="Q12" i="35"/>
  <c r="U6" i="58"/>
  <c r="AB26" i="25"/>
  <c r="U1" i="40"/>
  <c r="R12" i="85" s="1"/>
  <c r="T55" i="58"/>
  <c r="T101" i="58"/>
  <c r="P141" i="35"/>
  <c r="P122" i="35"/>
  <c r="P45" i="35"/>
  <c r="P74" i="35" s="1"/>
  <c r="P106" i="35" s="1"/>
  <c r="P117" i="35" s="1"/>
  <c r="L19" i="35"/>
  <c r="L20" i="35" s="1"/>
  <c r="W45" i="25"/>
  <c r="M125" i="35"/>
  <c r="M126" i="35" s="1"/>
  <c r="M127" i="35"/>
  <c r="K10" i="52"/>
  <c r="P113" i="40"/>
  <c r="Q263" i="40"/>
  <c r="Q178" i="40" s="1"/>
  <c r="Q180" i="40" s="1"/>
  <c r="Q275" i="40"/>
  <c r="Q149" i="40" s="1"/>
  <c r="Q274" i="40"/>
  <c r="Q273" i="40"/>
  <c r="Q269" i="40"/>
  <c r="Q188" i="40" s="1"/>
  <c r="N17" i="35"/>
  <c r="Q174" i="40"/>
  <c r="N13" i="35"/>
  <c r="Q262" i="40"/>
  <c r="Q89" i="40"/>
  <c r="Q92" i="40" s="1"/>
  <c r="Q277" i="40"/>
  <c r="Q94" i="40"/>
  <c r="N90" i="35"/>
  <c r="Q271" i="40"/>
  <c r="Q190" i="40" s="1"/>
  <c r="Q278" i="40"/>
  <c r="Q270" i="40"/>
  <c r="Q189" i="40" s="1"/>
  <c r="N78" i="85" s="1"/>
  <c r="Q268" i="40"/>
  <c r="Q187" i="40" s="1"/>
  <c r="Q272" i="40"/>
  <c r="Q191" i="40" s="1"/>
  <c r="M16" i="35"/>
  <c r="P221" i="40"/>
  <c r="P224" i="40"/>
  <c r="S41" i="25"/>
  <c r="H82" i="35"/>
  <c r="H85" i="35" s="1"/>
  <c r="K210" i="40"/>
  <c r="R77" i="40"/>
  <c r="S78" i="40"/>
  <c r="M76" i="35"/>
  <c r="X43" i="25"/>
  <c r="M57" i="35" s="1"/>
  <c r="M89" i="35"/>
  <c r="L375" i="40"/>
  <c r="R196" i="40"/>
  <c r="M79" i="35"/>
  <c r="X44" i="25"/>
  <c r="P161" i="40"/>
  <c r="M78" i="35"/>
  <c r="P317" i="40"/>
  <c r="P321" i="40" s="1"/>
  <c r="K11" i="52"/>
  <c r="K7" i="53" s="1"/>
  <c r="J23" i="35"/>
  <c r="M14" i="35"/>
  <c r="M15" i="35" s="1"/>
  <c r="P84" i="40"/>
  <c r="O119" i="40"/>
  <c r="O114" i="40"/>
  <c r="U29" i="25"/>
  <c r="P185" i="58" s="1"/>
  <c r="Q213" i="58" s="1"/>
  <c r="J46" i="35"/>
  <c r="L129" i="35"/>
  <c r="L128" i="35"/>
  <c r="O87" i="40"/>
  <c r="O276" i="40"/>
  <c r="S37" i="46"/>
  <c r="Q37" i="46"/>
  <c r="U103" i="40"/>
  <c r="S179" i="40"/>
  <c r="R264" i="40"/>
  <c r="O376" i="40"/>
  <c r="O373" i="40" s="1"/>
  <c r="N53" i="40"/>
  <c r="N127" i="40"/>
  <c r="K28" i="85" s="1"/>
  <c r="O49" i="40"/>
  <c r="N203" i="40"/>
  <c r="N365" i="40" s="1"/>
  <c r="N367" i="40" s="1"/>
  <c r="O362" i="40"/>
  <c r="O359" i="40" s="1"/>
  <c r="W242" i="40"/>
  <c r="W248" i="40"/>
  <c r="W395" i="40" s="1"/>
  <c r="W398" i="40" s="1"/>
  <c r="U246" i="40"/>
  <c r="O38" i="40"/>
  <c r="N228" i="40"/>
  <c r="K94" i="85" s="1"/>
  <c r="K98" i="85" s="1"/>
  <c r="U209" i="40"/>
  <c r="U235" i="40"/>
  <c r="U64" i="40" s="1"/>
  <c r="V372" i="40"/>
  <c r="U6" i="40" l="1"/>
  <c r="V6" i="40" s="1"/>
  <c r="W6" i="40" s="1"/>
  <c r="T217" i="40"/>
  <c r="T56" i="40"/>
  <c r="T61" i="40" s="1"/>
  <c r="M48" i="35"/>
  <c r="M73" i="35" s="1"/>
  <c r="M48" i="85"/>
  <c r="M73" i="85" s="1"/>
  <c r="M92" i="85"/>
  <c r="N37" i="35"/>
  <c r="N37" i="85"/>
  <c r="N79" i="85"/>
  <c r="N76" i="35"/>
  <c r="N127" i="85"/>
  <c r="N125" i="85"/>
  <c r="N126" i="85" s="1"/>
  <c r="N76" i="85"/>
  <c r="M32" i="35"/>
  <c r="M32" i="85"/>
  <c r="R45" i="85"/>
  <c r="R74" i="85" s="1"/>
  <c r="R106" i="85" s="1"/>
  <c r="R117" i="85" s="1"/>
  <c r="R141" i="85"/>
  <c r="R122" i="85"/>
  <c r="P99" i="85"/>
  <c r="O65" i="35"/>
  <c r="O65" i="85"/>
  <c r="P84" i="85"/>
  <c r="S250" i="40"/>
  <c r="S402" i="40" s="1"/>
  <c r="T208" i="40"/>
  <c r="S401" i="40"/>
  <c r="P84" i="35"/>
  <c r="H52" i="35"/>
  <c r="I11" i="53" s="1"/>
  <c r="H52" i="85"/>
  <c r="R403" i="40"/>
  <c r="Z46" i="25" s="1"/>
  <c r="R128" i="40"/>
  <c r="R129" i="40"/>
  <c r="U204" i="40"/>
  <c r="Q83" i="35"/>
  <c r="T380" i="40"/>
  <c r="T381" i="40" s="1"/>
  <c r="T383" i="40" s="1"/>
  <c r="R386" i="40"/>
  <c r="Z40" i="25"/>
  <c r="N55" i="35"/>
  <c r="N54" i="35"/>
  <c r="S383" i="40"/>
  <c r="R283" i="40"/>
  <c r="R226" i="40" s="1"/>
  <c r="R282" i="40"/>
  <c r="R225" i="40" s="1"/>
  <c r="R280" i="40"/>
  <c r="R281" i="40"/>
  <c r="R279" i="40"/>
  <c r="V309" i="40"/>
  <c r="V307" i="40"/>
  <c r="V308" i="40"/>
  <c r="V310" i="40"/>
  <c r="AA42" i="25"/>
  <c r="T244" i="40"/>
  <c r="T241" i="40"/>
  <c r="P99" i="35"/>
  <c r="S326" i="40"/>
  <c r="R166" i="40"/>
  <c r="R350" i="40"/>
  <c r="M9" i="52"/>
  <c r="M10" i="52" s="1"/>
  <c r="R145" i="40"/>
  <c r="K23" i="35"/>
  <c r="N200" i="40"/>
  <c r="K81" i="85" s="1"/>
  <c r="O198" i="40"/>
  <c r="L22" i="35"/>
  <c r="M11" i="52" s="1"/>
  <c r="M7" i="53" s="1"/>
  <c r="Q161" i="40"/>
  <c r="N50" i="56"/>
  <c r="M19" i="35"/>
  <c r="M20" i="35" s="1"/>
  <c r="S97" i="35"/>
  <c r="W233" i="40"/>
  <c r="T97" i="35" s="1"/>
  <c r="W389" i="40"/>
  <c r="W392" i="40" s="1"/>
  <c r="N50" i="70"/>
  <c r="V1" i="40"/>
  <c r="S12" i="85" s="1"/>
  <c r="V6" i="58"/>
  <c r="R12" i="35"/>
  <c r="AC26" i="25"/>
  <c r="U55" i="58"/>
  <c r="U101" i="58"/>
  <c r="Q141" i="35"/>
  <c r="Q122" i="35"/>
  <c r="Q45" i="35"/>
  <c r="Q74" i="35" s="1"/>
  <c r="Q106" i="35" s="1"/>
  <c r="Q117" i="35" s="1"/>
  <c r="N127" i="35"/>
  <c r="L12" i="52"/>
  <c r="N125" i="35"/>
  <c r="N126" i="35" s="1"/>
  <c r="Q113" i="40"/>
  <c r="Q114" i="40" s="1"/>
  <c r="S196" i="40"/>
  <c r="S77" i="40"/>
  <c r="T78" i="40"/>
  <c r="Y33" i="25"/>
  <c r="R275" i="40"/>
  <c r="R149" i="40" s="1"/>
  <c r="R263" i="40"/>
  <c r="R178" i="40" s="1"/>
  <c r="R180" i="40" s="1"/>
  <c r="R269" i="40"/>
  <c r="R188" i="40" s="1"/>
  <c r="R94" i="40"/>
  <c r="R262" i="40"/>
  <c r="R277" i="40"/>
  <c r="O13" i="35"/>
  <c r="R174" i="40"/>
  <c r="O90" i="35"/>
  <c r="R274" i="40"/>
  <c r="R273" i="40"/>
  <c r="R89" i="40"/>
  <c r="O17" i="35"/>
  <c r="R272" i="40"/>
  <c r="R191" i="40" s="1"/>
  <c r="R271" i="40"/>
  <c r="R190" i="40" s="1"/>
  <c r="R268" i="40"/>
  <c r="R187" i="40" s="1"/>
  <c r="R278" i="40"/>
  <c r="R270" i="40"/>
  <c r="R189" i="40" s="1"/>
  <c r="O78" i="85" s="1"/>
  <c r="M129" i="35"/>
  <c r="M128" i="35"/>
  <c r="P87" i="40"/>
  <c r="P276" i="40"/>
  <c r="K12" i="52"/>
  <c r="X45" i="25"/>
  <c r="N89" i="35"/>
  <c r="Y43" i="25"/>
  <c r="N57" i="35" s="1"/>
  <c r="W27" i="25"/>
  <c r="O120" i="40"/>
  <c r="M377" i="40"/>
  <c r="L201" i="40"/>
  <c r="I82" i="85" s="1"/>
  <c r="I85" i="85" s="1"/>
  <c r="N79" i="35"/>
  <c r="Y44" i="25"/>
  <c r="Q221" i="40"/>
  <c r="N92" i="85" s="1"/>
  <c r="N16" i="35"/>
  <c r="Q224" i="40"/>
  <c r="P119" i="40"/>
  <c r="P114" i="40"/>
  <c r="Q317" i="40"/>
  <c r="Q321" i="40" s="1"/>
  <c r="N78" i="35"/>
  <c r="Q84" i="40"/>
  <c r="N14" i="35"/>
  <c r="N15" i="35" s="1"/>
  <c r="AB40" i="25"/>
  <c r="V103" i="40"/>
  <c r="T179" i="40"/>
  <c r="S264" i="40"/>
  <c r="N236" i="40"/>
  <c r="K94" i="35"/>
  <c r="K98" i="35" s="1"/>
  <c r="V49" i="25"/>
  <c r="O41" i="40"/>
  <c r="O62" i="40" s="1"/>
  <c r="V246" i="40"/>
  <c r="V235" i="40"/>
  <c r="O52" i="40"/>
  <c r="P376" i="40"/>
  <c r="P373" i="40" s="1"/>
  <c r="W372" i="40"/>
  <c r="V209" i="40"/>
  <c r="P362" i="40"/>
  <c r="P359" i="40" s="1"/>
  <c r="O203" i="40"/>
  <c r="O365" i="40" s="1"/>
  <c r="O367" i="40" s="1"/>
  <c r="K28" i="35"/>
  <c r="V38" i="25"/>
  <c r="V7" i="40" l="1"/>
  <c r="V80" i="40" s="1"/>
  <c r="V56" i="40"/>
  <c r="V217" i="40"/>
  <c r="U7" i="40"/>
  <c r="U80" i="40" s="1"/>
  <c r="U56" i="40"/>
  <c r="U61" i="40" s="1"/>
  <c r="U217" i="40"/>
  <c r="O79" i="85"/>
  <c r="O127" i="35"/>
  <c r="O127" i="85"/>
  <c r="O125" i="85"/>
  <c r="O126" i="85" s="1"/>
  <c r="O76" i="85"/>
  <c r="O37" i="35"/>
  <c r="O37" i="85"/>
  <c r="N48" i="35"/>
  <c r="N73" i="35" s="1"/>
  <c r="N48" i="85"/>
  <c r="N73" i="85" s="1"/>
  <c r="K66" i="35"/>
  <c r="K66" i="85"/>
  <c r="N32" i="35"/>
  <c r="N32" i="85"/>
  <c r="S45" i="85"/>
  <c r="S74" i="85" s="1"/>
  <c r="S106" i="85" s="1"/>
  <c r="S117" i="85" s="1"/>
  <c r="S122" i="85"/>
  <c r="S141" i="85"/>
  <c r="S403" i="40"/>
  <c r="AA46" i="25" s="1"/>
  <c r="Q99" i="85"/>
  <c r="P65" i="35"/>
  <c r="P65" i="85"/>
  <c r="Q84" i="85"/>
  <c r="T250" i="40"/>
  <c r="T402" i="40" s="1"/>
  <c r="Q84" i="35"/>
  <c r="U208" i="40"/>
  <c r="T401" i="40"/>
  <c r="K62" i="35"/>
  <c r="L15" i="53" s="1"/>
  <c r="K62" i="85"/>
  <c r="S128" i="40"/>
  <c r="S129" i="40"/>
  <c r="AA40" i="25"/>
  <c r="O54" i="35"/>
  <c r="O55" i="35"/>
  <c r="T385" i="40"/>
  <c r="T386" i="40" s="1"/>
  <c r="S385" i="40"/>
  <c r="S386" i="40" s="1"/>
  <c r="V204" i="40"/>
  <c r="U380" i="40"/>
  <c r="U381" i="40" s="1"/>
  <c r="R83" i="35"/>
  <c r="U241" i="40"/>
  <c r="W309" i="40"/>
  <c r="W308" i="40"/>
  <c r="S283" i="40"/>
  <c r="S226" i="40" s="1"/>
  <c r="S280" i="40"/>
  <c r="S282" i="40"/>
  <c r="S225" i="40" s="1"/>
  <c r="S279" i="40"/>
  <c r="S281" i="40"/>
  <c r="W307" i="40"/>
  <c r="W310" i="40"/>
  <c r="U244" i="40"/>
  <c r="AB42" i="25"/>
  <c r="Q99" i="35"/>
  <c r="T326" i="40"/>
  <c r="S166" i="40"/>
  <c r="S350" i="40"/>
  <c r="S145" i="40"/>
  <c r="O200" i="40"/>
  <c r="L81" i="85" s="1"/>
  <c r="P198" i="40"/>
  <c r="K81" i="35"/>
  <c r="N340" i="40"/>
  <c r="N349" i="40" s="1"/>
  <c r="L23" i="35"/>
  <c r="O50" i="70"/>
  <c r="O51" i="70" s="1"/>
  <c r="O50" i="56"/>
  <c r="O51" i="56" s="1"/>
  <c r="M22" i="35"/>
  <c r="M23" i="35" s="1"/>
  <c r="N19" i="35"/>
  <c r="N20" i="35" s="1"/>
  <c r="R161" i="40"/>
  <c r="Z44" i="25"/>
  <c r="R141" i="35"/>
  <c r="R45" i="35"/>
  <c r="R74" i="35" s="1"/>
  <c r="R106" i="35" s="1"/>
  <c r="R117" i="35" s="1"/>
  <c r="R122" i="35"/>
  <c r="V55" i="58"/>
  <c r="V101" i="58"/>
  <c r="AD26" i="25"/>
  <c r="W6" i="58"/>
  <c r="W1" i="40"/>
  <c r="T12" i="85" s="1"/>
  <c r="S12" i="35"/>
  <c r="Q119" i="40"/>
  <c r="Y27" i="25" s="1"/>
  <c r="Y45" i="25"/>
  <c r="O76" i="35"/>
  <c r="X27" i="25"/>
  <c r="P120" i="40"/>
  <c r="M375" i="40"/>
  <c r="O78" i="35"/>
  <c r="R317" i="40"/>
  <c r="R321" i="40" s="1"/>
  <c r="N128" i="35"/>
  <c r="Q87" i="40"/>
  <c r="N129" i="35"/>
  <c r="Q276" i="40"/>
  <c r="W29" i="25"/>
  <c r="L46" i="35"/>
  <c r="R221" i="40"/>
  <c r="O16" i="35"/>
  <c r="R224" i="40"/>
  <c r="O125" i="35"/>
  <c r="O126" i="35" s="1"/>
  <c r="O79" i="35"/>
  <c r="Z33" i="25"/>
  <c r="T196" i="40"/>
  <c r="I82" i="35"/>
  <c r="I85" i="35" s="1"/>
  <c r="T41" i="25"/>
  <c r="L210" i="40"/>
  <c r="M12" i="52"/>
  <c r="R92" i="40"/>
  <c r="R113" i="40" s="1"/>
  <c r="O14" i="35"/>
  <c r="O15" i="35" s="1"/>
  <c r="R84" i="40"/>
  <c r="U78" i="40"/>
  <c r="T77" i="40"/>
  <c r="Z43" i="25"/>
  <c r="O57" i="35" s="1"/>
  <c r="O89" i="35"/>
  <c r="S263" i="40"/>
  <c r="S178" i="40" s="1"/>
  <c r="S180" i="40" s="1"/>
  <c r="S262" i="40"/>
  <c r="S273" i="40"/>
  <c r="P17" i="35"/>
  <c r="S275" i="40"/>
  <c r="S149" i="40" s="1"/>
  <c r="S174" i="40"/>
  <c r="S277" i="40"/>
  <c r="S89" i="40"/>
  <c r="P90" i="35"/>
  <c r="P13" i="35"/>
  <c r="S94" i="40"/>
  <c r="S274" i="40"/>
  <c r="S269" i="40"/>
  <c r="S188" i="40" s="1"/>
  <c r="S270" i="40"/>
  <c r="S189" i="40" s="1"/>
  <c r="P78" i="85" s="1"/>
  <c r="S278" i="40"/>
  <c r="S92" i="40"/>
  <c r="S272" i="40"/>
  <c r="S191" i="40" s="1"/>
  <c r="S268" i="40"/>
  <c r="S187" i="40" s="1"/>
  <c r="S271" i="40"/>
  <c r="S190" i="40" s="1"/>
  <c r="Q55" i="35"/>
  <c r="Q54" i="35"/>
  <c r="W103" i="40"/>
  <c r="U179" i="40"/>
  <c r="T264" i="40"/>
  <c r="W7" i="40"/>
  <c r="W80" i="40" s="1"/>
  <c r="W217" i="40"/>
  <c r="W56" i="40"/>
  <c r="W209" i="40"/>
  <c r="W235" i="40"/>
  <c r="W64" i="40" s="1"/>
  <c r="Q376" i="40"/>
  <c r="Q373" i="40" s="1"/>
  <c r="V64" i="40"/>
  <c r="W246" i="40"/>
  <c r="O53" i="40"/>
  <c r="O127" i="40"/>
  <c r="L28" i="85" s="1"/>
  <c r="P49" i="40"/>
  <c r="Q362" i="40"/>
  <c r="Q359" i="40" s="1"/>
  <c r="P203" i="40"/>
  <c r="P365" i="40" s="1"/>
  <c r="P367" i="40" s="1"/>
  <c r="O63" i="40"/>
  <c r="P38" i="40"/>
  <c r="O228" i="40"/>
  <c r="L94" i="85" s="1"/>
  <c r="L98" i="85" s="1"/>
  <c r="V61" i="40" l="1"/>
  <c r="W61" i="40"/>
  <c r="P37" i="35"/>
  <c r="P37" i="85"/>
  <c r="P76" i="35"/>
  <c r="P127" i="85"/>
  <c r="P125" i="85"/>
  <c r="P126" i="85" s="1"/>
  <c r="P76" i="85"/>
  <c r="O32" i="35"/>
  <c r="O32" i="85"/>
  <c r="O48" i="35"/>
  <c r="O73" i="35" s="1"/>
  <c r="O48" i="85"/>
  <c r="O73" i="85" s="1"/>
  <c r="P79" i="85"/>
  <c r="O92" i="85"/>
  <c r="T122" i="85"/>
  <c r="T45" i="85"/>
  <c r="T74" i="85" s="1"/>
  <c r="T106" i="85" s="1"/>
  <c r="T117" i="85" s="1"/>
  <c r="T141" i="85"/>
  <c r="T403" i="40"/>
  <c r="AB46" i="25" s="1"/>
  <c r="R99" i="85"/>
  <c r="R84" i="85"/>
  <c r="R84" i="35"/>
  <c r="U401" i="40"/>
  <c r="U250" i="40"/>
  <c r="U402" i="40" s="1"/>
  <c r="V208" i="40"/>
  <c r="Q65" i="35"/>
  <c r="Q65" i="85"/>
  <c r="I52" i="35"/>
  <c r="J11" i="53" s="1"/>
  <c r="I52" i="85"/>
  <c r="T128" i="40"/>
  <c r="T129" i="40"/>
  <c r="U383" i="40"/>
  <c r="U385" i="40" s="1"/>
  <c r="W204" i="40"/>
  <c r="V380" i="40"/>
  <c r="V381" i="40" s="1"/>
  <c r="S83" i="35"/>
  <c r="P55" i="35"/>
  <c r="P54" i="35"/>
  <c r="AC42" i="25"/>
  <c r="T283" i="40"/>
  <c r="T281" i="40"/>
  <c r="T279" i="40"/>
  <c r="T282" i="40"/>
  <c r="T225" i="40" s="1"/>
  <c r="T280" i="40"/>
  <c r="U326" i="40"/>
  <c r="R99" i="35"/>
  <c r="V244" i="40"/>
  <c r="V241" i="40"/>
  <c r="Q120" i="40"/>
  <c r="T166" i="40"/>
  <c r="T350" i="40"/>
  <c r="T145" i="40"/>
  <c r="Q198" i="40"/>
  <c r="P200" i="40"/>
  <c r="M81" i="85" s="1"/>
  <c r="L81" i="35"/>
  <c r="O340" i="40"/>
  <c r="O349" i="40" s="1"/>
  <c r="S161" i="40"/>
  <c r="N22" i="35"/>
  <c r="N23" i="35" s="1"/>
  <c r="O19" i="35"/>
  <c r="O22" i="35" s="1"/>
  <c r="O23" i="35" s="1"/>
  <c r="AE26" i="25"/>
  <c r="X6" i="58"/>
  <c r="T12" i="35"/>
  <c r="W55" i="58"/>
  <c r="W101" i="58"/>
  <c r="S122" i="35"/>
  <c r="S141" i="35"/>
  <c r="S45" i="35"/>
  <c r="S74" i="35" s="1"/>
  <c r="S106" i="35" s="1"/>
  <c r="S117" i="35" s="1"/>
  <c r="Z45" i="25"/>
  <c r="AA33" i="25"/>
  <c r="P127" i="35"/>
  <c r="P125" i="35"/>
  <c r="P126" i="35" s="1"/>
  <c r="S317" i="40"/>
  <c r="S321" i="40" s="1"/>
  <c r="P78" i="35"/>
  <c r="U196" i="40"/>
  <c r="N46" i="35"/>
  <c r="Y29" i="25"/>
  <c r="R119" i="40"/>
  <c r="R114" i="40"/>
  <c r="P79" i="35"/>
  <c r="AA44" i="25"/>
  <c r="S221" i="40"/>
  <c r="P16" i="35"/>
  <c r="S224" i="40"/>
  <c r="N377" i="40"/>
  <c r="M201" i="40"/>
  <c r="J82" i="85" s="1"/>
  <c r="J85" i="85" s="1"/>
  <c r="S113" i="40"/>
  <c r="T263" i="40"/>
  <c r="T178" i="40" s="1"/>
  <c r="T180" i="40" s="1"/>
  <c r="T226" i="40"/>
  <c r="T89" i="40"/>
  <c r="Q90" i="35"/>
  <c r="T273" i="40"/>
  <c r="Q13" i="35"/>
  <c r="T262" i="40"/>
  <c r="T269" i="40"/>
  <c r="T188" i="40" s="1"/>
  <c r="Q17" i="35"/>
  <c r="T94" i="40"/>
  <c r="T274" i="40"/>
  <c r="T275" i="40"/>
  <c r="T149" i="40" s="1"/>
  <c r="T174" i="40"/>
  <c r="T277" i="40"/>
  <c r="T270" i="40"/>
  <c r="T189" i="40" s="1"/>
  <c r="Q78" i="85" s="1"/>
  <c r="T272" i="40"/>
  <c r="T191" i="40" s="1"/>
  <c r="T268" i="40"/>
  <c r="T187" i="40" s="1"/>
  <c r="T278" i="40"/>
  <c r="T271" i="40"/>
  <c r="T190" i="40" s="1"/>
  <c r="U77" i="40"/>
  <c r="V78" i="40"/>
  <c r="AA43" i="25"/>
  <c r="P57" i="35" s="1"/>
  <c r="P89" i="35"/>
  <c r="S84" i="40"/>
  <c r="P14" i="35"/>
  <c r="P15" i="35" s="1"/>
  <c r="O128" i="35"/>
  <c r="R276" i="40"/>
  <c r="R87" i="40"/>
  <c r="O129" i="35"/>
  <c r="X29" i="25"/>
  <c r="M46" i="35"/>
  <c r="U264" i="40"/>
  <c r="V179" i="40"/>
  <c r="R362" i="40"/>
  <c r="R359" i="40" s="1"/>
  <c r="Q203" i="40"/>
  <c r="Q365" i="40" s="1"/>
  <c r="Q367" i="40" s="1"/>
  <c r="W49" i="25"/>
  <c r="O236" i="40"/>
  <c r="L94" i="35"/>
  <c r="L98" i="35" s="1"/>
  <c r="P52" i="40"/>
  <c r="P63" i="40" s="1"/>
  <c r="P41" i="40"/>
  <c r="W38" i="25"/>
  <c r="L28" i="35"/>
  <c r="R376" i="40"/>
  <c r="R373" i="40" s="1"/>
  <c r="P92" i="85" l="1"/>
  <c r="P32" i="35"/>
  <c r="P32" i="85"/>
  <c r="Q79" i="85"/>
  <c r="Q127" i="85"/>
  <c r="Q125" i="85"/>
  <c r="Q126" i="85" s="1"/>
  <c r="Q76" i="85"/>
  <c r="P48" i="35"/>
  <c r="P73" i="35" s="1"/>
  <c r="P48" i="85"/>
  <c r="P73" i="85" s="1"/>
  <c r="Q37" i="35"/>
  <c r="Q37" i="85"/>
  <c r="L66" i="35"/>
  <c r="L66" i="85"/>
  <c r="S99" i="85"/>
  <c r="R65" i="35"/>
  <c r="R65" i="85"/>
  <c r="U403" i="40"/>
  <c r="AC46" i="25" s="1"/>
  <c r="S84" i="85"/>
  <c r="V250" i="40"/>
  <c r="V402" i="40" s="1"/>
  <c r="S84" i="35"/>
  <c r="W208" i="40"/>
  <c r="V401" i="40"/>
  <c r="L62" i="35"/>
  <c r="M15" i="53" s="1"/>
  <c r="L62" i="85"/>
  <c r="U128" i="40"/>
  <c r="U129" i="40"/>
  <c r="V383" i="40"/>
  <c r="V385" i="40"/>
  <c r="W380" i="40"/>
  <c r="W381" i="40" s="1"/>
  <c r="T83" i="35"/>
  <c r="AC40" i="25"/>
  <c r="U386" i="40"/>
  <c r="U283" i="40"/>
  <c r="U226" i="40" s="1"/>
  <c r="U281" i="40"/>
  <c r="U280" i="40"/>
  <c r="U279" i="40"/>
  <c r="U282" i="40"/>
  <c r="W244" i="40"/>
  <c r="W241" i="40"/>
  <c r="V326" i="40"/>
  <c r="S99" i="35"/>
  <c r="AD42" i="25"/>
  <c r="U166" i="40"/>
  <c r="U350" i="40"/>
  <c r="U145" i="40"/>
  <c r="M81" i="35"/>
  <c r="P340" i="40"/>
  <c r="P349" i="40" s="1"/>
  <c r="R198" i="40"/>
  <c r="Q200" i="40"/>
  <c r="N81" i="85" s="1"/>
  <c r="O20" i="35"/>
  <c r="T141" i="35"/>
  <c r="T45" i="35"/>
  <c r="T74" i="35" s="1"/>
  <c r="T106" i="35" s="1"/>
  <c r="T117" i="35" s="1"/>
  <c r="T122" i="35"/>
  <c r="X101" i="58"/>
  <c r="X55" i="58"/>
  <c r="T161" i="40"/>
  <c r="AB33" i="25"/>
  <c r="AA45" i="25"/>
  <c r="Q127" i="35"/>
  <c r="Z27" i="25"/>
  <c r="R120" i="40"/>
  <c r="T221" i="40"/>
  <c r="T224" i="40"/>
  <c r="Q16" i="35"/>
  <c r="Q89" i="35"/>
  <c r="AB43" i="25"/>
  <c r="Q57" i="35" s="1"/>
  <c r="Q76" i="35"/>
  <c r="N375" i="40"/>
  <c r="Q78" i="35"/>
  <c r="T317" i="40"/>
  <c r="T321" i="40" s="1"/>
  <c r="T84" i="40"/>
  <c r="Q14" i="35"/>
  <c r="Q15" i="35" s="1"/>
  <c r="P128" i="35"/>
  <c r="S276" i="40"/>
  <c r="S87" i="40"/>
  <c r="P129" i="35"/>
  <c r="S119" i="40"/>
  <c r="S114" i="40"/>
  <c r="Q125" i="35"/>
  <c r="Q126" i="35" s="1"/>
  <c r="T92" i="40"/>
  <c r="T113" i="40" s="1"/>
  <c r="J82" i="35"/>
  <c r="J85" i="35" s="1"/>
  <c r="M210" i="40"/>
  <c r="U41" i="25"/>
  <c r="V196" i="40"/>
  <c r="V77" i="40"/>
  <c r="W78" i="40"/>
  <c r="W77" i="40" s="1"/>
  <c r="U263" i="40"/>
  <c r="U178" i="40" s="1"/>
  <c r="U180" i="40" s="1"/>
  <c r="U262" i="40"/>
  <c r="U269" i="40"/>
  <c r="U188" i="40" s="1"/>
  <c r="R90" i="35"/>
  <c r="U89" i="40"/>
  <c r="R17" i="35"/>
  <c r="U277" i="40"/>
  <c r="U94" i="40"/>
  <c r="U275" i="40"/>
  <c r="U149" i="40" s="1"/>
  <c r="R13" i="35"/>
  <c r="U174" i="40"/>
  <c r="U274" i="40"/>
  <c r="U273" i="40"/>
  <c r="U271" i="40"/>
  <c r="U190" i="40" s="1"/>
  <c r="U225" i="40"/>
  <c r="U270" i="40"/>
  <c r="U189" i="40" s="1"/>
  <c r="R78" i="85" s="1"/>
  <c r="U272" i="40"/>
  <c r="U191" i="40" s="1"/>
  <c r="U268" i="40"/>
  <c r="U187" i="40" s="1"/>
  <c r="U278" i="40"/>
  <c r="Q79" i="35"/>
  <c r="AB44" i="25"/>
  <c r="P19" i="35"/>
  <c r="W179" i="40"/>
  <c r="V264" i="40"/>
  <c r="P228" i="40"/>
  <c r="M94" i="85" s="1"/>
  <c r="M98" i="85" s="1"/>
  <c r="Q38" i="40"/>
  <c r="P62" i="40"/>
  <c r="S376" i="40"/>
  <c r="S373" i="40" s="1"/>
  <c r="R203" i="40"/>
  <c r="R365" i="40" s="1"/>
  <c r="R367" i="40" s="1"/>
  <c r="S362" i="40"/>
  <c r="S359" i="40" s="1"/>
  <c r="Q49" i="40"/>
  <c r="P53" i="40"/>
  <c r="P127" i="40"/>
  <c r="M28" i="85" s="1"/>
  <c r="Q92" i="85" l="1"/>
  <c r="R76" i="35"/>
  <c r="R127" i="85"/>
  <c r="R125" i="85"/>
  <c r="R126" i="85" s="1"/>
  <c r="R76" i="85"/>
  <c r="R37" i="35"/>
  <c r="R37" i="85"/>
  <c r="Q48" i="35"/>
  <c r="Q73" i="35" s="1"/>
  <c r="Q48" i="85"/>
  <c r="Q73" i="85" s="1"/>
  <c r="R79" i="85"/>
  <c r="Q32" i="35"/>
  <c r="Q32" i="85"/>
  <c r="T99" i="85"/>
  <c r="J52" i="35"/>
  <c r="K11" i="53" s="1"/>
  <c r="J52" i="85"/>
  <c r="S65" i="35"/>
  <c r="S65" i="85"/>
  <c r="V403" i="40"/>
  <c r="AD46" i="25" s="1"/>
  <c r="T84" i="85"/>
  <c r="W250" i="40"/>
  <c r="W402" i="40" s="1"/>
  <c r="W401" i="40"/>
  <c r="T84" i="35"/>
  <c r="W129" i="40"/>
  <c r="W128" i="40"/>
  <c r="V129" i="40"/>
  <c r="V128" i="40"/>
  <c r="R54" i="35"/>
  <c r="R55" i="35"/>
  <c r="W383" i="40"/>
  <c r="W385" i="40"/>
  <c r="V386" i="40"/>
  <c r="AD40" i="25"/>
  <c r="W350" i="40"/>
  <c r="W283" i="40"/>
  <c r="W226" i="40" s="1"/>
  <c r="W279" i="40"/>
  <c r="W281" i="40"/>
  <c r="W282" i="40"/>
  <c r="W225" i="40" s="1"/>
  <c r="W280" i="40"/>
  <c r="V283" i="40"/>
  <c r="V226" i="40" s="1"/>
  <c r="V279" i="40"/>
  <c r="V282" i="40"/>
  <c r="V225" i="40" s="1"/>
  <c r="V281" i="40"/>
  <c r="V280" i="40"/>
  <c r="T99" i="35"/>
  <c r="W326" i="40"/>
  <c r="AE42" i="25"/>
  <c r="V166" i="40"/>
  <c r="V350" i="40"/>
  <c r="V145" i="40"/>
  <c r="W270" i="40"/>
  <c r="W189" i="40" s="1"/>
  <c r="W166" i="40"/>
  <c r="W145" i="40"/>
  <c r="N81" i="35"/>
  <c r="Q340" i="40"/>
  <c r="Q349" i="40" s="1"/>
  <c r="S198" i="40"/>
  <c r="R200" i="40"/>
  <c r="O81" i="85" s="1"/>
  <c r="W272" i="40"/>
  <c r="W191" i="40" s="1"/>
  <c r="W278" i="40"/>
  <c r="T89" i="35" s="1"/>
  <c r="Q19" i="35"/>
  <c r="Q22" i="35" s="1"/>
  <c r="Q23" i="35" s="1"/>
  <c r="W268" i="40"/>
  <c r="W187" i="40" s="1"/>
  <c r="W271" i="40"/>
  <c r="W190" i="40" s="1"/>
  <c r="AB45" i="25"/>
  <c r="AC33" i="25"/>
  <c r="R125" i="35"/>
  <c r="R126" i="35" s="1"/>
  <c r="R127" i="35"/>
  <c r="O377" i="40"/>
  <c r="N201" i="40"/>
  <c r="K82" i="85" s="1"/>
  <c r="K85" i="85" s="1"/>
  <c r="AA27" i="25"/>
  <c r="S120" i="40"/>
  <c r="T119" i="40"/>
  <c r="T114" i="40"/>
  <c r="P20" i="35"/>
  <c r="P22" i="35"/>
  <c r="P23" i="35" s="1"/>
  <c r="U224" i="40"/>
  <c r="R16" i="35"/>
  <c r="U221" i="40"/>
  <c r="R92" i="85" s="1"/>
  <c r="W196" i="40"/>
  <c r="U161" i="40"/>
  <c r="R89" i="35"/>
  <c r="AC43" i="25"/>
  <c r="R57" i="35" s="1"/>
  <c r="W263" i="40"/>
  <c r="W178" i="40" s="1"/>
  <c r="W180" i="40" s="1"/>
  <c r="W89" i="40"/>
  <c r="T13" i="35"/>
  <c r="W274" i="40"/>
  <c r="W174" i="40"/>
  <c r="W94" i="40"/>
  <c r="W275" i="40"/>
  <c r="W149" i="40" s="1"/>
  <c r="W262" i="40"/>
  <c r="T90" i="35"/>
  <c r="T17" i="35"/>
  <c r="W277" i="40"/>
  <c r="W273" i="40"/>
  <c r="W269" i="40"/>
  <c r="W188" i="40" s="1"/>
  <c r="R79" i="35"/>
  <c r="AC44" i="25"/>
  <c r="V263" i="40"/>
  <c r="V178" i="40" s="1"/>
  <c r="V180" i="40" s="1"/>
  <c r="V274" i="40"/>
  <c r="V269" i="40"/>
  <c r="V188" i="40" s="1"/>
  <c r="V277" i="40"/>
  <c r="V275" i="40"/>
  <c r="V149" i="40" s="1"/>
  <c r="S13" i="35"/>
  <c r="S90" i="35"/>
  <c r="V262" i="40"/>
  <c r="V174" i="40"/>
  <c r="V273" i="40"/>
  <c r="V89" i="40"/>
  <c r="S17" i="35"/>
  <c r="V94" i="40"/>
  <c r="V268" i="40"/>
  <c r="V187" i="40" s="1"/>
  <c r="V271" i="40"/>
  <c r="V190" i="40" s="1"/>
  <c r="V272" i="40"/>
  <c r="V191" i="40" s="1"/>
  <c r="V270" i="40"/>
  <c r="V189" i="40" s="1"/>
  <c r="S78" i="85" s="1"/>
  <c r="V278" i="40"/>
  <c r="U92" i="40"/>
  <c r="U113" i="40" s="1"/>
  <c r="R14" i="35"/>
  <c r="R15" i="35" s="1"/>
  <c r="U84" i="40"/>
  <c r="U317" i="40"/>
  <c r="U321" i="40" s="1"/>
  <c r="R78" i="35"/>
  <c r="Q129" i="35"/>
  <c r="T87" i="40"/>
  <c r="Q128" i="35"/>
  <c r="T276" i="40"/>
  <c r="O46" i="35"/>
  <c r="Z29" i="25"/>
  <c r="W264" i="40"/>
  <c r="X38" i="25"/>
  <c r="M28" i="35"/>
  <c r="T376" i="40"/>
  <c r="T373" i="40" s="1"/>
  <c r="Q41" i="40"/>
  <c r="Q52" i="40"/>
  <c r="Q63" i="40" s="1"/>
  <c r="T362" i="40"/>
  <c r="T359" i="40" s="1"/>
  <c r="S203" i="40"/>
  <c r="S365" i="40" s="1"/>
  <c r="S367" i="40" s="1"/>
  <c r="X49" i="25"/>
  <c r="P236" i="40"/>
  <c r="M94" i="35"/>
  <c r="M98" i="35" s="1"/>
  <c r="S76" i="35" l="1"/>
  <c r="S127" i="85"/>
  <c r="S76" i="85"/>
  <c r="S125" i="85"/>
  <c r="S126" i="85" s="1"/>
  <c r="S79" i="85"/>
  <c r="R32" i="35"/>
  <c r="R32" i="85"/>
  <c r="M66" i="35"/>
  <c r="M66" i="85"/>
  <c r="T127" i="85"/>
  <c r="T125" i="85"/>
  <c r="T126" i="85" s="1"/>
  <c r="T76" i="85"/>
  <c r="S37" i="35"/>
  <c r="S37" i="85"/>
  <c r="T79" i="85"/>
  <c r="T37" i="35"/>
  <c r="T37" i="85"/>
  <c r="R48" i="35"/>
  <c r="R73" i="35" s="1"/>
  <c r="R48" i="85"/>
  <c r="R73" i="85" s="1"/>
  <c r="T78" i="35"/>
  <c r="T78" i="85"/>
  <c r="M62" i="35"/>
  <c r="M62" i="85"/>
  <c r="T65" i="35"/>
  <c r="T65" i="85"/>
  <c r="W403" i="40"/>
  <c r="AE46" i="25" s="1"/>
  <c r="S55" i="35"/>
  <c r="S54" i="35"/>
  <c r="W386" i="40"/>
  <c r="AE40" i="25"/>
  <c r="W317" i="40"/>
  <c r="W321" i="40" s="1"/>
  <c r="O81" i="35"/>
  <c r="R340" i="40"/>
  <c r="R349" i="40" s="1"/>
  <c r="S200" i="40"/>
  <c r="P81" i="85" s="1"/>
  <c r="T198" i="40"/>
  <c r="Q20" i="35"/>
  <c r="T79" i="35"/>
  <c r="R19" i="35"/>
  <c r="R22" i="35" s="1"/>
  <c r="R23" i="35" s="1"/>
  <c r="V161" i="40"/>
  <c r="AC45" i="25"/>
  <c r="AD33" i="25"/>
  <c r="S127" i="35"/>
  <c r="S125" i="35"/>
  <c r="S126" i="35" s="1"/>
  <c r="V92" i="40"/>
  <c r="V113" i="40" s="1"/>
  <c r="V84" i="40"/>
  <c r="S14" i="35"/>
  <c r="S15" i="35" s="1"/>
  <c r="W84" i="40"/>
  <c r="T14" i="35"/>
  <c r="T15" i="35" s="1"/>
  <c r="AB27" i="25"/>
  <c r="T120" i="40"/>
  <c r="U87" i="40"/>
  <c r="U276" i="40"/>
  <c r="R129" i="35"/>
  <c r="R128" i="35"/>
  <c r="T16" i="35"/>
  <c r="W224" i="40"/>
  <c r="W221" i="40"/>
  <c r="V41" i="25"/>
  <c r="K82" i="35"/>
  <c r="K85" i="35" s="1"/>
  <c r="N210" i="40"/>
  <c r="S89" i="35"/>
  <c r="AD43" i="25"/>
  <c r="S57" i="35" s="1"/>
  <c r="V317" i="40"/>
  <c r="V321" i="40" s="1"/>
  <c r="S78" i="35"/>
  <c r="S79" i="35"/>
  <c r="AD44" i="25"/>
  <c r="AE44" i="25"/>
  <c r="P46" i="35"/>
  <c r="AA29" i="25"/>
  <c r="U119" i="40"/>
  <c r="U114" i="40"/>
  <c r="V221" i="40"/>
  <c r="S92" i="85" s="1"/>
  <c r="S16" i="35"/>
  <c r="V224" i="40"/>
  <c r="O375" i="40"/>
  <c r="W92" i="40"/>
  <c r="W113" i="40" s="1"/>
  <c r="W161" i="40"/>
  <c r="AE43" i="25"/>
  <c r="T57" i="35" s="1"/>
  <c r="AE33" i="25"/>
  <c r="T76" i="35"/>
  <c r="T125" i="35"/>
  <c r="T126" i="35" s="1"/>
  <c r="T127" i="35"/>
  <c r="U362" i="40"/>
  <c r="U359" i="40" s="1"/>
  <c r="T203" i="40"/>
  <c r="T365" i="40" s="1"/>
  <c r="T367" i="40" s="1"/>
  <c r="Q53" i="40"/>
  <c r="R49" i="40"/>
  <c r="Q127" i="40"/>
  <c r="N28" i="85" s="1"/>
  <c r="U376" i="40"/>
  <c r="U373" i="40" s="1"/>
  <c r="R38" i="40"/>
  <c r="Q228" i="40"/>
  <c r="N94" i="85" s="1"/>
  <c r="N98" i="85" s="1"/>
  <c r="Q62" i="40"/>
  <c r="T48" i="35" l="1"/>
  <c r="T73" i="35" s="1"/>
  <c r="T48" i="85"/>
  <c r="T73" i="85" s="1"/>
  <c r="S32" i="35"/>
  <c r="S32" i="85"/>
  <c r="T32" i="35"/>
  <c r="T32" i="85"/>
  <c r="T92" i="85"/>
  <c r="S48" i="35"/>
  <c r="S73" i="35" s="1"/>
  <c r="S48" i="85"/>
  <c r="S73" i="85" s="1"/>
  <c r="K52" i="35"/>
  <c r="L11" i="53" s="1"/>
  <c r="K52" i="85"/>
  <c r="T54" i="35"/>
  <c r="T55" i="35"/>
  <c r="T200" i="40"/>
  <c r="Q81" i="85" s="1"/>
  <c r="U198" i="40"/>
  <c r="P81" i="35"/>
  <c r="S340" i="40"/>
  <c r="S349" i="40" s="1"/>
  <c r="S19" i="35"/>
  <c r="S20" i="35" s="1"/>
  <c r="R20" i="35"/>
  <c r="T19" i="35"/>
  <c r="T22" i="35" s="1"/>
  <c r="T23" i="35" s="1"/>
  <c r="AD45" i="25"/>
  <c r="P377" i="40"/>
  <c r="P375" i="40" s="1"/>
  <c r="O201" i="40"/>
  <c r="L82" i="85" s="1"/>
  <c r="L85" i="85" s="1"/>
  <c r="V119" i="40"/>
  <c r="V114" i="40"/>
  <c r="AE45" i="25"/>
  <c r="W119" i="40"/>
  <c r="W114" i="40"/>
  <c r="AC27" i="25"/>
  <c r="U120" i="40"/>
  <c r="W87" i="40"/>
  <c r="T129" i="35"/>
  <c r="W276" i="40"/>
  <c r="T128" i="35"/>
  <c r="AB29" i="25"/>
  <c r="Q46" i="35"/>
  <c r="V276" i="40"/>
  <c r="S129" i="35"/>
  <c r="V87" i="40"/>
  <c r="S128" i="35"/>
  <c r="R41" i="40"/>
  <c r="V376" i="40"/>
  <c r="V373" i="40" s="1"/>
  <c r="N28" i="35"/>
  <c r="Y38" i="25"/>
  <c r="Y49" i="25"/>
  <c r="N94" i="35"/>
  <c r="N98" i="35" s="1"/>
  <c r="Q236" i="40"/>
  <c r="R52" i="40"/>
  <c r="U203" i="40"/>
  <c r="U365" i="40" s="1"/>
  <c r="U367" i="40" s="1"/>
  <c r="V362" i="40"/>
  <c r="V359" i="40" s="1"/>
  <c r="N66" i="35" l="1"/>
  <c r="N66" i="85"/>
  <c r="N62" i="35"/>
  <c r="N62" i="85"/>
  <c r="U200" i="40"/>
  <c r="R81" i="85" s="1"/>
  <c r="V198" i="40"/>
  <c r="Q81" i="35"/>
  <c r="T340" i="40"/>
  <c r="T349" i="40" s="1"/>
  <c r="S22" i="35"/>
  <c r="S23" i="35" s="1"/>
  <c r="T20" i="35"/>
  <c r="AD27" i="25"/>
  <c r="V120" i="40"/>
  <c r="AE27" i="25"/>
  <c r="W120" i="40"/>
  <c r="Q377" i="40"/>
  <c r="Q375" i="40" s="1"/>
  <c r="P201" i="40"/>
  <c r="M82" i="85" s="1"/>
  <c r="M85" i="85" s="1"/>
  <c r="L82" i="35"/>
  <c r="L85" i="35" s="1"/>
  <c r="O210" i="40"/>
  <c r="W41" i="25"/>
  <c r="AC29" i="25"/>
  <c r="R46" i="35"/>
  <c r="R53" i="40"/>
  <c r="R127" i="40"/>
  <c r="O28" i="85" s="1"/>
  <c r="S49" i="40"/>
  <c r="W376" i="40"/>
  <c r="W373" i="40" s="1"/>
  <c r="V203" i="40"/>
  <c r="V365" i="40" s="1"/>
  <c r="V367" i="40" s="1"/>
  <c r="W362" i="40"/>
  <c r="W359" i="40" s="1"/>
  <c r="W203" i="40" s="1"/>
  <c r="W365" i="40" s="1"/>
  <c r="R228" i="40"/>
  <c r="O94" i="85" s="1"/>
  <c r="O98" i="85" s="1"/>
  <c r="S38" i="40"/>
  <c r="R63" i="40"/>
  <c r="R62" i="40"/>
  <c r="L52" i="35" l="1"/>
  <c r="M11" i="53" s="1"/>
  <c r="L52" i="85"/>
  <c r="W198" i="40"/>
  <c r="W200" i="40" s="1"/>
  <c r="T81" i="85" s="1"/>
  <c r="V200" i="40"/>
  <c r="S81" i="85" s="1"/>
  <c r="R81" i="35"/>
  <c r="U340" i="40"/>
  <c r="U349" i="40" s="1"/>
  <c r="X41" i="25"/>
  <c r="P210" i="40"/>
  <c r="M82" i="35"/>
  <c r="M85" i="35" s="1"/>
  <c r="R377" i="40"/>
  <c r="R375" i="40" s="1"/>
  <c r="Q201" i="40"/>
  <c r="N82" i="85" s="1"/>
  <c r="N85" i="85" s="1"/>
  <c r="AE29" i="25"/>
  <c r="T46" i="35"/>
  <c r="S46" i="35"/>
  <c r="AD29" i="25"/>
  <c r="W367" i="40"/>
  <c r="S41" i="40"/>
  <c r="Z49" i="25"/>
  <c r="O94" i="35"/>
  <c r="O98" i="35" s="1"/>
  <c r="R236" i="40"/>
  <c r="S52" i="40"/>
  <c r="Z38" i="25"/>
  <c r="O28" i="35"/>
  <c r="O66" i="35" l="1"/>
  <c r="O66" i="85"/>
  <c r="M52" i="35"/>
  <c r="M52" i="85"/>
  <c r="O62" i="35"/>
  <c r="O62" i="85"/>
  <c r="S81" i="35"/>
  <c r="V340" i="40"/>
  <c r="V349" i="40" s="1"/>
  <c r="T81" i="35"/>
  <c r="W340" i="40"/>
  <c r="W349" i="40" s="1"/>
  <c r="Q210" i="40"/>
  <c r="N82" i="35"/>
  <c r="N85" i="35" s="1"/>
  <c r="Y41" i="25"/>
  <c r="S377" i="40"/>
  <c r="S375" i="40" s="1"/>
  <c r="R201" i="40"/>
  <c r="O82" i="85" s="1"/>
  <c r="O85" i="85" s="1"/>
  <c r="T38" i="40"/>
  <c r="S228" i="40"/>
  <c r="P94" i="85" s="1"/>
  <c r="P98" i="85" s="1"/>
  <c r="T49" i="40"/>
  <c r="S53" i="40"/>
  <c r="S127" i="40"/>
  <c r="P28" i="85" s="1"/>
  <c r="S62" i="40"/>
  <c r="S63" i="40"/>
  <c r="N52" i="35" l="1"/>
  <c r="N52" i="85"/>
  <c r="R210" i="40"/>
  <c r="Z41" i="25"/>
  <c r="O82" i="35"/>
  <c r="O85" i="35" s="1"/>
  <c r="T377" i="40"/>
  <c r="T375" i="40" s="1"/>
  <c r="S201" i="40"/>
  <c r="P82" i="85" s="1"/>
  <c r="P85" i="85" s="1"/>
  <c r="T41" i="40"/>
  <c r="T62" i="40" s="1"/>
  <c r="P28" i="35"/>
  <c r="AA38" i="25"/>
  <c r="T52" i="40"/>
  <c r="T63" i="40" s="1"/>
  <c r="P94" i="35"/>
  <c r="P98" i="35" s="1"/>
  <c r="S236" i="40"/>
  <c r="AA49" i="25"/>
  <c r="P66" i="35" l="1"/>
  <c r="P66" i="85"/>
  <c r="P62" i="35"/>
  <c r="P62" i="85"/>
  <c r="O52" i="35"/>
  <c r="O52" i="85"/>
  <c r="U377" i="40"/>
  <c r="U375" i="40" s="1"/>
  <c r="T201" i="40"/>
  <c r="Q82" i="85" s="1"/>
  <c r="Q85" i="85" s="1"/>
  <c r="S210" i="40"/>
  <c r="AA41" i="25"/>
  <c r="P82" i="35"/>
  <c r="P85" i="35" s="1"/>
  <c r="T127" i="40"/>
  <c r="Q28" i="85" s="1"/>
  <c r="U49" i="40"/>
  <c r="T53" i="40"/>
  <c r="T228" i="40"/>
  <c r="Q94" i="85" s="1"/>
  <c r="Q98" i="85" s="1"/>
  <c r="U38" i="40"/>
  <c r="P52" i="35" l="1"/>
  <c r="P52" i="85"/>
  <c r="V377" i="40"/>
  <c r="V375" i="40" s="1"/>
  <c r="U201" i="40"/>
  <c r="R82" i="85" s="1"/>
  <c r="R85" i="85" s="1"/>
  <c r="Q82" i="35"/>
  <c r="Q85" i="35" s="1"/>
  <c r="T210" i="40"/>
  <c r="AB41" i="25"/>
  <c r="U41" i="40"/>
  <c r="U62" i="40" s="1"/>
  <c r="T236" i="40"/>
  <c r="Q94" i="35"/>
  <c r="Q98" i="35" s="1"/>
  <c r="AB49" i="25"/>
  <c r="U52" i="40"/>
  <c r="AB38" i="25"/>
  <c r="Q28" i="35"/>
  <c r="Q66" i="35" l="1"/>
  <c r="Q66" i="85"/>
  <c r="Q52" i="35"/>
  <c r="Q52" i="85"/>
  <c r="Q62" i="35"/>
  <c r="Q62" i="85"/>
  <c r="U210" i="40"/>
  <c r="AC41" i="25"/>
  <c r="R82" i="35"/>
  <c r="R85" i="35" s="1"/>
  <c r="W377" i="40"/>
  <c r="W375" i="40" s="1"/>
  <c r="W201" i="40" s="1"/>
  <c r="T82" i="85" s="1"/>
  <c r="T85" i="85" s="1"/>
  <c r="V201" i="40"/>
  <c r="S82" i="85" s="1"/>
  <c r="S85" i="85" s="1"/>
  <c r="V49" i="40"/>
  <c r="U127" i="40"/>
  <c r="R28" i="85" s="1"/>
  <c r="U53" i="40"/>
  <c r="U63" i="40"/>
  <c r="V38" i="40"/>
  <c r="U228" i="40"/>
  <c r="R94" i="85" s="1"/>
  <c r="R98" i="85" s="1"/>
  <c r="R52" i="35" l="1"/>
  <c r="R52" i="85"/>
  <c r="AD41" i="25"/>
  <c r="S82" i="35"/>
  <c r="S85" i="35" s="1"/>
  <c r="V210" i="40"/>
  <c r="W210" i="40"/>
  <c r="T82" i="35"/>
  <c r="T85" i="35" s="1"/>
  <c r="AE41" i="25"/>
  <c r="V41" i="40"/>
  <c r="R28" i="35"/>
  <c r="AC38" i="25"/>
  <c r="R94" i="35"/>
  <c r="R98" i="35" s="1"/>
  <c r="AC49" i="25"/>
  <c r="U236" i="40"/>
  <c r="V52" i="40"/>
  <c r="V63" i="40" s="1"/>
  <c r="R66" i="35" l="1"/>
  <c r="R66" i="85"/>
  <c r="S52" i="35"/>
  <c r="S52" i="85"/>
  <c r="R62" i="35"/>
  <c r="R62" i="85"/>
  <c r="T52" i="35"/>
  <c r="T52" i="85"/>
  <c r="V127" i="40"/>
  <c r="S28" i="85" s="1"/>
  <c r="W49" i="40"/>
  <c r="V53" i="40"/>
  <c r="V228" i="40"/>
  <c r="S94" i="85" s="1"/>
  <c r="S98" i="85" s="1"/>
  <c r="W38" i="40"/>
  <c r="V62" i="40"/>
  <c r="W41" i="40" l="1"/>
  <c r="W228" i="40" s="1"/>
  <c r="T94" i="85" s="1"/>
  <c r="T98" i="85" s="1"/>
  <c r="V236" i="40"/>
  <c r="S94" i="35"/>
  <c r="S98" i="35" s="1"/>
  <c r="AD49" i="25"/>
  <c r="W52" i="40"/>
  <c r="AD38" i="25"/>
  <c r="S28" i="35"/>
  <c r="S66" i="35" l="1"/>
  <c r="S66" i="85"/>
  <c r="S62" i="35"/>
  <c r="S62" i="85"/>
  <c r="W62" i="40"/>
  <c r="W127" i="40"/>
  <c r="T28" i="85" s="1"/>
  <c r="W53" i="40"/>
  <c r="W63" i="40"/>
  <c r="AE49" i="25"/>
  <c r="W236" i="40"/>
  <c r="T94" i="35"/>
  <c r="T98" i="35" s="1"/>
  <c r="T62" i="35" l="1"/>
  <c r="T62" i="85"/>
  <c r="AE38" i="25"/>
  <c r="T28" i="35"/>
  <c r="T66" i="35" l="1"/>
  <c r="T66" i="85"/>
  <c r="B44" i="35"/>
  <c r="C71" i="46" l="1"/>
  <c r="F337" i="40"/>
  <c r="AG47" i="25" s="1"/>
  <c r="E100" i="74" l="1"/>
  <c r="E101" i="74" s="1"/>
  <c r="N27" i="47"/>
  <c r="AG55" i="25"/>
  <c r="F329" i="40"/>
  <c r="F330" i="40" s="1"/>
  <c r="N14" i="52"/>
  <c r="N14" i="53" s="1"/>
  <c r="N22" i="47" l="1"/>
  <c r="N28" i="47" l="1"/>
  <c r="N18" i="53"/>
  <c r="P66" i="46"/>
  <c r="Q66" i="46" s="1"/>
  <c r="P65" i="46"/>
  <c r="Q65" i="46" s="1"/>
  <c r="P71" i="46"/>
  <c r="N30" i="47" l="1"/>
  <c r="N34" i="47" l="1"/>
  <c r="N20" i="53"/>
  <c r="N39" i="47" l="1"/>
  <c r="H222" i="40" l="1"/>
  <c r="E91" i="85" s="1"/>
  <c r="I222" i="40"/>
  <c r="J222" i="40"/>
  <c r="K222" i="40"/>
  <c r="L222" i="40"/>
  <c r="M222" i="40"/>
  <c r="N222" i="40"/>
  <c r="O222" i="40"/>
  <c r="P222" i="40"/>
  <c r="P318" i="40" s="1"/>
  <c r="Q222" i="40"/>
  <c r="R222" i="40"/>
  <c r="S222" i="40"/>
  <c r="T222" i="40"/>
  <c r="U222" i="40"/>
  <c r="V222" i="40"/>
  <c r="W222" i="40"/>
  <c r="T91" i="35" l="1"/>
  <c r="T91" i="85"/>
  <c r="L91" i="35"/>
  <c r="L91" i="85"/>
  <c r="M318" i="40"/>
  <c r="N320" i="40" s="1"/>
  <c r="J91" i="85"/>
  <c r="G91" i="35"/>
  <c r="M24" i="46" s="1"/>
  <c r="N24" i="46" s="1"/>
  <c r="G91" i="85"/>
  <c r="V318" i="40"/>
  <c r="W320" i="40" s="1"/>
  <c r="S91" i="85"/>
  <c r="N318" i="40"/>
  <c r="O320" i="40" s="1"/>
  <c r="K91" i="85"/>
  <c r="R91" i="35"/>
  <c r="R91" i="85"/>
  <c r="Q91" i="35"/>
  <c r="Q91" i="85"/>
  <c r="L318" i="40"/>
  <c r="M320" i="40" s="1"/>
  <c r="I91" i="85"/>
  <c r="S318" i="40"/>
  <c r="T320" i="40" s="1"/>
  <c r="P91" i="85"/>
  <c r="K318" i="40"/>
  <c r="L320" i="40" s="1"/>
  <c r="H91" i="85"/>
  <c r="R318" i="40"/>
  <c r="S320" i="40" s="1"/>
  <c r="O91" i="85"/>
  <c r="N91" i="35"/>
  <c r="N91" i="85"/>
  <c r="I318" i="40"/>
  <c r="J320" i="40" s="1"/>
  <c r="F91" i="85"/>
  <c r="M91" i="35"/>
  <c r="M91" i="85"/>
  <c r="O318" i="40"/>
  <c r="P320" i="40" s="1"/>
  <c r="K91" i="35"/>
  <c r="I91" i="35"/>
  <c r="S91" i="35"/>
  <c r="J91" i="35"/>
  <c r="H91" i="35"/>
  <c r="O91" i="35"/>
  <c r="U318" i="40"/>
  <c r="V320" i="40" s="1"/>
  <c r="F91" i="35"/>
  <c r="K24" i="46" s="1"/>
  <c r="T318" i="40"/>
  <c r="U320" i="40" s="1"/>
  <c r="J318" i="40"/>
  <c r="P91" i="35"/>
  <c r="Q320" i="40"/>
  <c r="K320" i="40"/>
  <c r="Q318" i="40"/>
  <c r="W318" i="40"/>
  <c r="H318" i="40"/>
  <c r="E91" i="35"/>
  <c r="I24" i="46" s="1"/>
  <c r="R320" i="40" l="1"/>
  <c r="I320" i="40"/>
  <c r="H333" i="40"/>
  <c r="I333" i="40"/>
  <c r="J333" i="40"/>
  <c r="K333" i="40"/>
  <c r="L333" i="40"/>
  <c r="M333" i="40"/>
  <c r="N333" i="40"/>
  <c r="O333" i="40"/>
  <c r="P333" i="40"/>
  <c r="Q333" i="40"/>
  <c r="R333" i="40"/>
  <c r="S333" i="40"/>
  <c r="T333" i="40"/>
  <c r="U333" i="40"/>
  <c r="V333" i="40"/>
  <c r="W333" i="40"/>
  <c r="E92" i="35"/>
  <c r="I25" i="46" s="1"/>
  <c r="F92" i="35"/>
  <c r="K25" i="46" s="1"/>
  <c r="G92" i="35"/>
  <c r="M25" i="46" s="1"/>
  <c r="N25" i="46" s="1"/>
  <c r="H92" i="35"/>
  <c r="I92" i="35"/>
  <c r="J92" i="35"/>
  <c r="K92" i="35"/>
  <c r="L92" i="35"/>
  <c r="M92" i="35"/>
  <c r="N92" i="35"/>
  <c r="O92" i="35"/>
  <c r="P92" i="35"/>
  <c r="Q92" i="35"/>
  <c r="R92" i="35"/>
  <c r="S92" i="35"/>
  <c r="T92" i="35"/>
  <c r="C90" i="40" l="1"/>
  <c r="E90" i="40"/>
  <c r="E114" i="40"/>
  <c r="D23" i="39" s="1"/>
  <c r="I84" i="60" s="1"/>
  <c r="E120" i="40"/>
  <c r="F16" i="9" s="1"/>
  <c r="E169" i="40"/>
  <c r="F24" i="66" s="1"/>
  <c r="H169" i="40"/>
  <c r="I169" i="40"/>
  <c r="J169" i="40"/>
  <c r="K169" i="40"/>
  <c r="L169" i="40"/>
  <c r="M169" i="40"/>
  <c r="N169" i="40"/>
  <c r="O169" i="40"/>
  <c r="P169" i="40"/>
  <c r="Q169" i="40"/>
  <c r="R169" i="40"/>
  <c r="S169" i="40"/>
  <c r="T169" i="40"/>
  <c r="U169" i="40"/>
  <c r="V169" i="40"/>
  <c r="W169" i="40"/>
  <c r="K214" i="58"/>
  <c r="D26" i="67" l="1"/>
  <c r="D25" i="67"/>
  <c r="F17" i="66"/>
  <c r="D24" i="67"/>
  <c r="D25" i="39"/>
  <c r="I85" i="60" s="1"/>
  <c r="D24" i="39"/>
  <c r="I83" i="60" s="1"/>
  <c r="F23" i="9"/>
  <c r="D34" i="9"/>
  <c r="H18" i="33" s="1"/>
  <c r="F34" i="9"/>
  <c r="E110" i="58" s="1"/>
  <c r="D35" i="66"/>
  <c r="F35" i="66"/>
  <c r="N19" i="67"/>
  <c r="B128" i="35"/>
  <c r="C71" i="74" s="1"/>
  <c r="D128" i="35"/>
  <c r="E71" i="74" s="1"/>
  <c r="E128" i="35"/>
  <c r="F128" i="35"/>
  <c r="G128" i="35"/>
  <c r="H128" i="35"/>
  <c r="I128" i="35"/>
  <c r="J128" i="35"/>
  <c r="K128" i="35"/>
  <c r="E129" i="35"/>
  <c r="F129" i="35"/>
  <c r="G129" i="35"/>
  <c r="H129" i="35"/>
  <c r="I129" i="35"/>
  <c r="J129" i="35"/>
  <c r="K129" i="35"/>
  <c r="L19" i="67" l="1"/>
  <c r="M17" i="13"/>
  <c r="N29" i="73" s="1"/>
  <c r="M17" i="69"/>
  <c r="N18" i="39"/>
  <c r="L18" i="39"/>
  <c r="L21" i="69" s="1"/>
  <c r="C110" i="58"/>
  <c r="F71" i="74"/>
  <c r="L21" i="13"/>
  <c r="M33" i="73" s="1"/>
  <c r="J18" i="33"/>
  <c r="H58" i="25" s="1"/>
  <c r="G71" i="74" l="1"/>
  <c r="F76" i="74"/>
  <c r="H184" i="40" s="1"/>
  <c r="H185" i="40" s="1"/>
  <c r="E77" i="85" l="1"/>
  <c r="H266" i="40"/>
  <c r="E77" i="35"/>
  <c r="I8" i="46" s="1"/>
  <c r="G76" i="74"/>
  <c r="I184" i="40" s="1"/>
  <c r="I185" i="40" s="1"/>
  <c r="H71" i="74"/>
  <c r="F77" i="85" l="1"/>
  <c r="I266" i="40"/>
  <c r="F77" i="35"/>
  <c r="K8" i="46" s="1"/>
  <c r="I71" i="74"/>
  <c r="H76" i="74"/>
  <c r="J184" i="40" s="1"/>
  <c r="J185" i="40" s="1"/>
  <c r="H406" i="40"/>
  <c r="H409" i="40"/>
  <c r="H408" i="40"/>
  <c r="G77" i="85" l="1"/>
  <c r="J71" i="74"/>
  <c r="I76" i="74"/>
  <c r="K184" i="40" s="1"/>
  <c r="K185" i="40" s="1"/>
  <c r="J266" i="40"/>
  <c r="G77" i="35"/>
  <c r="M8" i="46" s="1"/>
  <c r="H410" i="40"/>
  <c r="H88" i="40" s="1"/>
  <c r="H407" i="40"/>
  <c r="I411" i="40" s="1"/>
  <c r="I409" i="40"/>
  <c r="I408" i="40"/>
  <c r="I406" i="40"/>
  <c r="H77" i="85" l="1"/>
  <c r="J408" i="40"/>
  <c r="J409" i="40"/>
  <c r="J406" i="40"/>
  <c r="I410" i="40"/>
  <c r="I88" i="40" s="1"/>
  <c r="I407" i="40"/>
  <c r="J411" i="40" s="1"/>
  <c r="K266" i="40"/>
  <c r="H77" i="35"/>
  <c r="K71" i="74"/>
  <c r="J76" i="74"/>
  <c r="L184" i="40" s="1"/>
  <c r="L185" i="40" s="1"/>
  <c r="I77" i="85" l="1"/>
  <c r="K406" i="40"/>
  <c r="K408" i="40"/>
  <c r="K409" i="40"/>
  <c r="L266" i="40"/>
  <c r="I77" i="35"/>
  <c r="K76" i="74"/>
  <c r="M184" i="40" s="1"/>
  <c r="M185" i="40" s="1"/>
  <c r="L71" i="74"/>
  <c r="L76" i="74" s="1"/>
  <c r="N184" i="40" s="1"/>
  <c r="N185" i="40" s="1"/>
  <c r="J407" i="40"/>
  <c r="J410" i="40"/>
  <c r="J88" i="40" s="1"/>
  <c r="K411" i="40" l="1"/>
  <c r="J77" i="85"/>
  <c r="K77" i="85"/>
  <c r="M266" i="40"/>
  <c r="J77" i="35"/>
  <c r="L406" i="40"/>
  <c r="L409" i="40"/>
  <c r="L408" i="40"/>
  <c r="N266" i="40"/>
  <c r="K77" i="35"/>
  <c r="K407" i="40"/>
  <c r="K410" i="40"/>
  <c r="K88" i="40" s="1"/>
  <c r="L411" i="40" l="1"/>
  <c r="L407" i="40"/>
  <c r="L410" i="40"/>
  <c r="L88" i="40" s="1"/>
  <c r="N408" i="40"/>
  <c r="N409" i="40"/>
  <c r="N406" i="40"/>
  <c r="M409" i="40"/>
  <c r="M406" i="40"/>
  <c r="M408" i="40"/>
  <c r="N407" i="40" l="1"/>
  <c r="O411" i="40" s="1"/>
  <c r="N410" i="40"/>
  <c r="N88" i="40" s="1"/>
  <c r="M411" i="40"/>
  <c r="M410" i="40"/>
  <c r="M88" i="40" s="1"/>
  <c r="M407" i="40"/>
  <c r="N411" i="40" s="1"/>
  <c r="M19" i="13" l="1"/>
  <c r="N31" i="73" s="1"/>
  <c r="M19" i="69"/>
  <c r="G92" i="46"/>
  <c r="C408" i="40"/>
  <c r="E408" i="40"/>
  <c r="C409" i="40"/>
  <c r="E409" i="40"/>
  <c r="C410" i="40"/>
  <c r="E410" i="40"/>
  <c r="E88" i="40" s="1"/>
  <c r="E89" i="40" s="1"/>
  <c r="D14" i="35" s="1"/>
  <c r="D15" i="35" s="1"/>
  <c r="D129" i="35" l="1"/>
  <c r="E72" i="74" s="1"/>
  <c r="E77" i="74" s="1"/>
  <c r="E131" i="40"/>
  <c r="H38" i="10" s="1"/>
  <c r="I38" i="10" s="1"/>
  <c r="G43" i="46"/>
  <c r="H43" i="46" s="1"/>
  <c r="C131" i="40"/>
  <c r="C88" i="40"/>
  <c r="C89" i="40" s="1"/>
  <c r="D19" i="35"/>
  <c r="G44" i="46"/>
  <c r="H16" i="10"/>
  <c r="F35" i="9"/>
  <c r="E92" i="40"/>
  <c r="E113" i="40" s="1"/>
  <c r="F36" i="66"/>
  <c r="F37" i="66" s="1"/>
  <c r="H17" i="65"/>
  <c r="E36" i="74"/>
  <c r="E37" i="74" s="1"/>
  <c r="E407" i="40"/>
  <c r="D28" i="35" l="1"/>
  <c r="G55" i="46" s="1"/>
  <c r="H55" i="46" s="1"/>
  <c r="H39" i="65"/>
  <c r="I39" i="65" s="1"/>
  <c r="E140" i="40"/>
  <c r="V43" i="46"/>
  <c r="H18" i="65"/>
  <c r="I17" i="65"/>
  <c r="J19" i="33"/>
  <c r="H57" i="25" s="1"/>
  <c r="H59" i="25" s="1"/>
  <c r="F36" i="9"/>
  <c r="N19" i="39"/>
  <c r="N20" i="67"/>
  <c r="E106" i="58"/>
  <c r="O46" i="25"/>
  <c r="D66" i="85" s="1"/>
  <c r="D67" i="85" s="1"/>
  <c r="E142" i="40"/>
  <c r="V44" i="46"/>
  <c r="H44" i="46"/>
  <c r="M50" i="56"/>
  <c r="E9" i="52"/>
  <c r="C23" i="81"/>
  <c r="M57" i="70"/>
  <c r="F46" i="66"/>
  <c r="M58" i="70"/>
  <c r="M57" i="56"/>
  <c r="M58" i="56"/>
  <c r="J7" i="33"/>
  <c r="D20" i="35"/>
  <c r="E18" i="76"/>
  <c r="W3" i="76" s="1"/>
  <c r="M50" i="70"/>
  <c r="D22" i="35"/>
  <c r="G48" i="46"/>
  <c r="C36" i="74"/>
  <c r="C37" i="74" s="1"/>
  <c r="D35" i="9"/>
  <c r="D36" i="66"/>
  <c r="D37" i="66" s="1"/>
  <c r="D16" i="10"/>
  <c r="C92" i="40"/>
  <c r="C113" i="40" s="1"/>
  <c r="C114" i="40" s="1"/>
  <c r="B129" i="35"/>
  <c r="C72" i="74" s="1"/>
  <c r="D17" i="65"/>
  <c r="B14" i="35"/>
  <c r="F16" i="66"/>
  <c r="F45" i="9"/>
  <c r="F15" i="66"/>
  <c r="E119" i="40"/>
  <c r="F15" i="9"/>
  <c r="F14" i="9"/>
  <c r="I94" i="60" s="1"/>
  <c r="L19" i="49"/>
  <c r="L21" i="49" s="1"/>
  <c r="J185" i="58"/>
  <c r="K213" i="58" s="1"/>
  <c r="I16" i="10"/>
  <c r="H17" i="10"/>
  <c r="G406" i="40"/>
  <c r="G411" i="40" s="1"/>
  <c r="AH33" i="25" s="1"/>
  <c r="V48" i="85" s="1"/>
  <c r="E406" i="40"/>
  <c r="H411" i="40" s="1"/>
  <c r="E38" i="74"/>
  <c r="E76" i="74"/>
  <c r="D39" i="65"/>
  <c r="E39" i="65" s="1"/>
  <c r="C140" i="40"/>
  <c r="C142" i="40" s="1"/>
  <c r="D38" i="10"/>
  <c r="E38" i="10" s="1"/>
  <c r="B28" i="35"/>
  <c r="C55" i="46" s="1"/>
  <c r="V73" i="85" l="1"/>
  <c r="V51" i="85"/>
  <c r="V60" i="85" s="1"/>
  <c r="B24" i="67"/>
  <c r="I214" i="58"/>
  <c r="B23" i="39"/>
  <c r="G84" i="60" s="1"/>
  <c r="V55" i="46"/>
  <c r="E411" i="40"/>
  <c r="O33" i="25" s="1"/>
  <c r="D15" i="9"/>
  <c r="C119" i="40"/>
  <c r="C120" i="40" s="1"/>
  <c r="D16" i="66"/>
  <c r="D14" i="9"/>
  <c r="G94" i="60" s="1"/>
  <c r="D45" i="9"/>
  <c r="I213" i="58"/>
  <c r="D15" i="66"/>
  <c r="C38" i="81"/>
  <c r="C24" i="81"/>
  <c r="C37" i="81"/>
  <c r="H23" i="10"/>
  <c r="I17" i="10"/>
  <c r="D36" i="9"/>
  <c r="H19" i="33"/>
  <c r="L20" i="67"/>
  <c r="C106" i="58"/>
  <c r="L19" i="39"/>
  <c r="E12" i="52"/>
  <c r="E10" i="52"/>
  <c r="AH34" i="25"/>
  <c r="N29" i="39"/>
  <c r="N30" i="67"/>
  <c r="V48" i="35"/>
  <c r="E16" i="10"/>
  <c r="D17" i="10"/>
  <c r="AC7" i="33"/>
  <c r="F11" i="33"/>
  <c r="F7" i="33"/>
  <c r="S7" i="33"/>
  <c r="F9" i="33"/>
  <c r="O10" i="33" s="1"/>
  <c r="V48" i="46"/>
  <c r="H48" i="46"/>
  <c r="O77" i="25"/>
  <c r="M43" i="67"/>
  <c r="M42" i="39"/>
  <c r="D66" i="35"/>
  <c r="I22" i="13"/>
  <c r="O27" i="25"/>
  <c r="E143" i="40"/>
  <c r="E163" i="40" s="1"/>
  <c r="D16" i="39"/>
  <c r="D17" i="67"/>
  <c r="I22" i="49"/>
  <c r="C43" i="46"/>
  <c r="B15" i="35"/>
  <c r="E17" i="65"/>
  <c r="D18" i="65"/>
  <c r="M18" i="13"/>
  <c r="M18" i="69"/>
  <c r="E20" i="52"/>
  <c r="AC16" i="33"/>
  <c r="G83" i="46"/>
  <c r="D55" i="46"/>
  <c r="U55" i="46"/>
  <c r="M51" i="70"/>
  <c r="N51" i="70"/>
  <c r="AJ3" i="76"/>
  <c r="AM3" i="76"/>
  <c r="C38" i="74"/>
  <c r="C76" i="74"/>
  <c r="M51" i="56"/>
  <c r="N51" i="56"/>
  <c r="F72" i="74"/>
  <c r="C77" i="74"/>
  <c r="J8" i="33"/>
  <c r="AC8" i="33" s="1"/>
  <c r="E11" i="52"/>
  <c r="E7" i="53" s="1"/>
  <c r="C25" i="81"/>
  <c r="D23" i="35"/>
  <c r="G50" i="46"/>
  <c r="D31" i="35"/>
  <c r="I18" i="65"/>
  <c r="H24" i="65"/>
  <c r="D48" i="35" l="1"/>
  <c r="F8" i="47" s="1"/>
  <c r="D48" i="85"/>
  <c r="D17" i="66"/>
  <c r="D16" i="9"/>
  <c r="B24" i="39"/>
  <c r="G83" i="60" s="1"/>
  <c r="B25" i="67"/>
  <c r="M29" i="39"/>
  <c r="O64" i="25"/>
  <c r="M30" i="67"/>
  <c r="AT3" i="76"/>
  <c r="E61" i="76"/>
  <c r="I22" i="69"/>
  <c r="H51" i="25"/>
  <c r="K34" i="73"/>
  <c r="H50" i="46"/>
  <c r="V50" i="46"/>
  <c r="N30" i="73"/>
  <c r="J239" i="58"/>
  <c r="O9" i="53"/>
  <c r="P8" i="47"/>
  <c r="V51" i="35"/>
  <c r="V121" i="35" s="1"/>
  <c r="V73" i="35"/>
  <c r="P42" i="47" s="1"/>
  <c r="O59" i="25"/>
  <c r="O29" i="25"/>
  <c r="O34" i="25"/>
  <c r="M23" i="39"/>
  <c r="M24" i="67"/>
  <c r="D46" i="35"/>
  <c r="B19" i="35"/>
  <c r="C92" i="46" s="1"/>
  <c r="C44" i="46"/>
  <c r="F27" i="47"/>
  <c r="D67" i="35"/>
  <c r="F28" i="47" s="1"/>
  <c r="N30" i="39"/>
  <c r="K93" i="60" s="1"/>
  <c r="N31" i="67"/>
  <c r="I24" i="65"/>
  <c r="H27" i="65"/>
  <c r="F77" i="74"/>
  <c r="H218" i="40" s="1"/>
  <c r="G72" i="74"/>
  <c r="C143" i="40"/>
  <c r="C163" i="40" s="1"/>
  <c r="B16" i="39"/>
  <c r="B17" i="67"/>
  <c r="E30" i="40"/>
  <c r="F18" i="66"/>
  <c r="F17" i="9"/>
  <c r="E165" i="40"/>
  <c r="I86" i="60"/>
  <c r="C39" i="81"/>
  <c r="C40" i="81"/>
  <c r="C26" i="81"/>
  <c r="E18" i="65"/>
  <c r="D24" i="65"/>
  <c r="U43" i="46"/>
  <c r="D43" i="46"/>
  <c r="I23" i="10"/>
  <c r="H26" i="10"/>
  <c r="G58" i="46"/>
  <c r="D33" i="35"/>
  <c r="D35" i="35" s="1"/>
  <c r="AW3" i="76"/>
  <c r="BI3" i="76" s="1"/>
  <c r="E64" i="76"/>
  <c r="E17" i="10"/>
  <c r="D23" i="10"/>
  <c r="L22" i="13"/>
  <c r="M34" i="73" s="1"/>
  <c r="L22" i="69"/>
  <c r="D42" i="35" l="1"/>
  <c r="G69" i="46" s="1"/>
  <c r="E90" i="85"/>
  <c r="E125" i="85"/>
  <c r="E126" i="85" s="1"/>
  <c r="H24" i="49"/>
  <c r="H24" i="13"/>
  <c r="D73" i="35"/>
  <c r="F42" i="47" s="1"/>
  <c r="E9" i="53"/>
  <c r="D73" i="85"/>
  <c r="D51" i="85"/>
  <c r="I23" i="13"/>
  <c r="F18" i="9"/>
  <c r="F19" i="66"/>
  <c r="E168" i="40"/>
  <c r="E88" i="58"/>
  <c r="I23" i="49"/>
  <c r="P33" i="25"/>
  <c r="E125" i="35"/>
  <c r="E126" i="35" s="1"/>
  <c r="E90" i="35"/>
  <c r="I23" i="46" s="1"/>
  <c r="D44" i="46"/>
  <c r="U44" i="46"/>
  <c r="H35" i="10"/>
  <c r="I26" i="10"/>
  <c r="C52" i="25"/>
  <c r="D17" i="9"/>
  <c r="D18" i="66"/>
  <c r="C165" i="40"/>
  <c r="G86" i="60"/>
  <c r="C30" i="40"/>
  <c r="H30" i="40" s="1"/>
  <c r="I30" i="40" s="1"/>
  <c r="J30" i="40" s="1"/>
  <c r="K30" i="40" s="1"/>
  <c r="L30" i="40" s="1"/>
  <c r="M30" i="40" s="1"/>
  <c r="N30" i="40" s="1"/>
  <c r="O30" i="40" s="1"/>
  <c r="P30" i="40" s="1"/>
  <c r="Q30" i="40" s="1"/>
  <c r="R30" i="40" s="1"/>
  <c r="S30" i="40" s="1"/>
  <c r="T30" i="40" s="1"/>
  <c r="U30" i="40" s="1"/>
  <c r="V30" i="40" s="1"/>
  <c r="W30" i="40" s="1"/>
  <c r="H72" i="74"/>
  <c r="G77" i="74"/>
  <c r="I218" i="40" s="1"/>
  <c r="I27" i="65"/>
  <c r="H36" i="65"/>
  <c r="O10" i="53"/>
  <c r="P11" i="47"/>
  <c r="V60" i="35"/>
  <c r="R93" i="46"/>
  <c r="E23" i="10"/>
  <c r="D26" i="10"/>
  <c r="H58" i="46"/>
  <c r="V58" i="46"/>
  <c r="G60" i="46"/>
  <c r="I24" i="13"/>
  <c r="O65" i="25"/>
  <c r="O55" i="25"/>
  <c r="M30" i="39"/>
  <c r="M31" i="67"/>
  <c r="I24" i="49"/>
  <c r="O111" i="25"/>
  <c r="O61" i="25"/>
  <c r="M25" i="39"/>
  <c r="M15" i="13" s="1"/>
  <c r="M26" i="67"/>
  <c r="C9" i="52"/>
  <c r="H7" i="33"/>
  <c r="K57" i="70"/>
  <c r="D46" i="66"/>
  <c r="K50" i="56"/>
  <c r="L51" i="56" s="1"/>
  <c r="K57" i="56"/>
  <c r="K58" i="56"/>
  <c r="K58" i="70"/>
  <c r="K50" i="70"/>
  <c r="L51" i="70" s="1"/>
  <c r="C48" i="46"/>
  <c r="B20" i="35"/>
  <c r="B22" i="35"/>
  <c r="E25" i="76"/>
  <c r="AF3" i="76" s="1"/>
  <c r="AH3" i="76" s="1"/>
  <c r="AS3" i="76" s="1"/>
  <c r="D27" i="65"/>
  <c r="E24" i="65"/>
  <c r="F6" i="47"/>
  <c r="F34" i="33"/>
  <c r="D51" i="35"/>
  <c r="D121" i="35" s="1"/>
  <c r="C27" i="81"/>
  <c r="J9" i="33"/>
  <c r="J29" i="33"/>
  <c r="E13" i="52"/>
  <c r="D40" i="35"/>
  <c r="G66" i="46" s="1"/>
  <c r="G91" i="46"/>
  <c r="D36" i="35"/>
  <c r="D38" i="35"/>
  <c r="G64" i="46" s="1"/>
  <c r="G90" i="46"/>
  <c r="E20" i="76"/>
  <c r="Y3" i="76" s="1"/>
  <c r="G62" i="46"/>
  <c r="BF3" i="76"/>
  <c r="F90" i="85" l="1"/>
  <c r="F125" i="85"/>
  <c r="F126" i="85" s="1"/>
  <c r="E48" i="35"/>
  <c r="F9" i="53" s="1"/>
  <c r="E48" i="85"/>
  <c r="E73" i="85" s="1"/>
  <c r="J36" i="73"/>
  <c r="H24" i="69"/>
  <c r="D121" i="85"/>
  <c r="D60" i="85"/>
  <c r="D68" i="85" s="1"/>
  <c r="D70" i="85" s="1"/>
  <c r="D72" i="85" s="1"/>
  <c r="L16" i="49"/>
  <c r="L18" i="49"/>
  <c r="L17" i="49"/>
  <c r="O86" i="25"/>
  <c r="M51" i="39"/>
  <c r="M52" i="67"/>
  <c r="H64" i="46"/>
  <c r="V64" i="46"/>
  <c r="E26" i="10"/>
  <c r="D35" i="10"/>
  <c r="H66" i="46"/>
  <c r="C10" i="52"/>
  <c r="H62" i="46"/>
  <c r="H65" i="46"/>
  <c r="V62" i="46"/>
  <c r="D36" i="65"/>
  <c r="E27" i="65"/>
  <c r="P21" i="47"/>
  <c r="O13" i="53"/>
  <c r="O15" i="52"/>
  <c r="O21" i="52"/>
  <c r="F25" i="66"/>
  <c r="F24" i="9"/>
  <c r="H329" i="40"/>
  <c r="D20" i="67"/>
  <c r="E247" i="40"/>
  <c r="I92" i="60"/>
  <c r="D19" i="39"/>
  <c r="E10" i="53"/>
  <c r="C28" i="81"/>
  <c r="F11" i="47"/>
  <c r="G93" i="46"/>
  <c r="E24" i="76"/>
  <c r="AC3" i="76" s="1"/>
  <c r="AK3" i="76" s="1"/>
  <c r="D60" i="35"/>
  <c r="Q33" i="25"/>
  <c r="F90" i="35"/>
  <c r="K23" i="46" s="1"/>
  <c r="F125" i="35"/>
  <c r="F126" i="35" s="1"/>
  <c r="D48" i="46"/>
  <c r="U48" i="46"/>
  <c r="BC3" i="76"/>
  <c r="BO3" i="76" s="1"/>
  <c r="E70" i="76"/>
  <c r="I24" i="69"/>
  <c r="K36" i="73"/>
  <c r="D18" i="9"/>
  <c r="D19" i="66"/>
  <c r="C168" i="40"/>
  <c r="C169" i="40" s="1"/>
  <c r="C88" i="58"/>
  <c r="AC9" i="33"/>
  <c r="S8" i="33"/>
  <c r="C20" i="52"/>
  <c r="AA16" i="33"/>
  <c r="C83" i="46"/>
  <c r="V60" i="46"/>
  <c r="H60" i="46"/>
  <c r="AA7" i="33"/>
  <c r="Q7" i="33"/>
  <c r="J184" i="58"/>
  <c r="I93" i="60"/>
  <c r="I72" i="74"/>
  <c r="H77" i="74"/>
  <c r="J218" i="40" s="1"/>
  <c r="H39" i="10"/>
  <c r="I35" i="10"/>
  <c r="D19" i="67"/>
  <c r="D18" i="39"/>
  <c r="F30" i="33"/>
  <c r="F31" i="33"/>
  <c r="F29" i="33"/>
  <c r="N27" i="73"/>
  <c r="M16" i="13"/>
  <c r="N28" i="73" s="1"/>
  <c r="M15" i="69"/>
  <c r="M16" i="69" s="1"/>
  <c r="G71" i="46"/>
  <c r="H8" i="33"/>
  <c r="AA8" i="33" s="1"/>
  <c r="C50" i="46"/>
  <c r="B23" i="35"/>
  <c r="C11" i="52"/>
  <c r="C7" i="53" s="1"/>
  <c r="B31" i="35"/>
  <c r="H40" i="65"/>
  <c r="I36" i="65"/>
  <c r="H52" i="25"/>
  <c r="H53" i="25"/>
  <c r="K35" i="73"/>
  <c r="H50" i="25"/>
  <c r="I23" i="69"/>
  <c r="H8" i="47" l="1"/>
  <c r="E73" i="35"/>
  <c r="H42" i="47" s="1"/>
  <c r="F48" i="35"/>
  <c r="F48" i="85"/>
  <c r="F73" i="85" s="1"/>
  <c r="G90" i="85"/>
  <c r="G125" i="85"/>
  <c r="G126" i="85" s="1"/>
  <c r="I10" i="33"/>
  <c r="H25" i="49"/>
  <c r="C12" i="52"/>
  <c r="D24" i="66"/>
  <c r="D23" i="9"/>
  <c r="B25" i="39"/>
  <c r="G85" i="60" s="1"/>
  <c r="B26" i="67"/>
  <c r="D26" i="39"/>
  <c r="I81" i="60" s="1"/>
  <c r="E35" i="10"/>
  <c r="D39" i="10"/>
  <c r="B19" i="67"/>
  <c r="B18" i="39"/>
  <c r="I40" i="65"/>
  <c r="H42" i="65"/>
  <c r="C29" i="81"/>
  <c r="F21" i="47"/>
  <c r="E13" i="53"/>
  <c r="E15" i="52"/>
  <c r="J10" i="33"/>
  <c r="D68" i="35"/>
  <c r="I25" i="49"/>
  <c r="F99" i="74"/>
  <c r="F101" i="74" s="1"/>
  <c r="E239" i="40"/>
  <c r="H331" i="40"/>
  <c r="H249" i="40" s="1"/>
  <c r="H44" i="64"/>
  <c r="H258" i="40"/>
  <c r="H245" i="40" s="1"/>
  <c r="H43" i="11"/>
  <c r="E335" i="40"/>
  <c r="D100" i="35"/>
  <c r="D25" i="66"/>
  <c r="C247" i="40"/>
  <c r="B100" i="85" s="1"/>
  <c r="B102" i="85" s="1"/>
  <c r="D24" i="9"/>
  <c r="G92" i="60"/>
  <c r="B20" i="67"/>
  <c r="B19" i="39"/>
  <c r="I39" i="10"/>
  <c r="H41" i="10"/>
  <c r="R33" i="25"/>
  <c r="G125" i="35"/>
  <c r="G126" i="35" s="1"/>
  <c r="G90" i="35"/>
  <c r="M23" i="46" s="1"/>
  <c r="N23" i="46" s="1"/>
  <c r="D27" i="67"/>
  <c r="G9" i="53"/>
  <c r="J8" i="47"/>
  <c r="F73" i="35"/>
  <c r="J42" i="47" s="1"/>
  <c r="E36" i="65"/>
  <c r="D40" i="65"/>
  <c r="C58" i="46"/>
  <c r="B33" i="35"/>
  <c r="B35" i="35" s="1"/>
  <c r="AU3" i="76"/>
  <c r="E62" i="76"/>
  <c r="D50" i="46"/>
  <c r="U50" i="46"/>
  <c r="J72" i="74"/>
  <c r="I77" i="74"/>
  <c r="K218" i="40" s="1"/>
  <c r="B119" i="35" l="1"/>
  <c r="B118" i="35"/>
  <c r="B110" i="85"/>
  <c r="B118" i="85"/>
  <c r="B104" i="85"/>
  <c r="B109" i="85" s="1"/>
  <c r="B111" i="85"/>
  <c r="C91" i="46"/>
  <c r="B42" i="35"/>
  <c r="C69" i="46" s="1"/>
  <c r="G48" i="35"/>
  <c r="H9" i="53" s="1"/>
  <c r="G48" i="85"/>
  <c r="G73" i="85" s="1"/>
  <c r="H90" i="85"/>
  <c r="H125" i="85"/>
  <c r="H126" i="85" s="1"/>
  <c r="E10" i="33"/>
  <c r="AB10" i="33"/>
  <c r="R9" i="33"/>
  <c r="D99" i="74"/>
  <c r="D100" i="74" s="1"/>
  <c r="D101" i="74" s="1"/>
  <c r="C239" i="40"/>
  <c r="D43" i="11"/>
  <c r="C335" i="40"/>
  <c r="B100" i="35"/>
  <c r="D44" i="64"/>
  <c r="H48" i="64"/>
  <c r="E39" i="10"/>
  <c r="D41" i="10"/>
  <c r="J77" i="74"/>
  <c r="L218" i="40" s="1"/>
  <c r="K72" i="74"/>
  <c r="C51" i="25"/>
  <c r="H47" i="11"/>
  <c r="H336" i="40"/>
  <c r="AC17" i="33"/>
  <c r="E21" i="52"/>
  <c r="H99" i="74"/>
  <c r="H101" i="74" s="1"/>
  <c r="H240" i="40"/>
  <c r="H334" i="40"/>
  <c r="BG3" i="76"/>
  <c r="F44" i="9"/>
  <c r="F43" i="66"/>
  <c r="F47" i="66"/>
  <c r="F26" i="9"/>
  <c r="F27" i="66"/>
  <c r="F44" i="66"/>
  <c r="F45" i="66"/>
  <c r="F43" i="9"/>
  <c r="E257" i="40"/>
  <c r="D39" i="67"/>
  <c r="D46" i="67" s="1"/>
  <c r="F46" i="9"/>
  <c r="D38" i="39"/>
  <c r="D45" i="39" s="1"/>
  <c r="D38" i="67"/>
  <c r="I107" i="60"/>
  <c r="D37" i="39"/>
  <c r="F42" i="9"/>
  <c r="F22" i="9"/>
  <c r="F23" i="66"/>
  <c r="C60" i="46"/>
  <c r="U58" i="46"/>
  <c r="D58" i="46"/>
  <c r="B26" i="39"/>
  <c r="G81" i="60" s="1"/>
  <c r="E18" i="53"/>
  <c r="F30" i="47"/>
  <c r="D70" i="35"/>
  <c r="AC10" i="33"/>
  <c r="S9" i="33"/>
  <c r="F10" i="33"/>
  <c r="O11" i="33" s="1"/>
  <c r="H44" i="10"/>
  <c r="I44" i="10" s="1"/>
  <c r="I41" i="10"/>
  <c r="H9" i="33"/>
  <c r="H29" i="33"/>
  <c r="E29" i="33" s="1"/>
  <c r="C13" i="52"/>
  <c r="B36" i="35"/>
  <c r="B38" i="35"/>
  <c r="C64" i="46" s="1"/>
  <c r="C62" i="46"/>
  <c r="B40" i="35"/>
  <c r="C66" i="46" s="1"/>
  <c r="D66" i="46" s="1"/>
  <c r="S33" i="25"/>
  <c r="H90" i="35"/>
  <c r="H125" i="35"/>
  <c r="H126" i="35" s="1"/>
  <c r="D42" i="65"/>
  <c r="E40" i="65"/>
  <c r="B27" i="67"/>
  <c r="G33" i="46"/>
  <c r="D102" i="35"/>
  <c r="I42" i="65"/>
  <c r="H45" i="65"/>
  <c r="I45" i="65" s="1"/>
  <c r="L8" i="47" l="1"/>
  <c r="G73" i="35"/>
  <c r="L42" i="47" s="1"/>
  <c r="I90" i="85"/>
  <c r="I125" i="85"/>
  <c r="I126" i="85" s="1"/>
  <c r="H48" i="35"/>
  <c r="H48" i="85"/>
  <c r="H73" i="85" s="1"/>
  <c r="G35" i="46"/>
  <c r="V33" i="46"/>
  <c r="F34" i="47"/>
  <c r="D72" i="35"/>
  <c r="T33" i="25"/>
  <c r="I125" i="35"/>
  <c r="I126" i="35" s="1"/>
  <c r="I90" i="35"/>
  <c r="D45" i="65"/>
  <c r="E45" i="65" s="1"/>
  <c r="E42" i="65"/>
  <c r="U62" i="46"/>
  <c r="D65" i="46"/>
  <c r="D62" i="46"/>
  <c r="E41" i="10"/>
  <c r="D44" i="10"/>
  <c r="E44" i="10" s="1"/>
  <c r="D48" i="64"/>
  <c r="L72" i="74"/>
  <c r="L77" i="74" s="1"/>
  <c r="N218" i="40" s="1"/>
  <c r="K77" i="74"/>
  <c r="M218" i="40" s="1"/>
  <c r="D44" i="39"/>
  <c r="D46" i="39"/>
  <c r="I105" i="60" s="1"/>
  <c r="D27" i="39"/>
  <c r="I82" i="60" s="1"/>
  <c r="D64" i="46"/>
  <c r="U64" i="46"/>
  <c r="D47" i="67"/>
  <c r="D45" i="67"/>
  <c r="D28" i="67"/>
  <c r="C33" i="46"/>
  <c r="B102" i="35"/>
  <c r="C90" i="46" s="1"/>
  <c r="AA9" i="33"/>
  <c r="Q8" i="33"/>
  <c r="M24" i="13"/>
  <c r="N36" i="73" s="1"/>
  <c r="M24" i="69"/>
  <c r="H337" i="40"/>
  <c r="P47" i="25" s="1"/>
  <c r="H50" i="64"/>
  <c r="I48" i="64" s="1"/>
  <c r="D337" i="40"/>
  <c r="N47" i="25" s="1"/>
  <c r="C61" i="85" s="1"/>
  <c r="G337" i="40"/>
  <c r="AH47" i="25" s="1"/>
  <c r="V61" i="85" s="1"/>
  <c r="E16" i="52"/>
  <c r="J14" i="33"/>
  <c r="C33" i="81"/>
  <c r="D104" i="35"/>
  <c r="G80" i="46" s="1"/>
  <c r="G82" i="46"/>
  <c r="E16" i="76"/>
  <c r="U3" i="76" s="1"/>
  <c r="AN3" i="76" s="1"/>
  <c r="D60" i="46"/>
  <c r="U60" i="46"/>
  <c r="D47" i="11"/>
  <c r="C53" i="25"/>
  <c r="H49" i="11"/>
  <c r="I47" i="11" s="1"/>
  <c r="D46" i="9"/>
  <c r="D43" i="9"/>
  <c r="D44" i="66"/>
  <c r="D44" i="9"/>
  <c r="D45" i="66"/>
  <c r="D26" i="9"/>
  <c r="D42" i="9"/>
  <c r="D47" i="66"/>
  <c r="D27" i="66"/>
  <c r="C257" i="40"/>
  <c r="D43" i="66"/>
  <c r="B38" i="67"/>
  <c r="B37" i="39"/>
  <c r="B38" i="39"/>
  <c r="B45" i="39" s="1"/>
  <c r="G107" i="60"/>
  <c r="B39" i="67"/>
  <c r="B46" i="67" s="1"/>
  <c r="D22" i="9"/>
  <c r="D23" i="66"/>
  <c r="I9" i="53"/>
  <c r="H73" i="35"/>
  <c r="J90" i="85" l="1"/>
  <c r="J125" i="85"/>
  <c r="J126" i="85" s="1"/>
  <c r="K90" i="85"/>
  <c r="K125" i="85"/>
  <c r="K126" i="85" s="1"/>
  <c r="I48" i="35"/>
  <c r="I73" i="35" s="1"/>
  <c r="I48" i="85"/>
  <c r="I73" i="85" s="1"/>
  <c r="E61" i="35"/>
  <c r="F14" i="52" s="1"/>
  <c r="F14" i="53" s="1"/>
  <c r="E61" i="85"/>
  <c r="C67" i="85"/>
  <c r="C68" i="85" s="1"/>
  <c r="C70" i="85" s="1"/>
  <c r="C72" i="85" s="1"/>
  <c r="C39" i="85"/>
  <c r="V67" i="85"/>
  <c r="V68" i="85" s="1"/>
  <c r="V70" i="85" s="1"/>
  <c r="V72" i="85" s="1"/>
  <c r="V39" i="85"/>
  <c r="E65" i="76"/>
  <c r="AX3" i="76"/>
  <c r="N78" i="25"/>
  <c r="N55" i="25"/>
  <c r="D329" i="40"/>
  <c r="D330" i="40" s="1"/>
  <c r="L43" i="39"/>
  <c r="L44" i="67"/>
  <c r="C61" i="35"/>
  <c r="AC18" i="33"/>
  <c r="E22" i="52"/>
  <c r="G81" i="46"/>
  <c r="E23" i="76"/>
  <c r="AB3" i="76" s="1"/>
  <c r="AP3" i="76" s="1"/>
  <c r="J9" i="53"/>
  <c r="B44" i="39"/>
  <c r="B46" i="39"/>
  <c r="G105" i="60" s="1"/>
  <c r="B27" i="39"/>
  <c r="G82" i="60" s="1"/>
  <c r="D49" i="11"/>
  <c r="E47" i="11" s="1"/>
  <c r="I17" i="64"/>
  <c r="I21" i="64"/>
  <c r="I25" i="64"/>
  <c r="I29" i="64"/>
  <c r="I33" i="64"/>
  <c r="I37" i="64"/>
  <c r="I41" i="64"/>
  <c r="I50" i="64"/>
  <c r="I16" i="64"/>
  <c r="I24" i="64"/>
  <c r="I32" i="64"/>
  <c r="I40" i="64"/>
  <c r="I47" i="64"/>
  <c r="I18" i="64"/>
  <c r="I26" i="64"/>
  <c r="I34" i="64"/>
  <c r="I42" i="64"/>
  <c r="I19" i="64"/>
  <c r="I27" i="64"/>
  <c r="I35" i="64"/>
  <c r="I43" i="64"/>
  <c r="I49" i="64"/>
  <c r="I20" i="64"/>
  <c r="I28" i="64"/>
  <c r="I36" i="64"/>
  <c r="I22" i="64"/>
  <c r="I38" i="64"/>
  <c r="H52" i="64"/>
  <c r="I23" i="64"/>
  <c r="I39" i="64"/>
  <c r="I30" i="64"/>
  <c r="I45" i="64"/>
  <c r="I46" i="64"/>
  <c r="I31" i="64"/>
  <c r="I44" i="64"/>
  <c r="U33" i="25"/>
  <c r="J125" i="35"/>
  <c r="J126" i="35" s="1"/>
  <c r="J90" i="35"/>
  <c r="G329" i="40"/>
  <c r="G330" i="40" s="1"/>
  <c r="N43" i="39"/>
  <c r="N44" i="67"/>
  <c r="V61" i="35"/>
  <c r="AH55" i="25"/>
  <c r="I15" i="11"/>
  <c r="I19" i="11"/>
  <c r="I23" i="11"/>
  <c r="I27" i="11"/>
  <c r="I31" i="11"/>
  <c r="I35" i="11"/>
  <c r="I39" i="11"/>
  <c r="I46" i="11"/>
  <c r="I22" i="11"/>
  <c r="I30" i="11"/>
  <c r="I38" i="11"/>
  <c r="I45" i="11"/>
  <c r="I16" i="11"/>
  <c r="I24" i="11"/>
  <c r="I32" i="11"/>
  <c r="I40" i="11"/>
  <c r="I17" i="11"/>
  <c r="I25" i="11"/>
  <c r="I33" i="11"/>
  <c r="I41" i="11"/>
  <c r="I18" i="11"/>
  <c r="I26" i="11"/>
  <c r="I34" i="11"/>
  <c r="I42" i="11"/>
  <c r="I48" i="11"/>
  <c r="I28" i="11"/>
  <c r="I29" i="11"/>
  <c r="I44" i="11"/>
  <c r="I20" i="11"/>
  <c r="I36" i="11"/>
  <c r="I49" i="11"/>
  <c r="I21" i="11"/>
  <c r="H51" i="11"/>
  <c r="I37" i="11"/>
  <c r="I43" i="11"/>
  <c r="H14" i="33"/>
  <c r="C16" i="52"/>
  <c r="B104" i="35"/>
  <c r="C37" i="46" s="1"/>
  <c r="D33" i="46" s="1"/>
  <c r="C82" i="46"/>
  <c r="U33" i="46"/>
  <c r="C35" i="46"/>
  <c r="B47" i="67"/>
  <c r="B45" i="67"/>
  <c r="B28" i="67"/>
  <c r="C34" i="81"/>
  <c r="C35" i="81" s="1"/>
  <c r="G37" i="46"/>
  <c r="H35" i="46" s="1"/>
  <c r="V33" i="25"/>
  <c r="W33" i="25"/>
  <c r="K125" i="35"/>
  <c r="K126" i="35" s="1"/>
  <c r="K90" i="35"/>
  <c r="E20" i="53"/>
  <c r="F39" i="47"/>
  <c r="V35" i="46"/>
  <c r="S13" i="33"/>
  <c r="AC14" i="33"/>
  <c r="F12" i="33"/>
  <c r="O12" i="33" s="1"/>
  <c r="F13" i="33"/>
  <c r="H55" i="25" s="1"/>
  <c r="D50" i="64"/>
  <c r="H22" i="47" l="1"/>
  <c r="L48" i="35"/>
  <c r="L48" i="85"/>
  <c r="L73" i="85" s="1"/>
  <c r="K48" i="35"/>
  <c r="K48" i="85"/>
  <c r="K73" i="85" s="1"/>
  <c r="J48" i="35"/>
  <c r="K9" i="53" s="1"/>
  <c r="J48" i="85"/>
  <c r="J73" i="85" s="1"/>
  <c r="V44" i="85"/>
  <c r="V40" i="85"/>
  <c r="E39" i="35"/>
  <c r="E44" i="35" s="1"/>
  <c r="C44" i="85"/>
  <c r="C43" i="85"/>
  <c r="C40" i="85"/>
  <c r="E39" i="85"/>
  <c r="E44" i="85" s="1"/>
  <c r="C80" i="46"/>
  <c r="E43" i="35"/>
  <c r="I70" i="46" s="1"/>
  <c r="C36" i="81"/>
  <c r="D22" i="47"/>
  <c r="D14" i="52"/>
  <c r="D14" i="53" s="1"/>
  <c r="C67" i="35"/>
  <c r="J17" i="86" s="1"/>
  <c r="E17" i="86" s="1"/>
  <c r="C39" i="35"/>
  <c r="E17" i="64"/>
  <c r="E21" i="64"/>
  <c r="E25" i="64"/>
  <c r="E29" i="64"/>
  <c r="E33" i="64"/>
  <c r="E37" i="64"/>
  <c r="E41" i="64"/>
  <c r="E18" i="64"/>
  <c r="E22" i="64"/>
  <c r="E26" i="64"/>
  <c r="E30" i="64"/>
  <c r="E34" i="64"/>
  <c r="E38" i="64"/>
  <c r="E42" i="64"/>
  <c r="E45" i="64"/>
  <c r="D52" i="64"/>
  <c r="E19" i="64"/>
  <c r="E23" i="64"/>
  <c r="E27" i="64"/>
  <c r="E31" i="64"/>
  <c r="E35" i="64"/>
  <c r="E39" i="64"/>
  <c r="E43" i="64"/>
  <c r="E46" i="64"/>
  <c r="E49" i="64"/>
  <c r="E50" i="64"/>
  <c r="E24" i="64"/>
  <c r="E40" i="64"/>
  <c r="E36" i="64"/>
  <c r="E16" i="64"/>
  <c r="E47" i="64"/>
  <c r="E20" i="64"/>
  <c r="E28" i="64"/>
  <c r="E32" i="64"/>
  <c r="E44" i="64"/>
  <c r="D35" i="46"/>
  <c r="U35" i="46"/>
  <c r="E67" i="76"/>
  <c r="AZ3" i="76"/>
  <c r="BL3" i="76" s="1"/>
  <c r="E15" i="11"/>
  <c r="E19" i="11"/>
  <c r="E23" i="11"/>
  <c r="E27" i="11"/>
  <c r="E31" i="11"/>
  <c r="E35" i="11"/>
  <c r="E39" i="11"/>
  <c r="E46" i="11"/>
  <c r="E49" i="11"/>
  <c r="E16" i="11"/>
  <c r="E20" i="11"/>
  <c r="E24" i="11"/>
  <c r="E28" i="11"/>
  <c r="E32" i="11"/>
  <c r="E36" i="11"/>
  <c r="E40" i="11"/>
  <c r="E17" i="11"/>
  <c r="E21" i="11"/>
  <c r="E25" i="11"/>
  <c r="E29" i="11"/>
  <c r="E33" i="11"/>
  <c r="E37" i="11"/>
  <c r="E41" i="11"/>
  <c r="E44" i="11"/>
  <c r="D51" i="11"/>
  <c r="E30" i="11"/>
  <c r="E45" i="11"/>
  <c r="E42" i="11"/>
  <c r="E22" i="11"/>
  <c r="E26" i="11"/>
  <c r="E34" i="11"/>
  <c r="E18" i="11"/>
  <c r="E48" i="11"/>
  <c r="E38" i="11"/>
  <c r="E43" i="11"/>
  <c r="M9" i="53"/>
  <c r="L73" i="35"/>
  <c r="L9" i="53"/>
  <c r="K73" i="35"/>
  <c r="E48" i="64"/>
  <c r="H21" i="46"/>
  <c r="H22" i="46"/>
  <c r="H25" i="46"/>
  <c r="H31" i="46"/>
  <c r="H26" i="46"/>
  <c r="H32" i="46"/>
  <c r="H34" i="46"/>
  <c r="H24" i="46"/>
  <c r="H36" i="46"/>
  <c r="V37" i="46"/>
  <c r="H23" i="46"/>
  <c r="H33" i="46"/>
  <c r="BJ3" i="76"/>
  <c r="P22" i="47"/>
  <c r="O14" i="52"/>
  <c r="O14" i="53" s="1"/>
  <c r="V67" i="35"/>
  <c r="V39" i="35"/>
  <c r="V44" i="35" s="1"/>
  <c r="J31" i="33" s="1"/>
  <c r="D21" i="46"/>
  <c r="D22" i="46"/>
  <c r="D27" i="46"/>
  <c r="D25" i="46"/>
  <c r="D23" i="46"/>
  <c r="D24" i="46"/>
  <c r="D36" i="46"/>
  <c r="D29" i="46"/>
  <c r="D28" i="46"/>
  <c r="D34" i="46"/>
  <c r="D31" i="46"/>
  <c r="D32" i="46"/>
  <c r="D30" i="46"/>
  <c r="U37" i="46"/>
  <c r="D26" i="46"/>
  <c r="Q13" i="33"/>
  <c r="AA14" i="33"/>
  <c r="N86" i="25"/>
  <c r="L51" i="39"/>
  <c r="L52" i="67"/>
  <c r="AA18" i="33"/>
  <c r="C22" i="52"/>
  <c r="C81" i="46"/>
  <c r="N51" i="39"/>
  <c r="N52" i="67"/>
  <c r="BX3" i="76" l="1" a="1"/>
  <c r="BX10" i="76" s="1"/>
  <c r="BY10" i="76" s="1"/>
  <c r="CA10" i="76" s="1"/>
  <c r="I65" i="46"/>
  <c r="J65" i="46" s="1"/>
  <c r="J73" i="35"/>
  <c r="C43" i="35"/>
  <c r="C44" i="35"/>
  <c r="H31" i="33" s="1"/>
  <c r="E69" i="46"/>
  <c r="BR3" i="76"/>
  <c r="BS3" i="76" s="1"/>
  <c r="E73" i="76" s="1"/>
  <c r="Y17" i="33" s="1"/>
  <c r="H37" i="46"/>
  <c r="H29" i="46" s="1"/>
  <c r="P28" i="47"/>
  <c r="V68" i="35"/>
  <c r="D28" i="47"/>
  <c r="C68" i="35"/>
  <c r="D37" i="46"/>
  <c r="V40" i="35"/>
  <c r="R66" i="46" s="1"/>
  <c r="S66" i="46" s="1"/>
  <c r="R65" i="46"/>
  <c r="S65" i="46" s="1"/>
  <c r="R71" i="46"/>
  <c r="C40" i="35"/>
  <c r="E66" i="46" s="1"/>
  <c r="E65" i="46"/>
  <c r="E70" i="46" l="1"/>
  <c r="BX9" i="76"/>
  <c r="BY9" i="76" s="1"/>
  <c r="CA9" i="76" s="1"/>
  <c r="BX4" i="76"/>
  <c r="BY4" i="76" s="1"/>
  <c r="CA4" i="76" s="1"/>
  <c r="BX6" i="76"/>
  <c r="BY6" i="76" s="1"/>
  <c r="CA6" i="76" s="1"/>
  <c r="BX8" i="76"/>
  <c r="BY8" i="76" s="1"/>
  <c r="CA8" i="76" s="1"/>
  <c r="BX5" i="76"/>
  <c r="BY5" i="76" s="1"/>
  <c r="CA5" i="76" s="1"/>
  <c r="BX12" i="76"/>
  <c r="BY12" i="76" s="1"/>
  <c r="CA12" i="76" s="1"/>
  <c r="BX13" i="76"/>
  <c r="BY13" i="76" s="1"/>
  <c r="CA13" i="76" s="1"/>
  <c r="BX11" i="76"/>
  <c r="BY11" i="76" s="1"/>
  <c r="CA11" i="76" s="1"/>
  <c r="BX14" i="76"/>
  <c r="BY14" i="76" s="1"/>
  <c r="CA14" i="76" s="1"/>
  <c r="BX7" i="76"/>
  <c r="BY7" i="76" s="1"/>
  <c r="CA7" i="76" s="1"/>
  <c r="BX3" i="76"/>
  <c r="BY3" i="76" s="1"/>
  <c r="CA3" i="76" s="1"/>
  <c r="H28" i="46"/>
  <c r="H30" i="46"/>
  <c r="E101" i="76"/>
  <c r="Y12" i="33" s="1"/>
  <c r="H27" i="46"/>
  <c r="I31" i="33"/>
  <c r="E71" i="46"/>
  <c r="P30" i="47"/>
  <c r="O18" i="53"/>
  <c r="V70" i="35"/>
  <c r="V65" i="46"/>
  <c r="F65" i="46"/>
  <c r="U65" i="46"/>
  <c r="F66" i="46"/>
  <c r="U66" i="46"/>
  <c r="V66" i="46"/>
  <c r="D30" i="47"/>
  <c r="C70" i="35"/>
  <c r="D18" i="53"/>
  <c r="E107" i="76" l="1"/>
  <c r="Y15" i="33" s="1"/>
  <c r="D34" i="47"/>
  <c r="C72" i="35"/>
  <c r="P34" i="47"/>
  <c r="V72" i="35"/>
  <c r="O20" i="53" l="1"/>
  <c r="P39" i="47"/>
  <c r="D20" i="53"/>
  <c r="D39" i="47"/>
  <c r="I71" i="46"/>
  <c r="C100" i="74"/>
  <c r="C101" i="74" s="1"/>
  <c r="E42" i="35" l="1"/>
  <c r="I69" i="46"/>
  <c r="I99" i="74"/>
  <c r="J99" i="74"/>
  <c r="K99" i="74"/>
  <c r="L99" i="74"/>
  <c r="I101" i="74"/>
  <c r="J101" i="74"/>
  <c r="K101" i="74"/>
  <c r="L101" i="74"/>
  <c r="H10" i="47"/>
  <c r="J10" i="47"/>
  <c r="L10" i="47"/>
  <c r="H11" i="47"/>
  <c r="J11" i="47"/>
  <c r="L11" i="47"/>
  <c r="H16" i="47"/>
  <c r="J16" i="47"/>
  <c r="L16" i="47"/>
  <c r="H19" i="47"/>
  <c r="J19" i="47"/>
  <c r="L19" i="47"/>
  <c r="H21" i="47"/>
  <c r="J21" i="47"/>
  <c r="L21" i="47"/>
  <c r="J22" i="47"/>
  <c r="L22" i="47"/>
  <c r="H24" i="47"/>
  <c r="J24" i="47"/>
  <c r="L24" i="47"/>
  <c r="H25" i="47"/>
  <c r="J25" i="47"/>
  <c r="L25" i="47"/>
  <c r="H28" i="47"/>
  <c r="J28" i="47"/>
  <c r="L28" i="47"/>
  <c r="H30" i="47"/>
  <c r="J30" i="47"/>
  <c r="L30" i="47"/>
  <c r="H34" i="47"/>
  <c r="J34" i="47"/>
  <c r="L34" i="47"/>
  <c r="J37" i="47"/>
  <c r="L37" i="47"/>
  <c r="H39" i="47"/>
  <c r="J39" i="47"/>
  <c r="L39" i="47"/>
  <c r="F10" i="53"/>
  <c r="G10" i="53"/>
  <c r="H10" i="53"/>
  <c r="I10" i="53"/>
  <c r="J10" i="53"/>
  <c r="K10" i="53"/>
  <c r="L10" i="53"/>
  <c r="M10" i="53"/>
  <c r="F13" i="53"/>
  <c r="G13" i="53"/>
  <c r="H13" i="53"/>
  <c r="I13" i="53"/>
  <c r="J13" i="53"/>
  <c r="K13" i="53"/>
  <c r="L13" i="53"/>
  <c r="M13" i="53"/>
  <c r="G14" i="53"/>
  <c r="H14" i="53"/>
  <c r="I14" i="53"/>
  <c r="J14" i="53"/>
  <c r="K14" i="53"/>
  <c r="L14" i="53"/>
  <c r="M14" i="53"/>
  <c r="F16" i="53"/>
  <c r="G16" i="53"/>
  <c r="H16" i="53"/>
  <c r="I16" i="53"/>
  <c r="J16" i="53"/>
  <c r="K16" i="53"/>
  <c r="L16" i="53"/>
  <c r="M16" i="53"/>
  <c r="F17" i="53"/>
  <c r="G17" i="53"/>
  <c r="H17" i="53"/>
  <c r="I17" i="53"/>
  <c r="J17" i="53"/>
  <c r="K17" i="53"/>
  <c r="L17" i="53"/>
  <c r="M17" i="53"/>
  <c r="F18" i="53"/>
  <c r="G18" i="53"/>
  <c r="H18" i="53"/>
  <c r="I18" i="53"/>
  <c r="J18" i="53"/>
  <c r="K18" i="53"/>
  <c r="L18" i="53"/>
  <c r="M18" i="53"/>
  <c r="G19" i="53"/>
  <c r="H19" i="53"/>
  <c r="I19" i="53"/>
  <c r="J19" i="53"/>
  <c r="K19" i="53"/>
  <c r="L19" i="53"/>
  <c r="M19" i="53"/>
  <c r="F20" i="53"/>
  <c r="G20" i="53"/>
  <c r="H20" i="53"/>
  <c r="I20" i="53"/>
  <c r="J20" i="53"/>
  <c r="K20" i="53"/>
  <c r="L20" i="53"/>
  <c r="M20" i="53"/>
  <c r="P32" i="25"/>
  <c r="Q32" i="25"/>
  <c r="R32" i="25"/>
  <c r="S32" i="25"/>
  <c r="T32" i="25"/>
  <c r="U32" i="25"/>
  <c r="V32" i="25"/>
  <c r="W32" i="25"/>
  <c r="X32" i="25"/>
  <c r="Y32" i="25"/>
  <c r="Z32" i="25"/>
  <c r="AA32" i="25"/>
  <c r="AB32" i="25"/>
  <c r="AC32" i="25"/>
  <c r="AD32" i="25"/>
  <c r="AE32" i="25"/>
  <c r="P34" i="25"/>
  <c r="Q34" i="25"/>
  <c r="R34" i="25"/>
  <c r="S34" i="25"/>
  <c r="T34" i="25"/>
  <c r="U34" i="25"/>
  <c r="V34" i="25"/>
  <c r="W34" i="25"/>
  <c r="X34" i="25"/>
  <c r="Y34" i="25"/>
  <c r="Z34" i="25"/>
  <c r="AA34" i="25"/>
  <c r="AB34" i="25"/>
  <c r="AC34" i="25"/>
  <c r="AD34" i="25"/>
  <c r="AE34" i="25"/>
  <c r="P35" i="25"/>
  <c r="Q35" i="25"/>
  <c r="R35" i="25"/>
  <c r="S35" i="25"/>
  <c r="T35" i="25"/>
  <c r="U35" i="25"/>
  <c r="V35" i="25"/>
  <c r="W35" i="25"/>
  <c r="X35" i="25"/>
  <c r="Y35" i="25"/>
  <c r="Z35" i="25"/>
  <c r="AA35" i="25"/>
  <c r="AB35" i="25"/>
  <c r="AC35" i="25"/>
  <c r="AD35" i="25"/>
  <c r="AE35" i="25"/>
  <c r="P36" i="25"/>
  <c r="Q36" i="25"/>
  <c r="R36" i="25"/>
  <c r="S36" i="25"/>
  <c r="T36" i="25"/>
  <c r="U36" i="25"/>
  <c r="V36" i="25"/>
  <c r="W36" i="25"/>
  <c r="X36" i="25"/>
  <c r="Y36" i="25"/>
  <c r="Z36" i="25"/>
  <c r="AA36" i="25"/>
  <c r="AB36" i="25"/>
  <c r="AC36" i="25"/>
  <c r="AD36" i="25"/>
  <c r="AE36" i="25"/>
  <c r="Q47" i="25"/>
  <c r="R47" i="25"/>
  <c r="S47" i="25"/>
  <c r="T47" i="25"/>
  <c r="U47" i="25"/>
  <c r="V47" i="25"/>
  <c r="W47" i="25"/>
  <c r="X47" i="25"/>
  <c r="Y47" i="25"/>
  <c r="Z47" i="25"/>
  <c r="AA47" i="25"/>
  <c r="AB47" i="25"/>
  <c r="AC47" i="25"/>
  <c r="AD47" i="25"/>
  <c r="AE47" i="25"/>
  <c r="P48" i="25"/>
  <c r="Q48" i="25"/>
  <c r="R48" i="25"/>
  <c r="S48" i="25"/>
  <c r="T48" i="25"/>
  <c r="U48" i="25"/>
  <c r="V48" i="25"/>
  <c r="W48" i="25"/>
  <c r="X48" i="25"/>
  <c r="Y48" i="25"/>
  <c r="Z48" i="25"/>
  <c r="AA48" i="25"/>
  <c r="AB48" i="25"/>
  <c r="AC48" i="25"/>
  <c r="AD48" i="25"/>
  <c r="AE48" i="25"/>
  <c r="P50" i="25"/>
  <c r="Q50" i="25"/>
  <c r="R50" i="25"/>
  <c r="S50" i="25"/>
  <c r="T50" i="25"/>
  <c r="U50" i="25"/>
  <c r="V50" i="25"/>
  <c r="W50" i="25"/>
  <c r="X50" i="25"/>
  <c r="Y50" i="25"/>
  <c r="Z50" i="25"/>
  <c r="AA50" i="25"/>
  <c r="AB50" i="25"/>
  <c r="AC50" i="25"/>
  <c r="AD50" i="25"/>
  <c r="AE50" i="25"/>
  <c r="P52" i="25"/>
  <c r="Q52" i="25"/>
  <c r="R52" i="25"/>
  <c r="S52" i="25"/>
  <c r="T52" i="25"/>
  <c r="U52" i="25"/>
  <c r="V52" i="25"/>
  <c r="W52" i="25"/>
  <c r="X52" i="25"/>
  <c r="Y52" i="25"/>
  <c r="Z52" i="25"/>
  <c r="AA52" i="25"/>
  <c r="AB52" i="25"/>
  <c r="AC52" i="25"/>
  <c r="AD52" i="25"/>
  <c r="AE52" i="25"/>
  <c r="Q53" i="25"/>
  <c r="R53" i="25"/>
  <c r="S53" i="25"/>
  <c r="T53" i="25"/>
  <c r="U53" i="25"/>
  <c r="V53" i="25"/>
  <c r="W53" i="25"/>
  <c r="X53" i="25"/>
  <c r="Y53" i="25"/>
  <c r="Z53" i="25"/>
  <c r="AA53" i="25"/>
  <c r="AB53" i="25"/>
  <c r="AC53" i="25"/>
  <c r="AD53" i="25"/>
  <c r="AE53" i="25"/>
  <c r="P54" i="25"/>
  <c r="Q54" i="25"/>
  <c r="R54" i="25"/>
  <c r="S54" i="25"/>
  <c r="T54" i="25"/>
  <c r="U54" i="25"/>
  <c r="V54" i="25"/>
  <c r="W54" i="25"/>
  <c r="X54" i="25"/>
  <c r="Y54" i="25"/>
  <c r="Z54" i="25"/>
  <c r="AA54" i="25"/>
  <c r="AB54" i="25"/>
  <c r="AC54" i="25"/>
  <c r="AD54" i="25"/>
  <c r="AE54" i="25"/>
  <c r="P55" i="25"/>
  <c r="Q55" i="25"/>
  <c r="R55" i="25"/>
  <c r="S55" i="25"/>
  <c r="T55" i="25"/>
  <c r="U55" i="25"/>
  <c r="V55" i="25"/>
  <c r="W55" i="25"/>
  <c r="X55" i="25"/>
  <c r="Y55" i="25"/>
  <c r="Z55" i="25"/>
  <c r="AA55" i="25"/>
  <c r="AB55" i="25"/>
  <c r="AC55" i="25"/>
  <c r="AD55" i="25"/>
  <c r="AE55" i="25"/>
  <c r="F13" i="52"/>
  <c r="G13" i="52"/>
  <c r="H13" i="52"/>
  <c r="I13" i="52"/>
  <c r="J13" i="52"/>
  <c r="K13" i="52"/>
  <c r="L13" i="52"/>
  <c r="M13" i="52"/>
  <c r="G14" i="52"/>
  <c r="H14" i="52"/>
  <c r="I14" i="52"/>
  <c r="J14" i="52"/>
  <c r="K14" i="52"/>
  <c r="L14" i="52"/>
  <c r="M14" i="52"/>
  <c r="F15" i="52"/>
  <c r="G15" i="52"/>
  <c r="H15" i="52"/>
  <c r="I15" i="52"/>
  <c r="J15" i="52"/>
  <c r="K15" i="52"/>
  <c r="L15" i="52"/>
  <c r="M15" i="52"/>
  <c r="F16" i="52"/>
  <c r="G16" i="52"/>
  <c r="H16" i="52"/>
  <c r="I16" i="52"/>
  <c r="J16" i="52"/>
  <c r="K16" i="52"/>
  <c r="L16" i="52"/>
  <c r="M16" i="52"/>
  <c r="F17" i="52"/>
  <c r="G17" i="52"/>
  <c r="H17" i="52"/>
  <c r="I17" i="52"/>
  <c r="J17" i="52"/>
  <c r="K17" i="52"/>
  <c r="L17" i="52"/>
  <c r="M17" i="52"/>
  <c r="F18" i="52"/>
  <c r="G18" i="52"/>
  <c r="H18" i="52"/>
  <c r="I18" i="52"/>
  <c r="J18" i="52"/>
  <c r="K18" i="52"/>
  <c r="L18" i="52"/>
  <c r="M18" i="52"/>
  <c r="F19" i="52"/>
  <c r="G19" i="52"/>
  <c r="H19" i="52"/>
  <c r="I19" i="52"/>
  <c r="J19" i="52"/>
  <c r="K19" i="52"/>
  <c r="L19" i="52"/>
  <c r="M19" i="52"/>
  <c r="F20" i="52"/>
  <c r="G20" i="52"/>
  <c r="H20" i="52"/>
  <c r="I20" i="52"/>
  <c r="J20" i="52"/>
  <c r="K20" i="52"/>
  <c r="L20" i="52"/>
  <c r="M20" i="52"/>
  <c r="F21" i="52"/>
  <c r="G21" i="52"/>
  <c r="H21" i="52"/>
  <c r="I21" i="52"/>
  <c r="J21" i="52"/>
  <c r="K21" i="52"/>
  <c r="L21" i="52"/>
  <c r="M21" i="52"/>
  <c r="F22" i="52"/>
  <c r="G22" i="52"/>
  <c r="H22" i="52"/>
  <c r="I22" i="52"/>
  <c r="J22" i="52"/>
  <c r="K22" i="52"/>
  <c r="L22" i="52"/>
  <c r="M22" i="52"/>
  <c r="G57" i="56"/>
  <c r="H57" i="56"/>
  <c r="N57" i="56"/>
  <c r="O57" i="56"/>
  <c r="G58" i="56"/>
  <c r="H58" i="56"/>
  <c r="N58" i="56"/>
  <c r="O58" i="56"/>
  <c r="G59" i="56"/>
  <c r="H59" i="56"/>
  <c r="E25" i="85"/>
  <c r="F25" i="85"/>
  <c r="G25" i="85"/>
  <c r="H25" i="85"/>
  <c r="I25" i="85"/>
  <c r="J25" i="85"/>
  <c r="K25" i="85"/>
  <c r="L25" i="85"/>
  <c r="M25" i="85"/>
  <c r="N25" i="85"/>
  <c r="O25" i="85"/>
  <c r="P25" i="85"/>
  <c r="Q25" i="85"/>
  <c r="R25" i="85"/>
  <c r="S25" i="85"/>
  <c r="T25" i="85"/>
  <c r="E26" i="85"/>
  <c r="F26" i="85"/>
  <c r="G26" i="85"/>
  <c r="H26" i="85"/>
  <c r="I26" i="85"/>
  <c r="J26" i="85"/>
  <c r="K26" i="85"/>
  <c r="L26" i="85"/>
  <c r="M26" i="85"/>
  <c r="N26" i="85"/>
  <c r="O26" i="85"/>
  <c r="P26" i="85"/>
  <c r="Q26" i="85"/>
  <c r="R26" i="85"/>
  <c r="S26" i="85"/>
  <c r="T26" i="85"/>
  <c r="E27" i="85"/>
  <c r="F27" i="85"/>
  <c r="G27" i="85"/>
  <c r="H27" i="85"/>
  <c r="I27" i="85"/>
  <c r="J27" i="85"/>
  <c r="K27" i="85"/>
  <c r="L27" i="85"/>
  <c r="M27" i="85"/>
  <c r="N27" i="85"/>
  <c r="O27" i="85"/>
  <c r="P27" i="85"/>
  <c r="Q27" i="85"/>
  <c r="R27" i="85"/>
  <c r="S27" i="85"/>
  <c r="T27" i="85"/>
  <c r="E31" i="85"/>
  <c r="F31" i="85"/>
  <c r="G31" i="85"/>
  <c r="H31" i="85"/>
  <c r="I31" i="85"/>
  <c r="J31" i="85"/>
  <c r="K31" i="85"/>
  <c r="L31" i="85"/>
  <c r="M31" i="85"/>
  <c r="N31" i="85"/>
  <c r="O31" i="85"/>
  <c r="P31" i="85"/>
  <c r="Q31" i="85"/>
  <c r="R31" i="85"/>
  <c r="S31" i="85"/>
  <c r="T31" i="85"/>
  <c r="E33" i="85"/>
  <c r="F33" i="85"/>
  <c r="G33" i="85"/>
  <c r="H33" i="85"/>
  <c r="I33" i="85"/>
  <c r="J33" i="85"/>
  <c r="K33" i="85"/>
  <c r="L33" i="85"/>
  <c r="M33" i="85"/>
  <c r="N33" i="85"/>
  <c r="O33" i="85"/>
  <c r="P33" i="85"/>
  <c r="Q33" i="85"/>
  <c r="R33" i="85"/>
  <c r="S33" i="85"/>
  <c r="T33" i="85"/>
  <c r="E34" i="85"/>
  <c r="F34" i="85"/>
  <c r="G34" i="85"/>
  <c r="H34" i="85"/>
  <c r="I34" i="85"/>
  <c r="J34" i="85"/>
  <c r="K34" i="85"/>
  <c r="L34" i="85"/>
  <c r="M34" i="85"/>
  <c r="N34" i="85"/>
  <c r="O34" i="85"/>
  <c r="P34" i="85"/>
  <c r="Q34" i="85"/>
  <c r="R34" i="85"/>
  <c r="S34" i="85"/>
  <c r="T34" i="85"/>
  <c r="E35" i="85"/>
  <c r="F35" i="85"/>
  <c r="G35" i="85"/>
  <c r="H35" i="85"/>
  <c r="I35" i="85"/>
  <c r="J35" i="85"/>
  <c r="K35" i="85"/>
  <c r="L35" i="85"/>
  <c r="M35" i="85"/>
  <c r="N35" i="85"/>
  <c r="O35" i="85"/>
  <c r="P35" i="85"/>
  <c r="Q35" i="85"/>
  <c r="R35" i="85"/>
  <c r="S35" i="85"/>
  <c r="T35" i="85"/>
  <c r="E36" i="85"/>
  <c r="F36" i="85"/>
  <c r="G36" i="85"/>
  <c r="H36" i="85"/>
  <c r="I36" i="85"/>
  <c r="J36" i="85"/>
  <c r="K36" i="85"/>
  <c r="L36" i="85"/>
  <c r="M36" i="85"/>
  <c r="N36" i="85"/>
  <c r="O36" i="85"/>
  <c r="P36" i="85"/>
  <c r="Q36" i="85"/>
  <c r="R36" i="85"/>
  <c r="S36" i="85"/>
  <c r="T36" i="85"/>
  <c r="E38" i="85"/>
  <c r="F38" i="85"/>
  <c r="G38" i="85"/>
  <c r="H38" i="85"/>
  <c r="I38" i="85"/>
  <c r="J38" i="85"/>
  <c r="K38" i="85"/>
  <c r="L38" i="85"/>
  <c r="M38" i="85"/>
  <c r="N38" i="85"/>
  <c r="O38" i="85"/>
  <c r="P38" i="85"/>
  <c r="Q38" i="85"/>
  <c r="R38" i="85"/>
  <c r="S38" i="85"/>
  <c r="T38" i="85"/>
  <c r="F39" i="85"/>
  <c r="G39" i="85"/>
  <c r="H39" i="85"/>
  <c r="I39" i="85"/>
  <c r="J39" i="85"/>
  <c r="K39" i="85"/>
  <c r="L39" i="85"/>
  <c r="M39" i="85"/>
  <c r="N39" i="85"/>
  <c r="O39" i="85"/>
  <c r="P39" i="85"/>
  <c r="Q39" i="85"/>
  <c r="R39" i="85"/>
  <c r="S39" i="85"/>
  <c r="T39" i="85"/>
  <c r="E40" i="85"/>
  <c r="F40" i="85"/>
  <c r="G40" i="85"/>
  <c r="H40" i="85"/>
  <c r="I40" i="85"/>
  <c r="J40" i="85"/>
  <c r="K40" i="85"/>
  <c r="L40" i="85"/>
  <c r="M40" i="85"/>
  <c r="N40" i="85"/>
  <c r="O40" i="85"/>
  <c r="P40" i="85"/>
  <c r="Q40" i="85"/>
  <c r="R40" i="85"/>
  <c r="S40" i="85"/>
  <c r="T40" i="85"/>
  <c r="F44" i="85"/>
  <c r="G44" i="85"/>
  <c r="H44" i="85"/>
  <c r="I44" i="85"/>
  <c r="J44" i="85"/>
  <c r="K44" i="85"/>
  <c r="L44" i="85"/>
  <c r="M44" i="85"/>
  <c r="N44" i="85"/>
  <c r="O44" i="85"/>
  <c r="P44" i="85"/>
  <c r="Q44" i="85"/>
  <c r="R44" i="85"/>
  <c r="S44" i="85"/>
  <c r="T44" i="85"/>
  <c r="E50" i="85"/>
  <c r="F50" i="85"/>
  <c r="G50" i="85"/>
  <c r="H50" i="85"/>
  <c r="I50" i="85"/>
  <c r="J50" i="85"/>
  <c r="K50" i="85"/>
  <c r="L50" i="85"/>
  <c r="M50" i="85"/>
  <c r="N50" i="85"/>
  <c r="O50" i="85"/>
  <c r="P50" i="85"/>
  <c r="Q50" i="85"/>
  <c r="R50" i="85"/>
  <c r="S50" i="85"/>
  <c r="T50" i="85"/>
  <c r="E51" i="85"/>
  <c r="F51" i="85"/>
  <c r="G51" i="85"/>
  <c r="H51" i="85"/>
  <c r="I51" i="85"/>
  <c r="J51" i="85"/>
  <c r="K51" i="85"/>
  <c r="L51" i="85"/>
  <c r="M51" i="85"/>
  <c r="N51" i="85"/>
  <c r="O51" i="85"/>
  <c r="P51" i="85"/>
  <c r="Q51" i="85"/>
  <c r="R51" i="85"/>
  <c r="S51" i="85"/>
  <c r="T51" i="85"/>
  <c r="E56" i="85"/>
  <c r="F56" i="85"/>
  <c r="G56" i="85"/>
  <c r="H56" i="85"/>
  <c r="I56" i="85"/>
  <c r="J56" i="85"/>
  <c r="K56" i="85"/>
  <c r="L56" i="85"/>
  <c r="M56" i="85"/>
  <c r="N56" i="85"/>
  <c r="O56" i="85"/>
  <c r="P56" i="85"/>
  <c r="Q56" i="85"/>
  <c r="R56" i="85"/>
  <c r="S56" i="85"/>
  <c r="T56" i="85"/>
  <c r="E59" i="85"/>
  <c r="F59" i="85"/>
  <c r="G59" i="85"/>
  <c r="H59" i="85"/>
  <c r="I59" i="85"/>
  <c r="J59" i="85"/>
  <c r="K59" i="85"/>
  <c r="L59" i="85"/>
  <c r="M59" i="85"/>
  <c r="N59" i="85"/>
  <c r="O59" i="85"/>
  <c r="P59" i="85"/>
  <c r="Q59" i="85"/>
  <c r="R59" i="85"/>
  <c r="S59" i="85"/>
  <c r="T59" i="85"/>
  <c r="E60" i="85"/>
  <c r="F60" i="85"/>
  <c r="G60" i="85"/>
  <c r="H60" i="85"/>
  <c r="I60" i="85"/>
  <c r="J60" i="85"/>
  <c r="K60" i="85"/>
  <c r="L60" i="85"/>
  <c r="M60" i="85"/>
  <c r="N60" i="85"/>
  <c r="O60" i="85"/>
  <c r="P60" i="85"/>
  <c r="Q60" i="85"/>
  <c r="R60" i="85"/>
  <c r="S60" i="85"/>
  <c r="T60" i="85"/>
  <c r="F61" i="85"/>
  <c r="G61" i="85"/>
  <c r="H61" i="85"/>
  <c r="I61" i="85"/>
  <c r="J61" i="85"/>
  <c r="K61" i="85"/>
  <c r="L61" i="85"/>
  <c r="M61" i="85"/>
  <c r="N61" i="85"/>
  <c r="O61" i="85"/>
  <c r="P61" i="85"/>
  <c r="Q61" i="85"/>
  <c r="R61" i="85"/>
  <c r="S61" i="85"/>
  <c r="T61" i="85"/>
  <c r="E63" i="85"/>
  <c r="F63" i="85"/>
  <c r="G63" i="85"/>
  <c r="H63" i="85"/>
  <c r="I63" i="85"/>
  <c r="J63" i="85"/>
  <c r="K63" i="85"/>
  <c r="L63" i="85"/>
  <c r="M63" i="85"/>
  <c r="N63" i="85"/>
  <c r="O63" i="85"/>
  <c r="P63" i="85"/>
  <c r="Q63" i="85"/>
  <c r="R63" i="85"/>
  <c r="S63" i="85"/>
  <c r="T63" i="85"/>
  <c r="E64" i="85"/>
  <c r="F64" i="85"/>
  <c r="G64" i="85"/>
  <c r="H64" i="85"/>
  <c r="I64" i="85"/>
  <c r="J64" i="85"/>
  <c r="K64" i="85"/>
  <c r="L64" i="85"/>
  <c r="M64" i="85"/>
  <c r="N64" i="85"/>
  <c r="O64" i="85"/>
  <c r="P64" i="85"/>
  <c r="Q64" i="85"/>
  <c r="R64" i="85"/>
  <c r="S64" i="85"/>
  <c r="T64" i="85"/>
  <c r="E67" i="85"/>
  <c r="F67" i="85"/>
  <c r="G67" i="85"/>
  <c r="H67" i="85"/>
  <c r="I67" i="85"/>
  <c r="J67" i="85"/>
  <c r="K67" i="85"/>
  <c r="L67" i="85"/>
  <c r="M67" i="85"/>
  <c r="N67" i="85"/>
  <c r="O67" i="85"/>
  <c r="P67" i="85"/>
  <c r="Q67" i="85"/>
  <c r="R67" i="85"/>
  <c r="S67" i="85"/>
  <c r="T67" i="85"/>
  <c r="E68" i="85"/>
  <c r="F68" i="85"/>
  <c r="G68" i="85"/>
  <c r="H68" i="85"/>
  <c r="I68" i="85"/>
  <c r="J68" i="85"/>
  <c r="K68" i="85"/>
  <c r="L68" i="85"/>
  <c r="M68" i="85"/>
  <c r="N68" i="85"/>
  <c r="O68" i="85"/>
  <c r="P68" i="85"/>
  <c r="Q68" i="85"/>
  <c r="R68" i="85"/>
  <c r="S68" i="85"/>
  <c r="T68" i="85"/>
  <c r="E70" i="85"/>
  <c r="F70" i="85"/>
  <c r="G70" i="85"/>
  <c r="H70" i="85"/>
  <c r="I70" i="85"/>
  <c r="J70" i="85"/>
  <c r="K70" i="85"/>
  <c r="L70" i="85"/>
  <c r="M70" i="85"/>
  <c r="N70" i="85"/>
  <c r="O70" i="85"/>
  <c r="P70" i="85"/>
  <c r="Q70" i="85"/>
  <c r="R70" i="85"/>
  <c r="S70" i="85"/>
  <c r="T70" i="85"/>
  <c r="F71" i="85"/>
  <c r="G71" i="85"/>
  <c r="H71" i="85"/>
  <c r="I71" i="85"/>
  <c r="J71" i="85"/>
  <c r="K71" i="85"/>
  <c r="L71" i="85"/>
  <c r="M71" i="85"/>
  <c r="N71" i="85"/>
  <c r="O71" i="85"/>
  <c r="P71" i="85"/>
  <c r="Q71" i="85"/>
  <c r="R71" i="85"/>
  <c r="S71" i="85"/>
  <c r="T71" i="85"/>
  <c r="E72" i="85"/>
  <c r="F72" i="85"/>
  <c r="G72" i="85"/>
  <c r="H72" i="85"/>
  <c r="I72" i="85"/>
  <c r="J72" i="85"/>
  <c r="K72" i="85"/>
  <c r="L72" i="85"/>
  <c r="M72" i="85"/>
  <c r="N72" i="85"/>
  <c r="O72" i="85"/>
  <c r="P72" i="85"/>
  <c r="Q72" i="85"/>
  <c r="R72" i="85"/>
  <c r="S72" i="85"/>
  <c r="T72" i="85"/>
  <c r="E75" i="85"/>
  <c r="F75" i="85"/>
  <c r="G75" i="85"/>
  <c r="H75" i="85"/>
  <c r="I75" i="85"/>
  <c r="J75" i="85"/>
  <c r="K75" i="85"/>
  <c r="L75" i="85"/>
  <c r="M75" i="85"/>
  <c r="N75" i="85"/>
  <c r="O75" i="85"/>
  <c r="P75" i="85"/>
  <c r="Q75" i="85"/>
  <c r="R75" i="85"/>
  <c r="S75" i="85"/>
  <c r="T75" i="85"/>
  <c r="E80" i="85"/>
  <c r="F80" i="85"/>
  <c r="G80" i="85"/>
  <c r="H80" i="85"/>
  <c r="I80" i="85"/>
  <c r="J80" i="85"/>
  <c r="K80" i="85"/>
  <c r="L80" i="85"/>
  <c r="M80" i="85"/>
  <c r="N80" i="85"/>
  <c r="O80" i="85"/>
  <c r="P80" i="85"/>
  <c r="Q80" i="85"/>
  <c r="R80" i="85"/>
  <c r="S80" i="85"/>
  <c r="T80" i="85"/>
  <c r="E86" i="85"/>
  <c r="F86" i="85"/>
  <c r="G86" i="85"/>
  <c r="H86" i="85"/>
  <c r="I86" i="85"/>
  <c r="J86" i="85"/>
  <c r="K86" i="85"/>
  <c r="L86" i="85"/>
  <c r="M86" i="85"/>
  <c r="N86" i="85"/>
  <c r="O86" i="85"/>
  <c r="P86" i="85"/>
  <c r="Q86" i="85"/>
  <c r="R86" i="85"/>
  <c r="S86" i="85"/>
  <c r="T86" i="85"/>
  <c r="E88" i="85"/>
  <c r="F88" i="85"/>
  <c r="G88" i="85"/>
  <c r="H88" i="85"/>
  <c r="I88" i="85"/>
  <c r="J88" i="85"/>
  <c r="K88" i="85"/>
  <c r="L88" i="85"/>
  <c r="M88" i="85"/>
  <c r="N88" i="85"/>
  <c r="O88" i="85"/>
  <c r="P88" i="85"/>
  <c r="Q88" i="85"/>
  <c r="R88" i="85"/>
  <c r="S88" i="85"/>
  <c r="T88" i="85"/>
  <c r="E93" i="85"/>
  <c r="F93" i="85"/>
  <c r="G93" i="85"/>
  <c r="H93" i="85"/>
  <c r="I93" i="85"/>
  <c r="J93" i="85"/>
  <c r="K93" i="85"/>
  <c r="L93" i="85"/>
  <c r="M93" i="85"/>
  <c r="N93" i="85"/>
  <c r="O93" i="85"/>
  <c r="P93" i="85"/>
  <c r="Q93" i="85"/>
  <c r="R93" i="85"/>
  <c r="S93" i="85"/>
  <c r="T93" i="85"/>
  <c r="E100" i="85"/>
  <c r="F100" i="85"/>
  <c r="G100" i="85"/>
  <c r="H100" i="85"/>
  <c r="I100" i="85"/>
  <c r="J100" i="85"/>
  <c r="K100" i="85"/>
  <c r="L100" i="85"/>
  <c r="M100" i="85"/>
  <c r="N100" i="85"/>
  <c r="O100" i="85"/>
  <c r="P100" i="85"/>
  <c r="Q100" i="85"/>
  <c r="R100" i="85"/>
  <c r="S100" i="85"/>
  <c r="T100" i="85"/>
  <c r="E102" i="85"/>
  <c r="F102" i="85"/>
  <c r="G102" i="85"/>
  <c r="H102" i="85"/>
  <c r="I102" i="85"/>
  <c r="J102" i="85"/>
  <c r="K102" i="85"/>
  <c r="L102" i="85"/>
  <c r="M102" i="85"/>
  <c r="N102" i="85"/>
  <c r="O102" i="85"/>
  <c r="P102" i="85"/>
  <c r="Q102" i="85"/>
  <c r="R102" i="85"/>
  <c r="S102" i="85"/>
  <c r="T102" i="85"/>
  <c r="E103" i="85"/>
  <c r="F103" i="85"/>
  <c r="G103" i="85"/>
  <c r="H103" i="85"/>
  <c r="I103" i="85"/>
  <c r="J103" i="85"/>
  <c r="K103" i="85"/>
  <c r="L103" i="85"/>
  <c r="M103" i="85"/>
  <c r="N103" i="85"/>
  <c r="O103" i="85"/>
  <c r="P103" i="85"/>
  <c r="Q103" i="85"/>
  <c r="R103" i="85"/>
  <c r="S103" i="85"/>
  <c r="T103" i="85"/>
  <c r="E104" i="85"/>
  <c r="F104" i="85"/>
  <c r="G104" i="85"/>
  <c r="H104" i="85"/>
  <c r="I104" i="85"/>
  <c r="J104" i="85"/>
  <c r="K104" i="85"/>
  <c r="L104" i="85"/>
  <c r="M104" i="85"/>
  <c r="N104" i="85"/>
  <c r="O104" i="85"/>
  <c r="P104" i="85"/>
  <c r="Q104" i="85"/>
  <c r="R104" i="85"/>
  <c r="S104" i="85"/>
  <c r="T104" i="85"/>
  <c r="E107" i="85"/>
  <c r="F107" i="85"/>
  <c r="G107" i="85"/>
  <c r="H107" i="85"/>
  <c r="I107" i="85"/>
  <c r="J107" i="85"/>
  <c r="K107" i="85"/>
  <c r="L107" i="85"/>
  <c r="M107" i="85"/>
  <c r="N107" i="85"/>
  <c r="O107" i="85"/>
  <c r="P107" i="85"/>
  <c r="Q107" i="85"/>
  <c r="R107" i="85"/>
  <c r="S107" i="85"/>
  <c r="T107" i="85"/>
  <c r="E108" i="85"/>
  <c r="F108" i="85"/>
  <c r="G108" i="85"/>
  <c r="H108" i="85"/>
  <c r="I108" i="85"/>
  <c r="J108" i="85"/>
  <c r="K108" i="85"/>
  <c r="L108" i="85"/>
  <c r="M108" i="85"/>
  <c r="N108" i="85"/>
  <c r="O108" i="85"/>
  <c r="P108" i="85"/>
  <c r="Q108" i="85"/>
  <c r="R108" i="85"/>
  <c r="S108" i="85"/>
  <c r="T108" i="85"/>
  <c r="E109" i="85"/>
  <c r="F109" i="85"/>
  <c r="G109" i="85"/>
  <c r="H109" i="85"/>
  <c r="I109" i="85"/>
  <c r="J109" i="85"/>
  <c r="K109" i="85"/>
  <c r="L109" i="85"/>
  <c r="M109" i="85"/>
  <c r="N109" i="85"/>
  <c r="O109" i="85"/>
  <c r="P109" i="85"/>
  <c r="Q109" i="85"/>
  <c r="R109" i="85"/>
  <c r="S109" i="85"/>
  <c r="T109" i="85"/>
  <c r="E110" i="85"/>
  <c r="F110" i="85"/>
  <c r="G110" i="85"/>
  <c r="H110" i="85"/>
  <c r="I110" i="85"/>
  <c r="J110" i="85"/>
  <c r="K110" i="85"/>
  <c r="L110" i="85"/>
  <c r="M110" i="85"/>
  <c r="N110" i="85"/>
  <c r="O110" i="85"/>
  <c r="P110" i="85"/>
  <c r="Q110" i="85"/>
  <c r="R110" i="85"/>
  <c r="S110" i="85"/>
  <c r="T110" i="85"/>
  <c r="E111" i="85"/>
  <c r="F111" i="85"/>
  <c r="G111" i="85"/>
  <c r="H111" i="85"/>
  <c r="I111" i="85"/>
  <c r="J111" i="85"/>
  <c r="K111" i="85"/>
  <c r="L111" i="85"/>
  <c r="M111" i="85"/>
  <c r="N111" i="85"/>
  <c r="O111" i="85"/>
  <c r="P111" i="85"/>
  <c r="Q111" i="85"/>
  <c r="R111" i="85"/>
  <c r="S111" i="85"/>
  <c r="T111" i="85"/>
  <c r="E112" i="85"/>
  <c r="F112" i="85"/>
  <c r="G112" i="85"/>
  <c r="H112" i="85"/>
  <c r="I112" i="85"/>
  <c r="J112" i="85"/>
  <c r="K112" i="85"/>
  <c r="L112" i="85"/>
  <c r="M112" i="85"/>
  <c r="N112" i="85"/>
  <c r="O112" i="85"/>
  <c r="P112" i="85"/>
  <c r="Q112" i="85"/>
  <c r="R112" i="85"/>
  <c r="S112" i="85"/>
  <c r="T112" i="85"/>
  <c r="E113" i="85"/>
  <c r="F113" i="85"/>
  <c r="G113" i="85"/>
  <c r="H113" i="85"/>
  <c r="I113" i="85"/>
  <c r="J113" i="85"/>
  <c r="K113" i="85"/>
  <c r="L113" i="85"/>
  <c r="M113" i="85"/>
  <c r="N113" i="85"/>
  <c r="O113" i="85"/>
  <c r="P113" i="85"/>
  <c r="Q113" i="85"/>
  <c r="R113" i="85"/>
  <c r="S113" i="85"/>
  <c r="T113" i="85"/>
  <c r="E114" i="85"/>
  <c r="F114" i="85"/>
  <c r="G114" i="85"/>
  <c r="H114" i="85"/>
  <c r="I114" i="85"/>
  <c r="J114" i="85"/>
  <c r="K114" i="85"/>
  <c r="L114" i="85"/>
  <c r="M114" i="85"/>
  <c r="N114" i="85"/>
  <c r="O114" i="85"/>
  <c r="P114" i="85"/>
  <c r="Q114" i="85"/>
  <c r="R114" i="85"/>
  <c r="S114" i="85"/>
  <c r="T114" i="85"/>
  <c r="E115" i="85"/>
  <c r="F115" i="85"/>
  <c r="G115" i="85"/>
  <c r="H115" i="85"/>
  <c r="I115" i="85"/>
  <c r="J115" i="85"/>
  <c r="K115" i="85"/>
  <c r="L115" i="85"/>
  <c r="M115" i="85"/>
  <c r="N115" i="85"/>
  <c r="O115" i="85"/>
  <c r="P115" i="85"/>
  <c r="Q115" i="85"/>
  <c r="R115" i="85"/>
  <c r="S115" i="85"/>
  <c r="T115" i="85"/>
  <c r="E116" i="85"/>
  <c r="F116" i="85"/>
  <c r="G116" i="85"/>
  <c r="H116" i="85"/>
  <c r="I116" i="85"/>
  <c r="J116" i="85"/>
  <c r="K116" i="85"/>
  <c r="L116" i="85"/>
  <c r="M116" i="85"/>
  <c r="N116" i="85"/>
  <c r="O116" i="85"/>
  <c r="P116" i="85"/>
  <c r="Q116" i="85"/>
  <c r="R116" i="85"/>
  <c r="S116" i="85"/>
  <c r="T116" i="85"/>
  <c r="E118" i="85"/>
  <c r="F118" i="85"/>
  <c r="G118" i="85"/>
  <c r="H118" i="85"/>
  <c r="I118" i="85"/>
  <c r="J118" i="85"/>
  <c r="K118" i="85"/>
  <c r="L118" i="85"/>
  <c r="M118" i="85"/>
  <c r="N118" i="85"/>
  <c r="O118" i="85"/>
  <c r="P118" i="85"/>
  <c r="Q118" i="85"/>
  <c r="R118" i="85"/>
  <c r="S118" i="85"/>
  <c r="T118" i="85"/>
  <c r="E119" i="85"/>
  <c r="F119" i="85"/>
  <c r="G119" i="85"/>
  <c r="H119" i="85"/>
  <c r="I119" i="85"/>
  <c r="J119" i="85"/>
  <c r="K119" i="85"/>
  <c r="L119" i="85"/>
  <c r="M119" i="85"/>
  <c r="N119" i="85"/>
  <c r="O119" i="85"/>
  <c r="P119" i="85"/>
  <c r="Q119" i="85"/>
  <c r="R119" i="85"/>
  <c r="S119" i="85"/>
  <c r="T119" i="85"/>
  <c r="E120" i="85"/>
  <c r="F120" i="85"/>
  <c r="G120" i="85"/>
  <c r="H120" i="85"/>
  <c r="I120" i="85"/>
  <c r="J120" i="85"/>
  <c r="K120" i="85"/>
  <c r="L120" i="85"/>
  <c r="M120" i="85"/>
  <c r="N120" i="85"/>
  <c r="O120" i="85"/>
  <c r="P120" i="85"/>
  <c r="Q120" i="85"/>
  <c r="R120" i="85"/>
  <c r="S120" i="85"/>
  <c r="T120" i="85"/>
  <c r="E121" i="85"/>
  <c r="F121" i="85"/>
  <c r="G121" i="85"/>
  <c r="H121" i="85"/>
  <c r="I121" i="85"/>
  <c r="J121" i="85"/>
  <c r="K121" i="85"/>
  <c r="L121" i="85"/>
  <c r="M121" i="85"/>
  <c r="N121" i="85"/>
  <c r="O121" i="85"/>
  <c r="P121" i="85"/>
  <c r="Q121" i="85"/>
  <c r="R121" i="85"/>
  <c r="S121" i="85"/>
  <c r="T121" i="85"/>
  <c r="E123" i="85"/>
  <c r="F123" i="85"/>
  <c r="G123" i="85"/>
  <c r="H123" i="85"/>
  <c r="I123" i="85"/>
  <c r="J123" i="85"/>
  <c r="K123" i="85"/>
  <c r="L123" i="85"/>
  <c r="M123" i="85"/>
  <c r="N123" i="85"/>
  <c r="O123" i="85"/>
  <c r="P123" i="85"/>
  <c r="Q123" i="85"/>
  <c r="R123" i="85"/>
  <c r="S123" i="85"/>
  <c r="T123" i="85"/>
  <c r="E124" i="85"/>
  <c r="F124" i="85"/>
  <c r="G124" i="85"/>
  <c r="H124" i="85"/>
  <c r="I124" i="85"/>
  <c r="J124" i="85"/>
  <c r="K124" i="85"/>
  <c r="L124" i="85"/>
  <c r="M124" i="85"/>
  <c r="N124" i="85"/>
  <c r="O124" i="85"/>
  <c r="P124" i="85"/>
  <c r="Q124" i="85"/>
  <c r="R124" i="85"/>
  <c r="S124" i="85"/>
  <c r="T124" i="85"/>
  <c r="H15" i="73"/>
  <c r="G57" i="70"/>
  <c r="H57" i="70"/>
  <c r="N57" i="70"/>
  <c r="O57" i="70"/>
  <c r="G58" i="70"/>
  <c r="H58" i="70"/>
  <c r="N58" i="70"/>
  <c r="O58" i="70"/>
  <c r="G59" i="70"/>
  <c r="H59" i="70"/>
  <c r="H60" i="40"/>
  <c r="I60" i="40"/>
  <c r="J60" i="40"/>
  <c r="K60" i="40"/>
  <c r="L60" i="40"/>
  <c r="M60" i="40"/>
  <c r="N60" i="40"/>
  <c r="O60" i="40"/>
  <c r="P60" i="40"/>
  <c r="Q60" i="40"/>
  <c r="R60" i="40"/>
  <c r="S60" i="40"/>
  <c r="T60" i="40"/>
  <c r="U60" i="40"/>
  <c r="V60" i="40"/>
  <c r="W60" i="40"/>
  <c r="H66" i="40"/>
  <c r="I66" i="40"/>
  <c r="J66" i="40"/>
  <c r="K66" i="40"/>
  <c r="L66" i="40"/>
  <c r="M66" i="40"/>
  <c r="N66" i="40"/>
  <c r="O66" i="40"/>
  <c r="P66" i="40"/>
  <c r="Q66" i="40"/>
  <c r="R66" i="40"/>
  <c r="S66" i="40"/>
  <c r="T66" i="40"/>
  <c r="U66" i="40"/>
  <c r="V66" i="40"/>
  <c r="W66" i="40"/>
  <c r="H70" i="40"/>
  <c r="I70" i="40"/>
  <c r="J70" i="40"/>
  <c r="K70" i="40"/>
  <c r="L70" i="40"/>
  <c r="M70" i="40"/>
  <c r="N70" i="40"/>
  <c r="O70" i="40"/>
  <c r="P70" i="40"/>
  <c r="Q70" i="40"/>
  <c r="R70" i="40"/>
  <c r="S70" i="40"/>
  <c r="T70" i="40"/>
  <c r="U70" i="40"/>
  <c r="V70" i="40"/>
  <c r="W70" i="40"/>
  <c r="H71" i="40"/>
  <c r="I71" i="40"/>
  <c r="J71" i="40"/>
  <c r="K71" i="40"/>
  <c r="L71" i="40"/>
  <c r="M71" i="40"/>
  <c r="N71" i="40"/>
  <c r="O71" i="40"/>
  <c r="P71" i="40"/>
  <c r="Q71" i="40"/>
  <c r="R71" i="40"/>
  <c r="S71" i="40"/>
  <c r="T71" i="40"/>
  <c r="U71" i="40"/>
  <c r="V71" i="40"/>
  <c r="W71" i="40"/>
  <c r="H72" i="40"/>
  <c r="I72" i="40"/>
  <c r="J72" i="40"/>
  <c r="K72" i="40"/>
  <c r="L72" i="40"/>
  <c r="M72" i="40"/>
  <c r="N72" i="40"/>
  <c r="O72" i="40"/>
  <c r="P72" i="40"/>
  <c r="Q72" i="40"/>
  <c r="R72" i="40"/>
  <c r="S72" i="40"/>
  <c r="T72" i="40"/>
  <c r="U72" i="40"/>
  <c r="V72" i="40"/>
  <c r="W72" i="40"/>
  <c r="H73" i="40"/>
  <c r="I73" i="40"/>
  <c r="J73" i="40"/>
  <c r="K73" i="40"/>
  <c r="L73" i="40"/>
  <c r="M73" i="40"/>
  <c r="N73" i="40"/>
  <c r="O73" i="40"/>
  <c r="P73" i="40"/>
  <c r="Q73" i="40"/>
  <c r="R73" i="40"/>
  <c r="S73" i="40"/>
  <c r="T73" i="40"/>
  <c r="U73" i="40"/>
  <c r="V73" i="40"/>
  <c r="W73" i="40"/>
  <c r="H123" i="40"/>
  <c r="I123" i="40"/>
  <c r="J123" i="40"/>
  <c r="K123" i="40"/>
  <c r="L123" i="40"/>
  <c r="M123" i="40"/>
  <c r="N123" i="40"/>
  <c r="O123" i="40"/>
  <c r="P123" i="40"/>
  <c r="Q123" i="40"/>
  <c r="R123" i="40"/>
  <c r="S123" i="40"/>
  <c r="T123" i="40"/>
  <c r="U123" i="40"/>
  <c r="V123" i="40"/>
  <c r="W123" i="40"/>
  <c r="H124" i="40"/>
  <c r="I124" i="40"/>
  <c r="J124" i="40"/>
  <c r="K124" i="40"/>
  <c r="L124" i="40"/>
  <c r="M124" i="40"/>
  <c r="N124" i="40"/>
  <c r="O124" i="40"/>
  <c r="P124" i="40"/>
  <c r="Q124" i="40"/>
  <c r="R124" i="40"/>
  <c r="S124" i="40"/>
  <c r="T124" i="40"/>
  <c r="U124" i="40"/>
  <c r="V124" i="40"/>
  <c r="W124" i="40"/>
  <c r="H125" i="40"/>
  <c r="I125" i="40"/>
  <c r="J125" i="40"/>
  <c r="K125" i="40"/>
  <c r="L125" i="40"/>
  <c r="M125" i="40"/>
  <c r="N125" i="40"/>
  <c r="O125" i="40"/>
  <c r="P125" i="40"/>
  <c r="Q125" i="40"/>
  <c r="R125" i="40"/>
  <c r="S125" i="40"/>
  <c r="T125" i="40"/>
  <c r="U125" i="40"/>
  <c r="V125" i="40"/>
  <c r="W125" i="40"/>
  <c r="H143" i="40"/>
  <c r="I143" i="40"/>
  <c r="J143" i="40"/>
  <c r="K143" i="40"/>
  <c r="L143" i="40"/>
  <c r="M143" i="40"/>
  <c r="N143" i="40"/>
  <c r="O143" i="40"/>
  <c r="P143" i="40"/>
  <c r="Q143" i="40"/>
  <c r="R143" i="40"/>
  <c r="S143" i="40"/>
  <c r="T143" i="40"/>
  <c r="U143" i="40"/>
  <c r="V143" i="40"/>
  <c r="W143" i="40"/>
  <c r="H163" i="40"/>
  <c r="I163" i="40"/>
  <c r="J163" i="40"/>
  <c r="K163" i="40"/>
  <c r="L163" i="40"/>
  <c r="M163" i="40"/>
  <c r="N163" i="40"/>
  <c r="O163" i="40"/>
  <c r="P163" i="40"/>
  <c r="Q163" i="40"/>
  <c r="R163" i="40"/>
  <c r="S163" i="40"/>
  <c r="T163" i="40"/>
  <c r="U163" i="40"/>
  <c r="V163" i="40"/>
  <c r="W163" i="40"/>
  <c r="H164" i="40"/>
  <c r="I164" i="40"/>
  <c r="J164" i="40"/>
  <c r="K164" i="40"/>
  <c r="L164" i="40"/>
  <c r="M164" i="40"/>
  <c r="N164" i="40"/>
  <c r="O164" i="40"/>
  <c r="P164" i="40"/>
  <c r="Q164" i="40"/>
  <c r="R164" i="40"/>
  <c r="S164" i="40"/>
  <c r="T164" i="40"/>
  <c r="U164" i="40"/>
  <c r="V164" i="40"/>
  <c r="W164" i="40"/>
  <c r="H165" i="40"/>
  <c r="I165" i="40"/>
  <c r="J165" i="40"/>
  <c r="K165" i="40"/>
  <c r="L165" i="40"/>
  <c r="M165" i="40"/>
  <c r="N165" i="40"/>
  <c r="O165" i="40"/>
  <c r="P165" i="40"/>
  <c r="Q165" i="40"/>
  <c r="R165" i="40"/>
  <c r="S165" i="40"/>
  <c r="T165" i="40"/>
  <c r="U165" i="40"/>
  <c r="V165" i="40"/>
  <c r="W165" i="40"/>
  <c r="H168" i="40"/>
  <c r="I168" i="40"/>
  <c r="J168" i="40"/>
  <c r="K168" i="40"/>
  <c r="L168" i="40"/>
  <c r="M168" i="40"/>
  <c r="N168" i="40"/>
  <c r="O168" i="40"/>
  <c r="P168" i="40"/>
  <c r="Q168" i="40"/>
  <c r="R168" i="40"/>
  <c r="S168" i="40"/>
  <c r="T168" i="40"/>
  <c r="U168" i="40"/>
  <c r="V168" i="40"/>
  <c r="W168" i="40"/>
  <c r="H172" i="40"/>
  <c r="I172" i="40"/>
  <c r="J172" i="40"/>
  <c r="K172" i="40"/>
  <c r="L172" i="40"/>
  <c r="M172" i="40"/>
  <c r="N172" i="40"/>
  <c r="O172" i="40"/>
  <c r="P172" i="40"/>
  <c r="Q172" i="40"/>
  <c r="R172" i="40"/>
  <c r="S172" i="40"/>
  <c r="T172" i="40"/>
  <c r="U172" i="40"/>
  <c r="V172" i="40"/>
  <c r="W172" i="40"/>
  <c r="H175" i="40"/>
  <c r="I175" i="40"/>
  <c r="J175" i="40"/>
  <c r="K175" i="40"/>
  <c r="L175" i="40"/>
  <c r="M175" i="40"/>
  <c r="N175" i="40"/>
  <c r="O175" i="40"/>
  <c r="P175" i="40"/>
  <c r="Q175" i="40"/>
  <c r="R175" i="40"/>
  <c r="S175" i="40"/>
  <c r="T175" i="40"/>
  <c r="U175" i="40"/>
  <c r="V175" i="40"/>
  <c r="W175" i="40"/>
  <c r="H193" i="40"/>
  <c r="I193" i="40"/>
  <c r="J193" i="40"/>
  <c r="K193" i="40"/>
  <c r="L193" i="40"/>
  <c r="M193" i="40"/>
  <c r="N193" i="40"/>
  <c r="O193" i="40"/>
  <c r="P193" i="40"/>
  <c r="Q193" i="40"/>
  <c r="R193" i="40"/>
  <c r="S193" i="40"/>
  <c r="T193" i="40"/>
  <c r="U193" i="40"/>
  <c r="V193" i="40"/>
  <c r="W193" i="40"/>
  <c r="H213" i="40"/>
  <c r="I213" i="40"/>
  <c r="J213" i="40"/>
  <c r="K213" i="40"/>
  <c r="L213" i="40"/>
  <c r="M213" i="40"/>
  <c r="N213" i="40"/>
  <c r="O213" i="40"/>
  <c r="P213" i="40"/>
  <c r="Q213" i="40"/>
  <c r="R213" i="40"/>
  <c r="S213" i="40"/>
  <c r="T213" i="40"/>
  <c r="U213" i="40"/>
  <c r="V213" i="40"/>
  <c r="W213" i="40"/>
  <c r="H215" i="40"/>
  <c r="I215" i="40"/>
  <c r="J215" i="40"/>
  <c r="K215" i="40"/>
  <c r="L215" i="40"/>
  <c r="M215" i="40"/>
  <c r="N215" i="40"/>
  <c r="O215" i="40"/>
  <c r="P215" i="40"/>
  <c r="Q215" i="40"/>
  <c r="R215" i="40"/>
  <c r="S215" i="40"/>
  <c r="T215" i="40"/>
  <c r="U215" i="40"/>
  <c r="V215" i="40"/>
  <c r="W215" i="40"/>
  <c r="H227" i="40"/>
  <c r="I227" i="40"/>
  <c r="J227" i="40"/>
  <c r="K227" i="40"/>
  <c r="L227" i="40"/>
  <c r="M227" i="40"/>
  <c r="N227" i="40"/>
  <c r="O227" i="40"/>
  <c r="P227" i="40"/>
  <c r="Q227" i="40"/>
  <c r="R227" i="40"/>
  <c r="S227" i="40"/>
  <c r="T227" i="40"/>
  <c r="U227" i="40"/>
  <c r="V227" i="40"/>
  <c r="W227" i="40"/>
  <c r="H239" i="40"/>
  <c r="I239" i="40"/>
  <c r="J239" i="40"/>
  <c r="K239" i="40"/>
  <c r="L239" i="40"/>
  <c r="M239" i="40"/>
  <c r="N239" i="40"/>
  <c r="O239" i="40"/>
  <c r="P239" i="40"/>
  <c r="Q239" i="40"/>
  <c r="R239" i="40"/>
  <c r="S239" i="40"/>
  <c r="T239" i="40"/>
  <c r="U239" i="40"/>
  <c r="V239" i="40"/>
  <c r="W239" i="40"/>
  <c r="I240" i="40"/>
  <c r="J240" i="40"/>
  <c r="K240" i="40"/>
  <c r="L240" i="40"/>
  <c r="M240" i="40"/>
  <c r="N240" i="40"/>
  <c r="O240" i="40"/>
  <c r="P240" i="40"/>
  <c r="Q240" i="40"/>
  <c r="R240" i="40"/>
  <c r="S240" i="40"/>
  <c r="T240" i="40"/>
  <c r="U240" i="40"/>
  <c r="V240" i="40"/>
  <c r="W240" i="40"/>
  <c r="I245" i="40"/>
  <c r="J245" i="40"/>
  <c r="K245" i="40"/>
  <c r="L245" i="40"/>
  <c r="M245" i="40"/>
  <c r="N245" i="40"/>
  <c r="O245" i="40"/>
  <c r="P245" i="40"/>
  <c r="Q245" i="40"/>
  <c r="R245" i="40"/>
  <c r="S245" i="40"/>
  <c r="T245" i="40"/>
  <c r="U245" i="40"/>
  <c r="V245" i="40"/>
  <c r="W245" i="40"/>
  <c r="H247" i="40"/>
  <c r="I247" i="40"/>
  <c r="J247" i="40"/>
  <c r="K247" i="40"/>
  <c r="L247" i="40"/>
  <c r="M247" i="40"/>
  <c r="N247" i="40"/>
  <c r="O247" i="40"/>
  <c r="P247" i="40"/>
  <c r="Q247" i="40"/>
  <c r="R247" i="40"/>
  <c r="S247" i="40"/>
  <c r="T247" i="40"/>
  <c r="U247" i="40"/>
  <c r="V247" i="40"/>
  <c r="W247" i="40"/>
  <c r="I249" i="40"/>
  <c r="J249" i="40"/>
  <c r="K249" i="40"/>
  <c r="L249" i="40"/>
  <c r="M249" i="40"/>
  <c r="N249" i="40"/>
  <c r="O249" i="40"/>
  <c r="P249" i="40"/>
  <c r="Q249" i="40"/>
  <c r="R249" i="40"/>
  <c r="S249" i="40"/>
  <c r="T249" i="40"/>
  <c r="U249" i="40"/>
  <c r="V249" i="40"/>
  <c r="W249" i="40"/>
  <c r="H257" i="40"/>
  <c r="I257" i="40"/>
  <c r="J257" i="40"/>
  <c r="K257" i="40"/>
  <c r="L257" i="40"/>
  <c r="M257" i="40"/>
  <c r="N257" i="40"/>
  <c r="O257" i="40"/>
  <c r="P257" i="40"/>
  <c r="Q257" i="40"/>
  <c r="R257" i="40"/>
  <c r="S257" i="40"/>
  <c r="T257" i="40"/>
  <c r="U257" i="40"/>
  <c r="V257" i="40"/>
  <c r="W257" i="40"/>
  <c r="I258" i="40"/>
  <c r="J258" i="40"/>
  <c r="K258" i="40"/>
  <c r="L258" i="40"/>
  <c r="M258" i="40"/>
  <c r="N258" i="40"/>
  <c r="O258" i="40"/>
  <c r="P258" i="40"/>
  <c r="Q258" i="40"/>
  <c r="R258" i="40"/>
  <c r="S258" i="40"/>
  <c r="T258" i="40"/>
  <c r="U258" i="40"/>
  <c r="V258" i="40"/>
  <c r="W258" i="40"/>
  <c r="H319" i="40"/>
  <c r="I319" i="40"/>
  <c r="J319" i="40"/>
  <c r="K319" i="40"/>
  <c r="L319" i="40"/>
  <c r="M319" i="40"/>
  <c r="N319" i="40"/>
  <c r="O319" i="40"/>
  <c r="P319" i="40"/>
  <c r="Q319" i="40"/>
  <c r="R319" i="40"/>
  <c r="S319" i="40"/>
  <c r="T319" i="40"/>
  <c r="U319" i="40"/>
  <c r="V319" i="40"/>
  <c r="W319" i="40"/>
  <c r="H322" i="40"/>
  <c r="I322" i="40"/>
  <c r="J322" i="40"/>
  <c r="K322" i="40"/>
  <c r="L322" i="40"/>
  <c r="M322" i="40"/>
  <c r="N322" i="40"/>
  <c r="O322" i="40"/>
  <c r="P322" i="40"/>
  <c r="Q322" i="40"/>
  <c r="R322" i="40"/>
  <c r="S322" i="40"/>
  <c r="T322" i="40"/>
  <c r="U322" i="40"/>
  <c r="V322" i="40"/>
  <c r="W322" i="40"/>
  <c r="H323" i="40"/>
  <c r="I323" i="40"/>
  <c r="J323" i="40"/>
  <c r="K323" i="40"/>
  <c r="L323" i="40"/>
  <c r="M323" i="40"/>
  <c r="N323" i="40"/>
  <c r="O323" i="40"/>
  <c r="P323" i="40"/>
  <c r="Q323" i="40"/>
  <c r="R323" i="40"/>
  <c r="S323" i="40"/>
  <c r="T323" i="40"/>
  <c r="U323" i="40"/>
  <c r="V323" i="40"/>
  <c r="W323" i="40"/>
  <c r="I329" i="40"/>
  <c r="J329" i="40"/>
  <c r="K329" i="40"/>
  <c r="L329" i="40"/>
  <c r="M329" i="40"/>
  <c r="N329" i="40"/>
  <c r="O329" i="40"/>
  <c r="P329" i="40"/>
  <c r="Q329" i="40"/>
  <c r="R329" i="40"/>
  <c r="S329" i="40"/>
  <c r="T329" i="40"/>
  <c r="U329" i="40"/>
  <c r="V329" i="40"/>
  <c r="W329" i="40"/>
  <c r="I331" i="40"/>
  <c r="J331" i="40"/>
  <c r="K331" i="40"/>
  <c r="L331" i="40"/>
  <c r="M331" i="40"/>
  <c r="N331" i="40"/>
  <c r="O331" i="40"/>
  <c r="P331" i="40"/>
  <c r="Q331" i="40"/>
  <c r="R331" i="40"/>
  <c r="S331" i="40"/>
  <c r="T331" i="40"/>
  <c r="U331" i="40"/>
  <c r="V331" i="40"/>
  <c r="W331" i="40"/>
  <c r="I334" i="40"/>
  <c r="J334" i="40"/>
  <c r="K334" i="40"/>
  <c r="L334" i="40"/>
  <c r="M334" i="40"/>
  <c r="N334" i="40"/>
  <c r="O334" i="40"/>
  <c r="P334" i="40"/>
  <c r="Q334" i="40"/>
  <c r="R334" i="40"/>
  <c r="S334" i="40"/>
  <c r="T334" i="40"/>
  <c r="U334" i="40"/>
  <c r="V334" i="40"/>
  <c r="W334" i="40"/>
  <c r="H335" i="40"/>
  <c r="I335" i="40"/>
  <c r="J335" i="40"/>
  <c r="K335" i="40"/>
  <c r="L335" i="40"/>
  <c r="M335" i="40"/>
  <c r="N335" i="40"/>
  <c r="O335" i="40"/>
  <c r="P335" i="40"/>
  <c r="Q335" i="40"/>
  <c r="R335" i="40"/>
  <c r="S335" i="40"/>
  <c r="T335" i="40"/>
  <c r="U335" i="40"/>
  <c r="V335" i="40"/>
  <c r="W335" i="40"/>
  <c r="I336" i="40"/>
  <c r="J336" i="40"/>
  <c r="K336" i="40"/>
  <c r="L336" i="40"/>
  <c r="M336" i="40"/>
  <c r="N336" i="40"/>
  <c r="O336" i="40"/>
  <c r="P336" i="40"/>
  <c r="Q336" i="40"/>
  <c r="R336" i="40"/>
  <c r="S336" i="40"/>
  <c r="T336" i="40"/>
  <c r="U336" i="40"/>
  <c r="V336" i="40"/>
  <c r="W336" i="40"/>
  <c r="I337" i="40"/>
  <c r="J337" i="40"/>
  <c r="K337" i="40"/>
  <c r="L337" i="40"/>
  <c r="M337" i="40"/>
  <c r="N337" i="40"/>
  <c r="O337" i="40"/>
  <c r="P337" i="40"/>
  <c r="Q337" i="40"/>
  <c r="R337" i="40"/>
  <c r="S337" i="40"/>
  <c r="T337" i="40"/>
  <c r="U337" i="40"/>
  <c r="V337" i="40"/>
  <c r="W337" i="40"/>
  <c r="I164" i="58"/>
  <c r="J164" i="58"/>
  <c r="K164" i="58"/>
  <c r="L164" i="58"/>
  <c r="M164" i="58"/>
  <c r="N164" i="58"/>
  <c r="I165" i="58"/>
  <c r="J165" i="58"/>
  <c r="K165" i="58"/>
  <c r="L165" i="58"/>
  <c r="M165" i="58"/>
  <c r="N165" i="58"/>
  <c r="I166" i="58"/>
  <c r="J166" i="58"/>
  <c r="K166" i="58"/>
  <c r="L166" i="58"/>
  <c r="M166" i="58"/>
  <c r="N166" i="58"/>
  <c r="O166" i="58"/>
  <c r="I167" i="58"/>
  <c r="J167" i="58"/>
  <c r="K167" i="58"/>
  <c r="L167" i="58"/>
  <c r="M167" i="58"/>
  <c r="N167" i="58"/>
  <c r="O167" i="58"/>
  <c r="I168" i="58"/>
  <c r="J168" i="58"/>
  <c r="K168" i="58"/>
  <c r="L168" i="58"/>
  <c r="M168" i="58"/>
  <c r="N168" i="58"/>
  <c r="I183" i="58"/>
  <c r="J183" i="58"/>
  <c r="K183" i="58"/>
  <c r="L183" i="58"/>
  <c r="M183" i="58"/>
  <c r="N183" i="58"/>
  <c r="O183" i="58"/>
  <c r="P183" i="58"/>
  <c r="K184" i="58"/>
  <c r="L184" i="58"/>
  <c r="M184" i="58"/>
  <c r="N184" i="58"/>
  <c r="O184" i="58"/>
  <c r="P184" i="58"/>
  <c r="K239" i="58"/>
  <c r="L239" i="58"/>
  <c r="M239" i="58"/>
  <c r="N239" i="58"/>
  <c r="O239" i="58"/>
  <c r="P239" i="58"/>
  <c r="I240" i="58"/>
  <c r="J240" i="58"/>
  <c r="K240" i="58"/>
  <c r="L240" i="58"/>
  <c r="M240" i="58"/>
  <c r="N240" i="58"/>
  <c r="O240" i="58"/>
  <c r="P240" i="58"/>
  <c r="I6" i="46"/>
  <c r="J6" i="46"/>
  <c r="K6" i="46"/>
  <c r="L6" i="46"/>
  <c r="M6" i="46"/>
  <c r="N6" i="46"/>
  <c r="J7" i="46"/>
  <c r="L7" i="46"/>
  <c r="N7" i="46"/>
  <c r="J8" i="46"/>
  <c r="L8" i="46"/>
  <c r="N8" i="46"/>
  <c r="J9" i="46"/>
  <c r="L9" i="46"/>
  <c r="N9" i="46"/>
  <c r="J10" i="46"/>
  <c r="L10" i="46"/>
  <c r="N10" i="46"/>
  <c r="I11" i="46"/>
  <c r="J11" i="46"/>
  <c r="K11" i="46"/>
  <c r="L11" i="46"/>
  <c r="M11" i="46"/>
  <c r="N11" i="46"/>
  <c r="J12" i="46"/>
  <c r="L12" i="46"/>
  <c r="N12" i="46"/>
  <c r="J13" i="46"/>
  <c r="L13" i="46"/>
  <c r="N13" i="46"/>
  <c r="J14" i="46"/>
  <c r="L14" i="46"/>
  <c r="N14" i="46"/>
  <c r="J15" i="46"/>
  <c r="L15" i="46"/>
  <c r="N15" i="46"/>
  <c r="J16" i="46"/>
  <c r="L16" i="46"/>
  <c r="N16" i="46"/>
  <c r="I17" i="46"/>
  <c r="J17" i="46"/>
  <c r="K17" i="46"/>
  <c r="L17" i="46"/>
  <c r="M17" i="46"/>
  <c r="N17" i="46"/>
  <c r="I21" i="46"/>
  <c r="J21" i="46"/>
  <c r="K21" i="46"/>
  <c r="L21" i="46"/>
  <c r="M21" i="46"/>
  <c r="N21" i="46"/>
  <c r="J22" i="46"/>
  <c r="L22" i="46"/>
  <c r="J23" i="46"/>
  <c r="L23" i="46"/>
  <c r="J24" i="46"/>
  <c r="L24" i="46"/>
  <c r="J25" i="46"/>
  <c r="L25" i="46"/>
  <c r="I26" i="46"/>
  <c r="J26" i="46"/>
  <c r="K26" i="46"/>
  <c r="L26" i="46"/>
  <c r="M26" i="46"/>
  <c r="N26" i="46"/>
  <c r="J27" i="46"/>
  <c r="L27" i="46"/>
  <c r="J28" i="46"/>
  <c r="L28" i="46"/>
  <c r="J29" i="46"/>
  <c r="L29" i="46"/>
  <c r="J30" i="46"/>
  <c r="L30" i="46"/>
  <c r="J31" i="46"/>
  <c r="L31" i="46"/>
  <c r="J32" i="46"/>
  <c r="L32" i="46"/>
  <c r="I33" i="46"/>
  <c r="J33" i="46"/>
  <c r="K33" i="46"/>
  <c r="L33" i="46"/>
  <c r="M33" i="46"/>
  <c r="N33" i="46"/>
  <c r="J34" i="46"/>
  <c r="L34" i="46"/>
  <c r="I35" i="46"/>
  <c r="J35" i="46"/>
  <c r="K35" i="46"/>
  <c r="L35" i="46"/>
  <c r="M35" i="46"/>
  <c r="N35" i="46"/>
  <c r="I36" i="46"/>
  <c r="J36" i="46"/>
  <c r="K36" i="46"/>
  <c r="L36" i="46"/>
  <c r="M36" i="46"/>
  <c r="N36" i="46"/>
  <c r="I37" i="46"/>
  <c r="J37" i="46"/>
  <c r="K37" i="46"/>
  <c r="L37" i="46"/>
  <c r="I52" i="46"/>
  <c r="J52" i="46"/>
  <c r="K52" i="46"/>
  <c r="L52" i="46"/>
  <c r="M52" i="46"/>
  <c r="N52" i="46"/>
  <c r="I53" i="46"/>
  <c r="J53" i="46"/>
  <c r="K53" i="46"/>
  <c r="L53" i="46"/>
  <c r="M53" i="46"/>
  <c r="N53" i="46"/>
  <c r="I54" i="46"/>
  <c r="J54" i="46"/>
  <c r="K54" i="46"/>
  <c r="L54" i="46"/>
  <c r="M54" i="46"/>
  <c r="N54" i="46"/>
  <c r="I58" i="46"/>
  <c r="J58" i="46"/>
  <c r="K58" i="46"/>
  <c r="L58" i="46"/>
  <c r="M58" i="46"/>
  <c r="N58" i="46"/>
  <c r="I60" i="46"/>
  <c r="J60" i="46"/>
  <c r="K60" i="46"/>
  <c r="L60" i="46"/>
  <c r="M60" i="46"/>
  <c r="N60" i="46"/>
  <c r="I61" i="46"/>
  <c r="J61" i="46"/>
  <c r="K61" i="46"/>
  <c r="L61" i="46"/>
  <c r="M61" i="46"/>
  <c r="N61" i="46"/>
  <c r="I62" i="46"/>
  <c r="J62" i="46"/>
  <c r="K62" i="46"/>
  <c r="L62" i="46"/>
  <c r="M62" i="46"/>
  <c r="N62" i="46"/>
  <c r="I64" i="46"/>
  <c r="J64" i="46"/>
  <c r="K64" i="46"/>
  <c r="L64" i="46"/>
  <c r="M64" i="46"/>
  <c r="N64" i="46"/>
  <c r="K65" i="46"/>
  <c r="L65" i="46"/>
  <c r="M65" i="46"/>
  <c r="N65" i="46"/>
  <c r="I66" i="46"/>
  <c r="J66" i="46"/>
  <c r="K66" i="46"/>
  <c r="L66" i="46"/>
  <c r="M66" i="46"/>
  <c r="N66" i="46"/>
  <c r="K71" i="46"/>
  <c r="M71" i="46"/>
  <c r="I78" i="46"/>
  <c r="K78" i="46"/>
  <c r="M78" i="46"/>
  <c r="I79" i="46"/>
  <c r="K79" i="46"/>
  <c r="M79" i="46"/>
  <c r="I80" i="46"/>
  <c r="K80" i="46"/>
  <c r="M80" i="46"/>
  <c r="I81" i="46"/>
  <c r="K81" i="46"/>
  <c r="M81" i="46"/>
  <c r="I82" i="46"/>
  <c r="K82" i="46"/>
  <c r="M82" i="46"/>
  <c r="I83" i="46"/>
  <c r="K83" i="46"/>
  <c r="M83" i="46"/>
  <c r="I84" i="46"/>
  <c r="K84" i="46"/>
  <c r="M84" i="46"/>
  <c r="I85" i="46"/>
  <c r="K85" i="46"/>
  <c r="M85" i="46"/>
  <c r="I90" i="46"/>
  <c r="K90" i="46"/>
  <c r="M90" i="46"/>
  <c r="I91" i="46"/>
  <c r="K91" i="46"/>
  <c r="M91" i="46"/>
  <c r="I92" i="46"/>
  <c r="K92" i="46"/>
  <c r="M92" i="46"/>
  <c r="I93" i="46"/>
  <c r="K93" i="46"/>
  <c r="M93" i="46"/>
  <c r="E25" i="35"/>
  <c r="F25" i="35"/>
  <c r="G25" i="35"/>
  <c r="H25" i="35"/>
  <c r="I25" i="35"/>
  <c r="J25" i="35"/>
  <c r="K25" i="35"/>
  <c r="L25" i="35"/>
  <c r="M25" i="35"/>
  <c r="N25" i="35"/>
  <c r="O25" i="35"/>
  <c r="P25" i="35"/>
  <c r="Q25" i="35"/>
  <c r="R25" i="35"/>
  <c r="S25" i="35"/>
  <c r="T25" i="35"/>
  <c r="E26" i="35"/>
  <c r="F26" i="35"/>
  <c r="G26" i="35"/>
  <c r="H26" i="35"/>
  <c r="I26" i="35"/>
  <c r="J26" i="35"/>
  <c r="K26" i="35"/>
  <c r="L26" i="35"/>
  <c r="M26" i="35"/>
  <c r="N26" i="35"/>
  <c r="O26" i="35"/>
  <c r="P26" i="35"/>
  <c r="Q26" i="35"/>
  <c r="R26" i="35"/>
  <c r="S26" i="35"/>
  <c r="T26" i="35"/>
  <c r="E27" i="35"/>
  <c r="F27" i="35"/>
  <c r="G27" i="35"/>
  <c r="H27" i="35"/>
  <c r="I27" i="35"/>
  <c r="J27" i="35"/>
  <c r="K27" i="35"/>
  <c r="L27" i="35"/>
  <c r="M27" i="35"/>
  <c r="N27" i="35"/>
  <c r="O27" i="35"/>
  <c r="P27" i="35"/>
  <c r="Q27" i="35"/>
  <c r="R27" i="35"/>
  <c r="S27" i="35"/>
  <c r="T27" i="35"/>
  <c r="E31" i="35"/>
  <c r="F31" i="35"/>
  <c r="G31" i="35"/>
  <c r="H31" i="35"/>
  <c r="I31" i="35"/>
  <c r="J31" i="35"/>
  <c r="K31" i="35"/>
  <c r="L31" i="35"/>
  <c r="M31" i="35"/>
  <c r="N31" i="35"/>
  <c r="O31" i="35"/>
  <c r="P31" i="35"/>
  <c r="Q31" i="35"/>
  <c r="R31" i="35"/>
  <c r="S31" i="35"/>
  <c r="T31" i="35"/>
  <c r="E33" i="35"/>
  <c r="F33" i="35"/>
  <c r="G33" i="35"/>
  <c r="H33" i="35"/>
  <c r="I33" i="35"/>
  <c r="J33" i="35"/>
  <c r="K33" i="35"/>
  <c r="L33" i="35"/>
  <c r="M33" i="35"/>
  <c r="N33" i="35"/>
  <c r="O33" i="35"/>
  <c r="P33" i="35"/>
  <c r="Q33" i="35"/>
  <c r="R33" i="35"/>
  <c r="S33" i="35"/>
  <c r="T33" i="35"/>
  <c r="E34" i="35"/>
  <c r="F34" i="35"/>
  <c r="G34" i="35"/>
  <c r="H34" i="35"/>
  <c r="I34" i="35"/>
  <c r="J34" i="35"/>
  <c r="K34" i="35"/>
  <c r="L34" i="35"/>
  <c r="M34" i="35"/>
  <c r="N34" i="35"/>
  <c r="O34" i="35"/>
  <c r="P34" i="35"/>
  <c r="Q34" i="35"/>
  <c r="R34" i="35"/>
  <c r="S34" i="35"/>
  <c r="T34" i="35"/>
  <c r="E35" i="35"/>
  <c r="F35" i="35"/>
  <c r="G35" i="35"/>
  <c r="H35" i="35"/>
  <c r="I35" i="35"/>
  <c r="J35" i="35"/>
  <c r="K35" i="35"/>
  <c r="L35" i="35"/>
  <c r="M35" i="35"/>
  <c r="N35" i="35"/>
  <c r="O35" i="35"/>
  <c r="P35" i="35"/>
  <c r="Q35" i="35"/>
  <c r="R35" i="35"/>
  <c r="S35" i="35"/>
  <c r="T35" i="35"/>
  <c r="E36" i="35"/>
  <c r="F36" i="35"/>
  <c r="G36" i="35"/>
  <c r="H36" i="35"/>
  <c r="I36" i="35"/>
  <c r="J36" i="35"/>
  <c r="K36" i="35"/>
  <c r="L36" i="35"/>
  <c r="M36" i="35"/>
  <c r="N36" i="35"/>
  <c r="O36" i="35"/>
  <c r="P36" i="35"/>
  <c r="Q36" i="35"/>
  <c r="R36" i="35"/>
  <c r="S36" i="35"/>
  <c r="T36" i="35"/>
  <c r="E38" i="35"/>
  <c r="F38" i="35"/>
  <c r="G38" i="35"/>
  <c r="H38" i="35"/>
  <c r="I38" i="35"/>
  <c r="J38" i="35"/>
  <c r="K38" i="35"/>
  <c r="L38" i="35"/>
  <c r="M38" i="35"/>
  <c r="N38" i="35"/>
  <c r="O38" i="35"/>
  <c r="P38" i="35"/>
  <c r="Q38" i="35"/>
  <c r="R38" i="35"/>
  <c r="S38" i="35"/>
  <c r="T38" i="35"/>
  <c r="F39" i="35"/>
  <c r="G39" i="35"/>
  <c r="H39" i="35"/>
  <c r="I39" i="35"/>
  <c r="J39" i="35"/>
  <c r="K39" i="35"/>
  <c r="L39" i="35"/>
  <c r="M39" i="35"/>
  <c r="N39" i="35"/>
  <c r="O39" i="35"/>
  <c r="P39" i="35"/>
  <c r="Q39" i="35"/>
  <c r="R39" i="35"/>
  <c r="S39" i="35"/>
  <c r="T39" i="35"/>
  <c r="E40" i="35"/>
  <c r="F40" i="35"/>
  <c r="G40" i="35"/>
  <c r="H40" i="35"/>
  <c r="I40" i="35"/>
  <c r="J40" i="35"/>
  <c r="K40" i="35"/>
  <c r="L40" i="35"/>
  <c r="M40" i="35"/>
  <c r="N40" i="35"/>
  <c r="O40" i="35"/>
  <c r="P40" i="35"/>
  <c r="Q40" i="35"/>
  <c r="R40" i="35"/>
  <c r="S40" i="35"/>
  <c r="T40" i="35"/>
  <c r="F44" i="35"/>
  <c r="G44" i="35"/>
  <c r="H44" i="35"/>
  <c r="I44" i="35"/>
  <c r="J44" i="35"/>
  <c r="K44" i="35"/>
  <c r="L44" i="35"/>
  <c r="M44" i="35"/>
  <c r="N44" i="35"/>
  <c r="O44" i="35"/>
  <c r="P44" i="35"/>
  <c r="Q44" i="35"/>
  <c r="R44" i="35"/>
  <c r="S44" i="35"/>
  <c r="T44" i="35"/>
  <c r="E50" i="35"/>
  <c r="F50" i="35"/>
  <c r="G50" i="35"/>
  <c r="H50" i="35"/>
  <c r="I50" i="35"/>
  <c r="J50" i="35"/>
  <c r="K50" i="35"/>
  <c r="L50" i="35"/>
  <c r="M50" i="35"/>
  <c r="N50" i="35"/>
  <c r="O50" i="35"/>
  <c r="P50" i="35"/>
  <c r="Q50" i="35"/>
  <c r="R50" i="35"/>
  <c r="S50" i="35"/>
  <c r="T50" i="35"/>
  <c r="E51" i="35"/>
  <c r="F51" i="35"/>
  <c r="G51" i="35"/>
  <c r="H51" i="35"/>
  <c r="I51" i="35"/>
  <c r="J51" i="35"/>
  <c r="K51" i="35"/>
  <c r="L51" i="35"/>
  <c r="M51" i="35"/>
  <c r="N51" i="35"/>
  <c r="O51" i="35"/>
  <c r="P51" i="35"/>
  <c r="Q51" i="35"/>
  <c r="R51" i="35"/>
  <c r="S51" i="35"/>
  <c r="T51" i="35"/>
  <c r="E56" i="35"/>
  <c r="F56" i="35"/>
  <c r="G56" i="35"/>
  <c r="H56" i="35"/>
  <c r="I56" i="35"/>
  <c r="J56" i="35"/>
  <c r="K56" i="35"/>
  <c r="L56" i="35"/>
  <c r="M56" i="35"/>
  <c r="N56" i="35"/>
  <c r="O56" i="35"/>
  <c r="P56" i="35"/>
  <c r="Q56" i="35"/>
  <c r="R56" i="35"/>
  <c r="S56" i="35"/>
  <c r="T56" i="35"/>
  <c r="E59" i="35"/>
  <c r="F59" i="35"/>
  <c r="G59" i="35"/>
  <c r="H59" i="35"/>
  <c r="I59" i="35"/>
  <c r="J59" i="35"/>
  <c r="K59" i="35"/>
  <c r="L59" i="35"/>
  <c r="M59" i="35"/>
  <c r="N59" i="35"/>
  <c r="O59" i="35"/>
  <c r="P59" i="35"/>
  <c r="Q59" i="35"/>
  <c r="R59" i="35"/>
  <c r="S59" i="35"/>
  <c r="T59" i="35"/>
  <c r="E60" i="35"/>
  <c r="F60" i="35"/>
  <c r="G60" i="35"/>
  <c r="H60" i="35"/>
  <c r="I60" i="35"/>
  <c r="J60" i="35"/>
  <c r="K60" i="35"/>
  <c r="L60" i="35"/>
  <c r="M60" i="35"/>
  <c r="N60" i="35"/>
  <c r="O60" i="35"/>
  <c r="P60" i="35"/>
  <c r="Q60" i="35"/>
  <c r="R60" i="35"/>
  <c r="S60" i="35"/>
  <c r="T60" i="35"/>
  <c r="F61" i="35"/>
  <c r="G61" i="35"/>
  <c r="H61" i="35"/>
  <c r="I61" i="35"/>
  <c r="J61" i="35"/>
  <c r="K61" i="35"/>
  <c r="L61" i="35"/>
  <c r="M61" i="35"/>
  <c r="N61" i="35"/>
  <c r="O61" i="35"/>
  <c r="P61" i="35"/>
  <c r="Q61" i="35"/>
  <c r="R61" i="35"/>
  <c r="S61" i="35"/>
  <c r="T61" i="35"/>
  <c r="E63" i="35"/>
  <c r="F63" i="35"/>
  <c r="G63" i="35"/>
  <c r="H63" i="35"/>
  <c r="I63" i="35"/>
  <c r="J63" i="35"/>
  <c r="K63" i="35"/>
  <c r="L63" i="35"/>
  <c r="M63" i="35"/>
  <c r="N63" i="35"/>
  <c r="O63" i="35"/>
  <c r="P63" i="35"/>
  <c r="Q63" i="35"/>
  <c r="R63" i="35"/>
  <c r="S63" i="35"/>
  <c r="T63" i="35"/>
  <c r="E64" i="35"/>
  <c r="F64" i="35"/>
  <c r="G64" i="35"/>
  <c r="H64" i="35"/>
  <c r="I64" i="35"/>
  <c r="J64" i="35"/>
  <c r="K64" i="35"/>
  <c r="L64" i="35"/>
  <c r="M64" i="35"/>
  <c r="N64" i="35"/>
  <c r="O64" i="35"/>
  <c r="P64" i="35"/>
  <c r="Q64" i="35"/>
  <c r="R64" i="35"/>
  <c r="S64" i="35"/>
  <c r="T64" i="35"/>
  <c r="E67" i="35"/>
  <c r="F67" i="35"/>
  <c r="G67" i="35"/>
  <c r="H67" i="35"/>
  <c r="I67" i="35"/>
  <c r="J67" i="35"/>
  <c r="K67" i="35"/>
  <c r="L67" i="35"/>
  <c r="M67" i="35"/>
  <c r="N67" i="35"/>
  <c r="O67" i="35"/>
  <c r="P67" i="35"/>
  <c r="Q67" i="35"/>
  <c r="R67" i="35"/>
  <c r="S67" i="35"/>
  <c r="T67" i="35"/>
  <c r="E68" i="35"/>
  <c r="F68" i="35"/>
  <c r="G68" i="35"/>
  <c r="H68" i="35"/>
  <c r="I68" i="35"/>
  <c r="J68" i="35"/>
  <c r="K68" i="35"/>
  <c r="L68" i="35"/>
  <c r="M68" i="35"/>
  <c r="N68" i="35"/>
  <c r="O68" i="35"/>
  <c r="P68" i="35"/>
  <c r="Q68" i="35"/>
  <c r="R68" i="35"/>
  <c r="S68" i="35"/>
  <c r="T68" i="35"/>
  <c r="E70" i="35"/>
  <c r="F70" i="35"/>
  <c r="G70" i="35"/>
  <c r="H70" i="35"/>
  <c r="I70" i="35"/>
  <c r="J70" i="35"/>
  <c r="K70" i="35"/>
  <c r="L70" i="35"/>
  <c r="M70" i="35"/>
  <c r="N70" i="35"/>
  <c r="O70" i="35"/>
  <c r="P70" i="35"/>
  <c r="Q70" i="35"/>
  <c r="R70" i="35"/>
  <c r="S70" i="35"/>
  <c r="T70" i="35"/>
  <c r="F71" i="35"/>
  <c r="G71" i="35"/>
  <c r="H71" i="35"/>
  <c r="I71" i="35"/>
  <c r="J71" i="35"/>
  <c r="K71" i="35"/>
  <c r="L71" i="35"/>
  <c r="M71" i="35"/>
  <c r="N71" i="35"/>
  <c r="O71" i="35"/>
  <c r="P71" i="35"/>
  <c r="Q71" i="35"/>
  <c r="R71" i="35"/>
  <c r="S71" i="35"/>
  <c r="T71" i="35"/>
  <c r="E72" i="35"/>
  <c r="F72" i="35"/>
  <c r="G72" i="35"/>
  <c r="H72" i="35"/>
  <c r="I72" i="35"/>
  <c r="J72" i="35"/>
  <c r="K72" i="35"/>
  <c r="L72" i="35"/>
  <c r="M72" i="35"/>
  <c r="N72" i="35"/>
  <c r="O72" i="35"/>
  <c r="P72" i="35"/>
  <c r="Q72" i="35"/>
  <c r="R72" i="35"/>
  <c r="S72" i="35"/>
  <c r="T72" i="35"/>
  <c r="E75" i="35"/>
  <c r="F75" i="35"/>
  <c r="G75" i="35"/>
  <c r="H75" i="35"/>
  <c r="I75" i="35"/>
  <c r="J75" i="35"/>
  <c r="K75" i="35"/>
  <c r="L75" i="35"/>
  <c r="M75" i="35"/>
  <c r="N75" i="35"/>
  <c r="O75" i="35"/>
  <c r="P75" i="35"/>
  <c r="Q75" i="35"/>
  <c r="R75" i="35"/>
  <c r="S75" i="35"/>
  <c r="T75" i="35"/>
  <c r="E80" i="35"/>
  <c r="F80" i="35"/>
  <c r="G80" i="35"/>
  <c r="H80" i="35"/>
  <c r="I80" i="35"/>
  <c r="J80" i="35"/>
  <c r="K80" i="35"/>
  <c r="L80" i="35"/>
  <c r="M80" i="35"/>
  <c r="N80" i="35"/>
  <c r="O80" i="35"/>
  <c r="P80" i="35"/>
  <c r="Q80" i="35"/>
  <c r="R80" i="35"/>
  <c r="S80" i="35"/>
  <c r="T80" i="35"/>
  <c r="E86" i="35"/>
  <c r="F86" i="35"/>
  <c r="G86" i="35"/>
  <c r="H86" i="35"/>
  <c r="I86" i="35"/>
  <c r="J86" i="35"/>
  <c r="K86" i="35"/>
  <c r="L86" i="35"/>
  <c r="M86" i="35"/>
  <c r="N86" i="35"/>
  <c r="O86" i="35"/>
  <c r="P86" i="35"/>
  <c r="Q86" i="35"/>
  <c r="R86" i="35"/>
  <c r="S86" i="35"/>
  <c r="T86" i="35"/>
  <c r="E88" i="35"/>
  <c r="F88" i="35"/>
  <c r="G88" i="35"/>
  <c r="H88" i="35"/>
  <c r="I88" i="35"/>
  <c r="J88" i="35"/>
  <c r="K88" i="35"/>
  <c r="L88" i="35"/>
  <c r="M88" i="35"/>
  <c r="N88" i="35"/>
  <c r="O88" i="35"/>
  <c r="P88" i="35"/>
  <c r="Q88" i="35"/>
  <c r="R88" i="35"/>
  <c r="S88" i="35"/>
  <c r="T88" i="35"/>
  <c r="E93" i="35"/>
  <c r="F93" i="35"/>
  <c r="G93" i="35"/>
  <c r="H93" i="35"/>
  <c r="I93" i="35"/>
  <c r="J93" i="35"/>
  <c r="K93" i="35"/>
  <c r="L93" i="35"/>
  <c r="M93" i="35"/>
  <c r="N93" i="35"/>
  <c r="O93" i="35"/>
  <c r="P93" i="35"/>
  <c r="Q93" i="35"/>
  <c r="R93" i="35"/>
  <c r="S93" i="35"/>
  <c r="T93" i="35"/>
  <c r="E100" i="35"/>
  <c r="F100" i="35"/>
  <c r="G100" i="35"/>
  <c r="H100" i="35"/>
  <c r="I100" i="35"/>
  <c r="J100" i="35"/>
  <c r="K100" i="35"/>
  <c r="L100" i="35"/>
  <c r="M100" i="35"/>
  <c r="N100" i="35"/>
  <c r="O100" i="35"/>
  <c r="P100" i="35"/>
  <c r="Q100" i="35"/>
  <c r="R100" i="35"/>
  <c r="S100" i="35"/>
  <c r="T100" i="35"/>
  <c r="E102" i="35"/>
  <c r="F102" i="35"/>
  <c r="G102" i="35"/>
  <c r="H102" i="35"/>
  <c r="I102" i="35"/>
  <c r="J102" i="35"/>
  <c r="K102" i="35"/>
  <c r="L102" i="35"/>
  <c r="M102" i="35"/>
  <c r="N102" i="35"/>
  <c r="O102" i="35"/>
  <c r="P102" i="35"/>
  <c r="Q102" i="35"/>
  <c r="R102" i="35"/>
  <c r="S102" i="35"/>
  <c r="T102" i="35"/>
  <c r="E103" i="35"/>
  <c r="F103" i="35"/>
  <c r="G103" i="35"/>
  <c r="H103" i="35"/>
  <c r="I103" i="35"/>
  <c r="J103" i="35"/>
  <c r="K103" i="35"/>
  <c r="L103" i="35"/>
  <c r="M103" i="35"/>
  <c r="N103" i="35"/>
  <c r="O103" i="35"/>
  <c r="P103" i="35"/>
  <c r="Q103" i="35"/>
  <c r="R103" i="35"/>
  <c r="S103" i="35"/>
  <c r="T103" i="35"/>
  <c r="E104" i="35"/>
  <c r="F104" i="35"/>
  <c r="G104" i="35"/>
  <c r="H104" i="35"/>
  <c r="I104" i="35"/>
  <c r="J104" i="35"/>
  <c r="K104" i="35"/>
  <c r="L104" i="35"/>
  <c r="M104" i="35"/>
  <c r="N104" i="35"/>
  <c r="O104" i="35"/>
  <c r="P104" i="35"/>
  <c r="Q104" i="35"/>
  <c r="R104" i="35"/>
  <c r="S104" i="35"/>
  <c r="T104" i="35"/>
  <c r="E107" i="35"/>
  <c r="F107" i="35"/>
  <c r="G107" i="35"/>
  <c r="H107" i="35"/>
  <c r="I107" i="35"/>
  <c r="J107" i="35"/>
  <c r="K107" i="35"/>
  <c r="L107" i="35"/>
  <c r="M107" i="35"/>
  <c r="N107" i="35"/>
  <c r="O107" i="35"/>
  <c r="P107" i="35"/>
  <c r="Q107" i="35"/>
  <c r="R107" i="35"/>
  <c r="S107" i="35"/>
  <c r="T107" i="35"/>
  <c r="E108" i="35"/>
  <c r="F108" i="35"/>
  <c r="G108" i="35"/>
  <c r="H108" i="35"/>
  <c r="I108" i="35"/>
  <c r="J108" i="35"/>
  <c r="K108" i="35"/>
  <c r="L108" i="35"/>
  <c r="M108" i="35"/>
  <c r="N108" i="35"/>
  <c r="O108" i="35"/>
  <c r="P108" i="35"/>
  <c r="Q108" i="35"/>
  <c r="R108" i="35"/>
  <c r="S108" i="35"/>
  <c r="T108" i="35"/>
  <c r="E109" i="35"/>
  <c r="F109" i="35"/>
  <c r="G109" i="35"/>
  <c r="H109" i="35"/>
  <c r="I109" i="35"/>
  <c r="J109" i="35"/>
  <c r="K109" i="35"/>
  <c r="L109" i="35"/>
  <c r="M109" i="35"/>
  <c r="N109" i="35"/>
  <c r="O109" i="35"/>
  <c r="P109" i="35"/>
  <c r="Q109" i="35"/>
  <c r="R109" i="35"/>
  <c r="S109" i="35"/>
  <c r="T109" i="35"/>
  <c r="E110" i="35"/>
  <c r="F110" i="35"/>
  <c r="G110" i="35"/>
  <c r="H110" i="35"/>
  <c r="I110" i="35"/>
  <c r="J110" i="35"/>
  <c r="K110" i="35"/>
  <c r="L110" i="35"/>
  <c r="M110" i="35"/>
  <c r="N110" i="35"/>
  <c r="O110" i="35"/>
  <c r="P110" i="35"/>
  <c r="Q110" i="35"/>
  <c r="R110" i="35"/>
  <c r="S110" i="35"/>
  <c r="T110" i="35"/>
  <c r="E111" i="35"/>
  <c r="F111" i="35"/>
  <c r="G111" i="35"/>
  <c r="H111" i="35"/>
  <c r="I111" i="35"/>
  <c r="J111" i="35"/>
  <c r="K111" i="35"/>
  <c r="L111" i="35"/>
  <c r="M111" i="35"/>
  <c r="N111" i="35"/>
  <c r="O111" i="35"/>
  <c r="P111" i="35"/>
  <c r="Q111" i="35"/>
  <c r="R111" i="35"/>
  <c r="S111" i="35"/>
  <c r="T111" i="35"/>
  <c r="E112" i="35"/>
  <c r="F112" i="35"/>
  <c r="G112" i="35"/>
  <c r="H112" i="35"/>
  <c r="I112" i="35"/>
  <c r="J112" i="35"/>
  <c r="K112" i="35"/>
  <c r="L112" i="35"/>
  <c r="M112" i="35"/>
  <c r="N112" i="35"/>
  <c r="O112" i="35"/>
  <c r="P112" i="35"/>
  <c r="Q112" i="35"/>
  <c r="R112" i="35"/>
  <c r="S112" i="35"/>
  <c r="T112" i="35"/>
  <c r="E113" i="35"/>
  <c r="F113" i="35"/>
  <c r="G113" i="35"/>
  <c r="H113" i="35"/>
  <c r="I113" i="35"/>
  <c r="J113" i="35"/>
  <c r="K113" i="35"/>
  <c r="L113" i="35"/>
  <c r="M113" i="35"/>
  <c r="N113" i="35"/>
  <c r="O113" i="35"/>
  <c r="P113" i="35"/>
  <c r="Q113" i="35"/>
  <c r="R113" i="35"/>
  <c r="S113" i="35"/>
  <c r="T113" i="35"/>
  <c r="E114" i="35"/>
  <c r="F114" i="35"/>
  <c r="G114" i="35"/>
  <c r="H114" i="35"/>
  <c r="I114" i="35"/>
  <c r="J114" i="35"/>
  <c r="K114" i="35"/>
  <c r="L114" i="35"/>
  <c r="M114" i="35"/>
  <c r="N114" i="35"/>
  <c r="O114" i="35"/>
  <c r="P114" i="35"/>
  <c r="Q114" i="35"/>
  <c r="R114" i="35"/>
  <c r="S114" i="35"/>
  <c r="T114" i="35"/>
  <c r="E115" i="35"/>
  <c r="F115" i="35"/>
  <c r="G115" i="35"/>
  <c r="H115" i="35"/>
  <c r="I115" i="35"/>
  <c r="J115" i="35"/>
  <c r="K115" i="35"/>
  <c r="L115" i="35"/>
  <c r="M115" i="35"/>
  <c r="N115" i="35"/>
  <c r="O115" i="35"/>
  <c r="P115" i="35"/>
  <c r="Q115" i="35"/>
  <c r="R115" i="35"/>
  <c r="S115" i="35"/>
  <c r="T115" i="35"/>
  <c r="E116" i="35"/>
  <c r="F116" i="35"/>
  <c r="G116" i="35"/>
  <c r="H116" i="35"/>
  <c r="I116" i="35"/>
  <c r="J116" i="35"/>
  <c r="K116" i="35"/>
  <c r="L116" i="35"/>
  <c r="M116" i="35"/>
  <c r="N116" i="35"/>
  <c r="O116" i="35"/>
  <c r="P116" i="35"/>
  <c r="Q116" i="35"/>
  <c r="R116" i="35"/>
  <c r="S116" i="35"/>
  <c r="T116" i="35"/>
  <c r="E118" i="35"/>
  <c r="F118" i="35"/>
  <c r="G118" i="35"/>
  <c r="H118" i="35"/>
  <c r="I118" i="35"/>
  <c r="J118" i="35"/>
  <c r="K118" i="35"/>
  <c r="L118" i="35"/>
  <c r="M118" i="35"/>
  <c r="N118" i="35"/>
  <c r="O118" i="35"/>
  <c r="P118" i="35"/>
  <c r="Q118" i="35"/>
  <c r="R118" i="35"/>
  <c r="S118" i="35"/>
  <c r="T118" i="35"/>
  <c r="E119" i="35"/>
  <c r="F119" i="35"/>
  <c r="G119" i="35"/>
  <c r="H119" i="35"/>
  <c r="I119" i="35"/>
  <c r="J119" i="35"/>
  <c r="K119" i="35"/>
  <c r="L119" i="35"/>
  <c r="M119" i="35"/>
  <c r="N119" i="35"/>
  <c r="O119" i="35"/>
  <c r="P119" i="35"/>
  <c r="Q119" i="35"/>
  <c r="R119" i="35"/>
  <c r="S119" i="35"/>
  <c r="T119" i="35"/>
  <c r="E120" i="35"/>
  <c r="F120" i="35"/>
  <c r="G120" i="35"/>
  <c r="H120" i="35"/>
  <c r="I120" i="35"/>
  <c r="J120" i="35"/>
  <c r="K120" i="35"/>
  <c r="L120" i="35"/>
  <c r="M120" i="35"/>
  <c r="N120" i="35"/>
  <c r="O120" i="35"/>
  <c r="P120" i="35"/>
  <c r="Q120" i="35"/>
  <c r="R120" i="35"/>
  <c r="S120" i="35"/>
  <c r="T120" i="35"/>
  <c r="E121" i="35"/>
  <c r="F121" i="35"/>
  <c r="G121" i="35"/>
  <c r="H121" i="35"/>
  <c r="I121" i="35"/>
  <c r="J121" i="35"/>
  <c r="K121" i="35"/>
  <c r="L121" i="35"/>
  <c r="M121" i="35"/>
  <c r="N121" i="35"/>
  <c r="O121" i="35"/>
  <c r="P121" i="35"/>
  <c r="Q121" i="35"/>
  <c r="R121" i="35"/>
  <c r="S121" i="35"/>
  <c r="T121" i="35"/>
  <c r="E123" i="35"/>
  <c r="F123" i="35"/>
  <c r="G123" i="35"/>
  <c r="H123" i="35"/>
  <c r="I123" i="35"/>
  <c r="J123" i="35"/>
  <c r="K123" i="35"/>
  <c r="L123" i="35"/>
  <c r="M123" i="35"/>
  <c r="N123" i="35"/>
  <c r="O123" i="35"/>
  <c r="P123" i="35"/>
  <c r="Q123" i="35"/>
  <c r="R123" i="35"/>
  <c r="S123" i="35"/>
  <c r="T123" i="35"/>
  <c r="E124" i="35"/>
  <c r="F124" i="35"/>
  <c r="G124" i="35"/>
  <c r="H124" i="35"/>
  <c r="I124" i="35"/>
  <c r="J124" i="35"/>
  <c r="K124" i="35"/>
  <c r="L124" i="35"/>
  <c r="M124" i="35"/>
  <c r="N124" i="35"/>
  <c r="O124" i="35"/>
  <c r="P124" i="35"/>
  <c r="Q124" i="35"/>
  <c r="R124" i="35"/>
  <c r="S124" i="35"/>
  <c r="T124" i="35"/>
</calcChain>
</file>

<file path=xl/comments1.xml><?xml version="1.0" encoding="utf-8"?>
<comments xmlns="http://schemas.openxmlformats.org/spreadsheetml/2006/main">
  <authors>
    <author>carlos-castellanos</author>
    <author>DArciniegas</author>
  </authors>
  <commentList>
    <comment ref="W13" authorId="0" shapeId="0">
      <text>
        <r>
          <rPr>
            <sz val="8"/>
            <color indexed="81"/>
            <rFont val="Tahoma"/>
            <family val="2"/>
          </rPr>
          <t>Incluir en esta celda el grado FEVE del cliente</t>
        </r>
      </text>
    </comment>
    <comment ref="J66" authorId="0" shapeId="0">
      <text>
        <r>
          <rPr>
            <sz val="8"/>
            <color indexed="81"/>
            <rFont val="Tahoma"/>
            <family val="2"/>
          </rPr>
          <t>Digitar el valor del CER en millones.</t>
        </r>
      </text>
    </comment>
    <comment ref="B92" authorId="0" shapeId="0">
      <text>
        <r>
          <rPr>
            <sz val="8"/>
            <color indexed="81"/>
            <rFont val="Tahoma"/>
            <family val="2"/>
          </rPr>
          <t>Digitar aquí el rating automático si el cliente pertenece a BMG.</t>
        </r>
      </text>
    </comment>
    <comment ref="B103" authorId="1" shapeId="0">
      <text>
        <r>
          <rPr>
            <sz val="8"/>
            <color indexed="81"/>
            <rFont val="Tahoma"/>
            <family val="2"/>
          </rPr>
          <t>Incluir explicación clara que permita determinar las necesidades de financiación del cliente y la utilización que dará a cada una de las líneas que solicita en un cupo o a una operación específica.</t>
        </r>
        <r>
          <rPr>
            <sz val="8"/>
            <color indexed="81"/>
            <rFont val="Tahoma"/>
            <family val="2"/>
          </rPr>
          <t xml:space="preserve">
</t>
        </r>
      </text>
    </comment>
    <comment ref="B125" authorId="1" shapeId="0">
      <text>
        <r>
          <rPr>
            <sz val="8"/>
            <color indexed="81"/>
            <rFont val="Tahoma"/>
            <family val="2"/>
          </rPr>
          <t xml:space="preserve">Análisis de capacidad de pago tanto de corto como de largo plazo, teniendo en cuenta los principales indicadores
</t>
        </r>
      </text>
    </comment>
    <comment ref="B137" authorId="1" shapeId="0">
      <text>
        <r>
          <rPr>
            <sz val="8"/>
            <color indexed="81"/>
            <rFont val="Tahoma"/>
            <family val="2"/>
          </rPr>
          <t xml:space="preserve">Registrar las garantías propuestas para respaldar la operación solicitada y como será su formalización.
</t>
        </r>
      </text>
    </comment>
  </commentList>
</comments>
</file>

<file path=xl/comments2.xml><?xml version="1.0" encoding="utf-8"?>
<comments xmlns="http://schemas.openxmlformats.org/spreadsheetml/2006/main">
  <authors>
    <author>n303098</author>
  </authors>
  <commentList>
    <comment ref="D9" authorId="0" shapeId="0">
      <text>
        <r>
          <rPr>
            <b/>
            <sz val="9"/>
            <color indexed="81"/>
            <rFont val="Tahoma"/>
            <family val="2"/>
          </rPr>
          <t>n303098:</t>
        </r>
        <r>
          <rPr>
            <sz val="9"/>
            <color indexed="81"/>
            <rFont val="Tahoma"/>
            <family val="2"/>
          </rPr>
          <t xml:space="preserve">
Ingresar sin dígito de verificación, comas ni puntos.</t>
        </r>
      </text>
    </comment>
  </commentList>
</comments>
</file>

<file path=xl/comments3.xml><?xml version="1.0" encoding="utf-8"?>
<comments xmlns="http://schemas.openxmlformats.org/spreadsheetml/2006/main">
  <authors>
    <author>andres-buelvas</author>
  </authors>
  <commentList>
    <comment ref="A81" authorId="0" shapeId="0">
      <text>
        <r>
          <rPr>
            <b/>
            <sz val="8"/>
            <color indexed="81"/>
            <rFont val="Tahoma"/>
            <family val="2"/>
          </rPr>
          <t>andres-buelvas:</t>
        </r>
        <r>
          <rPr>
            <sz val="8"/>
            <color indexed="81"/>
            <rFont val="Tahoma"/>
            <family val="2"/>
          </rPr>
          <t xml:space="preserve">
Margen Operacional, Margen Neto, ROE, ROA </t>
        </r>
      </text>
    </comment>
  </commentList>
</comments>
</file>

<file path=xl/comments4.xml><?xml version="1.0" encoding="utf-8"?>
<comments xmlns="http://schemas.openxmlformats.org/spreadsheetml/2006/main">
  <authors>
    <author>MMOREN2</author>
    <author>carlos-castellanos</author>
  </authors>
  <commentList>
    <comment ref="H82" authorId="0" shapeId="0">
      <text>
        <r>
          <rPr>
            <sz val="8"/>
            <color indexed="81"/>
            <rFont val="Tahoma"/>
            <family val="2"/>
          </rPr>
          <t xml:space="preserve">Signo (-) si es Inversión y (+) si es Desinversión
</t>
        </r>
      </text>
    </comment>
    <comment ref="J82" authorId="0" shapeId="0">
      <text>
        <r>
          <rPr>
            <sz val="8"/>
            <color indexed="81"/>
            <rFont val="Tahoma"/>
            <family val="2"/>
          </rPr>
          <t xml:space="preserve">Signo (-) si es Inversión y (+) si es Desinversión
</t>
        </r>
      </text>
    </comment>
    <comment ref="K82" authorId="0" shapeId="0">
      <text>
        <r>
          <rPr>
            <sz val="8"/>
            <color indexed="81"/>
            <rFont val="Tahoma"/>
            <family val="2"/>
          </rPr>
          <t xml:space="preserve">Signo (-) si es Inversión y (+) si es Desinversión
</t>
        </r>
      </text>
    </comment>
    <comment ref="L82" authorId="0" shapeId="0">
      <text>
        <r>
          <rPr>
            <sz val="8"/>
            <color indexed="81"/>
            <rFont val="Tahoma"/>
            <family val="2"/>
          </rPr>
          <t xml:space="preserve">Signo (-) si es Inversión y (+) si es Desinversión
</t>
        </r>
      </text>
    </comment>
    <comment ref="M82" authorId="0" shapeId="0">
      <text>
        <r>
          <rPr>
            <sz val="8"/>
            <color indexed="81"/>
            <rFont val="Tahoma"/>
            <family val="2"/>
          </rPr>
          <t xml:space="preserve">Signo (-) si es Inversión y (+) si es Desinversión
</t>
        </r>
      </text>
    </comment>
    <comment ref="N82" authorId="0" shapeId="0">
      <text>
        <r>
          <rPr>
            <sz val="8"/>
            <color indexed="81"/>
            <rFont val="Tahoma"/>
            <family val="2"/>
          </rPr>
          <t xml:space="preserve">Signo (-) si es Inversión y (+) si es Desinversión
</t>
        </r>
      </text>
    </comment>
    <comment ref="H83" authorId="0" shapeId="0">
      <text>
        <r>
          <rPr>
            <sz val="8"/>
            <color indexed="81"/>
            <rFont val="Tahoma"/>
            <family val="2"/>
          </rPr>
          <t xml:space="preserve">Signo (-) si es Inversión y (+) si es Desinversión
</t>
        </r>
      </text>
    </comment>
    <comment ref="J83" authorId="0" shapeId="0">
      <text>
        <r>
          <rPr>
            <sz val="8"/>
            <color indexed="81"/>
            <rFont val="Tahoma"/>
            <family val="2"/>
          </rPr>
          <t xml:space="preserve">Signo (-) si es Inversión y (+) si es Desinversión
</t>
        </r>
      </text>
    </comment>
    <comment ref="K83" authorId="0" shapeId="0">
      <text>
        <r>
          <rPr>
            <sz val="8"/>
            <color indexed="81"/>
            <rFont val="Tahoma"/>
            <family val="2"/>
          </rPr>
          <t xml:space="preserve">Signo (-) si es Inversión y (+) si es Desinversión
</t>
        </r>
      </text>
    </comment>
    <comment ref="L83" authorId="0" shapeId="0">
      <text>
        <r>
          <rPr>
            <sz val="8"/>
            <color indexed="81"/>
            <rFont val="Tahoma"/>
            <family val="2"/>
          </rPr>
          <t xml:space="preserve">Signo (-) si es Inversión y (+) si es Desinversión
</t>
        </r>
      </text>
    </comment>
    <comment ref="M83" authorId="0" shapeId="0">
      <text>
        <r>
          <rPr>
            <sz val="8"/>
            <color indexed="81"/>
            <rFont val="Tahoma"/>
            <family val="2"/>
          </rPr>
          <t xml:space="preserve">Signo (-) si es Inversión y (+) si es Desinversión
</t>
        </r>
      </text>
    </comment>
    <comment ref="N83" authorId="0" shapeId="0">
      <text>
        <r>
          <rPr>
            <sz val="8"/>
            <color indexed="81"/>
            <rFont val="Tahoma"/>
            <family val="2"/>
          </rPr>
          <t xml:space="preserve">Signo (-) si es Inversión y (+) si es Desinversión
</t>
        </r>
      </text>
    </comment>
    <comment ref="O83" authorId="0" shapeId="0">
      <text>
        <r>
          <rPr>
            <sz val="8"/>
            <color indexed="81"/>
            <rFont val="Tahoma"/>
            <family val="2"/>
          </rPr>
          <t xml:space="preserve">Signo (-) si es Inversión y (+) si es Desinversión
</t>
        </r>
      </text>
    </comment>
    <comment ref="B100" authorId="1" shapeId="0">
      <text>
        <r>
          <rPr>
            <sz val="8"/>
            <color indexed="81"/>
            <rFont val="Tahoma"/>
            <family val="2"/>
          </rPr>
          <t>El cálculo histórico corresponde a la proporción de la provisión de cartera frente a la cartera bruta (clientes+grupo), con lo cual se tiene un referente de la proporción de la cartera provisionada.  En la proyección se hace la provisión de cada periodo tomando la proporción a provisionar sobre el crecimiento de la cartera bruta.</t>
        </r>
      </text>
    </comment>
    <comment ref="B102" authorId="1" shapeId="0">
      <text>
        <r>
          <rPr>
            <sz val="8"/>
            <color indexed="81"/>
            <rFont val="Tahoma"/>
            <family val="2"/>
          </rPr>
          <t>Se proyecta como un porcentaje de las ventas.</t>
        </r>
      </text>
    </comment>
    <comment ref="B104" authorId="1" shapeId="0">
      <text>
        <r>
          <rPr>
            <sz val="8"/>
            <color indexed="81"/>
            <rFont val="Tahoma"/>
            <family val="2"/>
          </rPr>
          <t>Se proyecta como un porcentaje de las ventas.</t>
        </r>
      </text>
    </comment>
    <comment ref="B106" authorId="1" shapeId="0">
      <text>
        <r>
          <rPr>
            <sz val="8"/>
            <color indexed="81"/>
            <rFont val="Tahoma"/>
            <family val="2"/>
          </rPr>
          <t xml:space="preserve">Corresponde a la proporción de la cartera bruta de </t>
        </r>
        <r>
          <rPr>
            <b/>
            <sz val="8"/>
            <color indexed="81"/>
            <rFont val="Tahoma"/>
            <family val="2"/>
          </rPr>
          <t>clientes diferentes a grupo</t>
        </r>
        <r>
          <rPr>
            <sz val="8"/>
            <color indexed="81"/>
            <rFont val="Tahoma"/>
            <family val="2"/>
          </rPr>
          <t xml:space="preserve"> frente a las ventas.</t>
        </r>
      </text>
    </comment>
    <comment ref="B107" authorId="1" shapeId="0">
      <text>
        <r>
          <rPr>
            <sz val="8"/>
            <color indexed="81"/>
            <rFont val="Tahoma"/>
            <family val="2"/>
          </rPr>
          <t xml:space="preserve">Corresponde a la proporción de la cartera bruta </t>
        </r>
        <r>
          <rPr>
            <b/>
            <sz val="8"/>
            <color indexed="81"/>
            <rFont val="Tahoma"/>
            <family val="2"/>
          </rPr>
          <t>con clientes grupo</t>
        </r>
        <r>
          <rPr>
            <sz val="8"/>
            <color indexed="81"/>
            <rFont val="Tahoma"/>
            <family val="2"/>
          </rPr>
          <t xml:space="preserve"> frente a las ventas.</t>
        </r>
      </text>
    </comment>
    <comment ref="B120" authorId="1" shapeId="0">
      <text>
        <r>
          <rPr>
            <b/>
            <sz val="8"/>
            <color indexed="81"/>
            <rFont val="Tahoma"/>
            <family val="2"/>
          </rPr>
          <t>Digite el valor de las inversiones realizadas en el periodo.</t>
        </r>
      </text>
    </comment>
    <comment ref="B137" authorId="1" shapeId="0">
      <text>
        <r>
          <rPr>
            <b/>
            <sz val="8"/>
            <color indexed="81"/>
            <rFont val="Tahoma"/>
            <family val="2"/>
          </rPr>
          <t>Digite el valor de las inversiones realizadas durante el periodo con signo menos (-)</t>
        </r>
      </text>
    </comment>
    <comment ref="B139" authorId="1" shapeId="0">
      <text>
        <r>
          <rPr>
            <b/>
            <sz val="8"/>
            <color indexed="81"/>
            <rFont val="Tahoma"/>
            <family val="2"/>
          </rPr>
          <t>Digite con signo menos (-) el valor correspondiente a la parte de la revalorización del patrimonio que se capitalizó.</t>
        </r>
      </text>
    </comment>
  </commentList>
</comments>
</file>

<file path=xl/comments5.xml><?xml version="1.0" encoding="utf-8"?>
<comments xmlns="http://schemas.openxmlformats.org/spreadsheetml/2006/main">
  <authors>
    <author>SCH</author>
  </authors>
  <commentList>
    <comment ref="D4" authorId="0" shapeId="0">
      <text>
        <r>
          <rPr>
            <sz val="8"/>
            <color indexed="81"/>
            <rFont val="Tahoma"/>
            <family val="2"/>
          </rPr>
          <t>Introducir grupo de pertenencia; si se trata del propio dejarlo en blanco</t>
        </r>
        <r>
          <rPr>
            <sz val="8"/>
            <color indexed="81"/>
            <rFont val="Tahoma"/>
            <family val="2"/>
          </rPr>
          <t xml:space="preserve">
 </t>
        </r>
      </text>
    </comment>
    <comment ref="G4" authorId="0" shapeId="0">
      <text>
        <r>
          <rPr>
            <sz val="8"/>
            <color indexed="81"/>
            <rFont val="Tahoma"/>
            <family val="2"/>
          </rPr>
          <t xml:space="preserve">Código KGL del Grupo
</t>
        </r>
      </text>
    </comment>
    <comment ref="N4" authorId="0" shapeId="0">
      <text>
        <r>
          <rPr>
            <sz val="7"/>
            <color indexed="81"/>
            <rFont val="Tahoma"/>
            <family val="2"/>
          </rPr>
          <t xml:space="preserve">Introducir fecha del rating Moodys
</t>
        </r>
      </text>
    </comment>
    <comment ref="N5" authorId="0" shapeId="0">
      <text>
        <r>
          <rPr>
            <sz val="7"/>
            <color indexed="81"/>
            <rFont val="Tahoma"/>
            <family val="2"/>
          </rPr>
          <t xml:space="preserve">Introducir fecha del rating Fitch
</t>
        </r>
      </text>
    </comment>
    <comment ref="B6" authorId="0" shapeId="0">
      <text>
        <r>
          <rPr>
            <sz val="8"/>
            <color indexed="81"/>
            <rFont val="Tahoma"/>
            <family val="2"/>
          </rPr>
          <t>Introducir nombre</t>
        </r>
      </text>
    </comment>
    <comment ref="K6" authorId="0" shapeId="0">
      <text>
        <r>
          <rPr>
            <sz val="8"/>
            <color indexed="81"/>
            <rFont val="Tahoma"/>
            <family val="2"/>
          </rPr>
          <t xml:space="preserve">Introducir fecha del análisis
</t>
        </r>
        <r>
          <rPr>
            <sz val="8"/>
            <color indexed="81"/>
            <rFont val="Tahoma"/>
            <family val="2"/>
          </rPr>
          <t xml:space="preserve">
</t>
        </r>
      </text>
    </comment>
    <comment ref="N6" authorId="0" shapeId="0">
      <text>
        <r>
          <rPr>
            <sz val="8"/>
            <color indexed="81"/>
            <rFont val="Tahoma"/>
            <family val="2"/>
          </rPr>
          <t xml:space="preserve">Introducir rating
</t>
        </r>
        <r>
          <rPr>
            <sz val="8"/>
            <color indexed="81"/>
            <rFont val="Tahoma"/>
            <family val="2"/>
          </rPr>
          <t xml:space="preserve">
</t>
        </r>
      </text>
    </comment>
    <comment ref="O6" authorId="0" shapeId="0">
      <text>
        <r>
          <rPr>
            <sz val="8"/>
            <color indexed="81"/>
            <rFont val="Tahoma"/>
            <family val="2"/>
          </rPr>
          <t>Outlook</t>
        </r>
      </text>
    </comment>
    <comment ref="E8" authorId="0" shapeId="0">
      <text>
        <r>
          <rPr>
            <sz val="8"/>
            <color indexed="81"/>
            <rFont val="Tahoma"/>
            <family val="2"/>
          </rPr>
          <t xml:space="preserve">Introducir  descripción general de la entidad
</t>
        </r>
      </text>
    </comment>
    <comment ref="B34" authorId="0" shapeId="0">
      <text>
        <r>
          <rPr>
            <sz val="8"/>
            <color indexed="81"/>
            <rFont val="Tahoma"/>
            <family val="2"/>
          </rPr>
          <t xml:space="preserve">Texto con valor añadido </t>
        </r>
        <r>
          <rPr>
            <sz val="8"/>
            <color indexed="81"/>
            <rFont val="Tahoma"/>
            <family val="2"/>
          </rPr>
          <t xml:space="preserve">
</t>
        </r>
      </text>
    </comment>
    <comment ref="B37" authorId="0" shapeId="0">
      <text>
        <r>
          <rPr>
            <sz val="8"/>
            <color indexed="81"/>
            <rFont val="Tahoma"/>
            <family val="2"/>
          </rPr>
          <t xml:space="preserve">Texto con valor añadido </t>
        </r>
        <r>
          <rPr>
            <sz val="8"/>
            <color indexed="81"/>
            <rFont val="Tahoma"/>
            <family val="2"/>
          </rPr>
          <t xml:space="preserve">
</t>
        </r>
      </text>
    </comment>
    <comment ref="B40" authorId="0" shapeId="0">
      <text>
        <r>
          <rPr>
            <sz val="8"/>
            <color indexed="81"/>
            <rFont val="Tahoma"/>
            <family val="2"/>
          </rPr>
          <t xml:space="preserve">Texto con valor añadido </t>
        </r>
        <r>
          <rPr>
            <sz val="8"/>
            <color indexed="81"/>
            <rFont val="Tahoma"/>
            <family val="2"/>
          </rPr>
          <t xml:space="preserve">
</t>
        </r>
      </text>
    </comment>
    <comment ref="B43" authorId="0" shapeId="0">
      <text>
        <r>
          <rPr>
            <sz val="8"/>
            <color indexed="81"/>
            <rFont val="Tahoma"/>
            <family val="2"/>
          </rPr>
          <t xml:space="preserve">Texto con valor añadido </t>
        </r>
        <r>
          <rPr>
            <sz val="8"/>
            <color indexed="81"/>
            <rFont val="Tahoma"/>
            <family val="2"/>
          </rPr>
          <t xml:space="preserve">
</t>
        </r>
      </text>
    </comment>
  </commentList>
</comments>
</file>

<file path=xl/comments6.xml><?xml version="1.0" encoding="utf-8"?>
<comments xmlns="http://schemas.openxmlformats.org/spreadsheetml/2006/main">
  <authors>
    <author>carlos-castellanos</author>
  </authors>
  <commentList>
    <comment ref="B30" authorId="0" shapeId="0">
      <text>
        <r>
          <rPr>
            <sz val="8"/>
            <color indexed="81"/>
            <rFont val="Tahoma"/>
            <family val="2"/>
          </rPr>
          <t>Diligenciar este cuadro si se cuenta con la información.</t>
        </r>
      </text>
    </comment>
  </commentList>
</comments>
</file>

<file path=xl/comments7.xml><?xml version="1.0" encoding="utf-8"?>
<comments xmlns="http://schemas.openxmlformats.org/spreadsheetml/2006/main">
  <authors>
    <author>carlos-castellanos</author>
    <author>DArciniegas</author>
  </authors>
  <commentList>
    <comment ref="W13" authorId="0" shapeId="0">
      <text>
        <r>
          <rPr>
            <sz val="8"/>
            <color indexed="81"/>
            <rFont val="Tahoma"/>
            <family val="2"/>
          </rPr>
          <t>Incluir en esta celda el grado FEVE del cliente</t>
        </r>
      </text>
    </comment>
    <comment ref="J60" authorId="0" shapeId="0">
      <text>
        <r>
          <rPr>
            <sz val="8"/>
            <color indexed="81"/>
            <rFont val="Tahoma"/>
            <family val="2"/>
          </rPr>
          <t>Digitar el valor del CER en millones.</t>
        </r>
      </text>
    </comment>
    <comment ref="B86" authorId="0" shapeId="0">
      <text>
        <r>
          <rPr>
            <sz val="8"/>
            <color indexed="81"/>
            <rFont val="Tahoma"/>
            <family val="2"/>
          </rPr>
          <t>Digitar aquí el rating automático si el cliente pertenece a BMG.</t>
        </r>
      </text>
    </comment>
    <comment ref="B97" authorId="1" shapeId="0">
      <text>
        <r>
          <rPr>
            <sz val="8"/>
            <color indexed="81"/>
            <rFont val="Tahoma"/>
            <family val="2"/>
          </rPr>
          <t>Incluir explicación clara que permita determinar las necesidades de financiación del cliente y la utilización que dará a cada una de las líneas que solicita en un cupo o a una operación específica.</t>
        </r>
        <r>
          <rPr>
            <sz val="8"/>
            <color indexed="81"/>
            <rFont val="Tahoma"/>
            <family val="2"/>
          </rPr>
          <t xml:space="preserve">
</t>
        </r>
      </text>
    </comment>
    <comment ref="B119" authorId="1" shapeId="0">
      <text>
        <r>
          <rPr>
            <sz val="8"/>
            <color indexed="81"/>
            <rFont val="Tahoma"/>
            <family val="2"/>
          </rPr>
          <t xml:space="preserve">Análisis de capacidad de pago tanto de corto como de largo plazo, teniendo en cuenta los principales indicadores
</t>
        </r>
      </text>
    </comment>
    <comment ref="B131" authorId="1" shapeId="0">
      <text>
        <r>
          <rPr>
            <sz val="8"/>
            <color indexed="81"/>
            <rFont val="Tahoma"/>
            <family val="2"/>
          </rPr>
          <t xml:space="preserve">Registrar las garantías propuestas para respaldar la operación solicitada y como será su formalización.
</t>
        </r>
      </text>
    </comment>
  </commentList>
</comments>
</file>

<file path=xl/comments8.xml><?xml version="1.0" encoding="utf-8"?>
<comments xmlns="http://schemas.openxmlformats.org/spreadsheetml/2006/main">
  <authors>
    <author>mily-vargas</author>
    <author>carlos-castellanos</author>
    <author>DArciniegas</author>
  </authors>
  <commentList>
    <comment ref="D3" authorId="0" shapeId="0">
      <text>
        <r>
          <rPr>
            <sz val="8"/>
            <color indexed="81"/>
            <rFont val="Tahoma"/>
            <family val="2"/>
          </rPr>
          <t>Fecha del día que llega la propuesta</t>
        </r>
      </text>
    </comment>
    <comment ref="J7" authorId="1" shapeId="0">
      <text>
        <r>
          <rPr>
            <sz val="8"/>
            <color indexed="81"/>
            <rFont val="Tahoma"/>
            <family val="2"/>
          </rPr>
          <t>Si el informe del Revisor Fiscal presenta salvedades hacer el comentario ampliando las razones al final.</t>
        </r>
      </text>
    </comment>
    <comment ref="G10" authorId="2" shapeId="0">
      <text>
        <r>
          <rPr>
            <sz val="8"/>
            <color indexed="81"/>
            <rFont val="Tahoma"/>
            <family val="2"/>
          </rPr>
          <t>Coloque SI o NO</t>
        </r>
        <r>
          <rPr>
            <b/>
            <sz val="8"/>
            <color indexed="81"/>
            <rFont val="Tahoma"/>
            <family val="2"/>
          </rPr>
          <t xml:space="preserve">
</t>
        </r>
      </text>
    </comment>
    <comment ref="J10" authorId="2" shapeId="0">
      <text>
        <r>
          <rPr>
            <sz val="8"/>
            <color indexed="81"/>
            <rFont val="Tahoma"/>
            <family val="2"/>
          </rPr>
          <t>Coloque SI o NO</t>
        </r>
        <r>
          <rPr>
            <b/>
            <sz val="8"/>
            <color indexed="81"/>
            <rFont val="Tahoma"/>
            <family val="2"/>
          </rPr>
          <t xml:space="preserve">
</t>
        </r>
      </text>
    </comment>
    <comment ref="D11" authorId="2" shapeId="0">
      <text>
        <r>
          <rPr>
            <sz val="8"/>
            <color indexed="81"/>
            <rFont val="Tahoma"/>
            <family val="2"/>
          </rPr>
          <t>Coloque SI o NO</t>
        </r>
        <r>
          <rPr>
            <b/>
            <sz val="8"/>
            <color indexed="81"/>
            <rFont val="Tahoma"/>
            <family val="2"/>
          </rPr>
          <t xml:space="preserve">
</t>
        </r>
      </text>
    </comment>
    <comment ref="V11" authorId="1" shapeId="0">
      <text>
        <r>
          <rPr>
            <sz val="8"/>
            <color indexed="81"/>
            <rFont val="Tahoma"/>
            <family val="2"/>
          </rPr>
          <t>Incluir en esta celda el grado FEVE del cliente</t>
        </r>
      </text>
    </comment>
    <comment ref="I54" authorId="1" shapeId="0">
      <text>
        <r>
          <rPr>
            <sz val="8"/>
            <color indexed="81"/>
            <rFont val="Tahoma"/>
            <family val="2"/>
          </rPr>
          <t>Digitar el valor del CER en millones.</t>
        </r>
      </text>
    </comment>
    <comment ref="A78" authorId="1" shapeId="0">
      <text>
        <r>
          <rPr>
            <sz val="8"/>
            <color indexed="81"/>
            <rFont val="Tahoma"/>
            <family val="2"/>
          </rPr>
          <t>Digitar aquí el rating automático si el cliente pertenece a BMG.</t>
        </r>
      </text>
    </comment>
    <comment ref="A86" authorId="2" shapeId="0">
      <text>
        <r>
          <rPr>
            <sz val="8"/>
            <color indexed="81"/>
            <rFont val="Tahoma"/>
            <family val="2"/>
          </rPr>
          <t>Incluir explicación clara que permita determinar las necesidades de financiación del cliente y la utilización que dará a cada una de las líneas que solicita en un cupo o a una operación específica.</t>
        </r>
        <r>
          <rPr>
            <sz val="8"/>
            <color indexed="81"/>
            <rFont val="Tahoma"/>
            <family val="2"/>
          </rPr>
          <t xml:space="preserve">
</t>
        </r>
      </text>
    </comment>
    <comment ref="A108" authorId="2" shapeId="0">
      <text>
        <r>
          <rPr>
            <sz val="8"/>
            <color indexed="81"/>
            <rFont val="Tahoma"/>
            <family val="2"/>
          </rPr>
          <t xml:space="preserve">Análisis de capacidad de pago tanto de corto como de largo plazo, teniendo en cuenta los principales indicadores
</t>
        </r>
      </text>
    </comment>
    <comment ref="A130" authorId="2" shapeId="0">
      <text>
        <r>
          <rPr>
            <sz val="8"/>
            <color indexed="81"/>
            <rFont val="Tahoma"/>
            <family val="2"/>
          </rPr>
          <t xml:space="preserve">Registrar las garantías propuestas para respaldar la operación solicitada y como será su formalización.
</t>
        </r>
      </text>
    </comment>
  </commentList>
</comments>
</file>

<file path=xl/comments9.xml><?xml version="1.0" encoding="utf-8"?>
<comments xmlns="http://schemas.openxmlformats.org/spreadsheetml/2006/main">
  <authors>
    <author>mily-vargas</author>
    <author>carlos-castellanos</author>
    <author>DArciniegas</author>
  </authors>
  <commentList>
    <comment ref="D3" authorId="0" shapeId="0">
      <text>
        <r>
          <rPr>
            <sz val="8"/>
            <color indexed="81"/>
            <rFont val="Tahoma"/>
            <family val="2"/>
          </rPr>
          <t>Fecha del día que llega la propuesta</t>
        </r>
      </text>
    </comment>
    <comment ref="J7" authorId="1" shapeId="0">
      <text>
        <r>
          <rPr>
            <sz val="8"/>
            <color indexed="81"/>
            <rFont val="Tahoma"/>
            <family val="2"/>
          </rPr>
          <t>Si el informe del Revisor Fiscal presenta salvedades hacer el comentario ampliando las razones al final.</t>
        </r>
      </text>
    </comment>
    <comment ref="G10" authorId="2" shapeId="0">
      <text>
        <r>
          <rPr>
            <sz val="8"/>
            <color indexed="81"/>
            <rFont val="Tahoma"/>
            <family val="2"/>
          </rPr>
          <t>Coloque SI o NO</t>
        </r>
        <r>
          <rPr>
            <b/>
            <sz val="8"/>
            <color indexed="81"/>
            <rFont val="Tahoma"/>
            <family val="2"/>
          </rPr>
          <t xml:space="preserve">
</t>
        </r>
      </text>
    </comment>
    <comment ref="J10" authorId="2" shapeId="0">
      <text>
        <r>
          <rPr>
            <sz val="8"/>
            <color indexed="81"/>
            <rFont val="Tahoma"/>
            <family val="2"/>
          </rPr>
          <t>Coloque SI o NO</t>
        </r>
        <r>
          <rPr>
            <b/>
            <sz val="8"/>
            <color indexed="81"/>
            <rFont val="Tahoma"/>
            <family val="2"/>
          </rPr>
          <t xml:space="preserve">
</t>
        </r>
      </text>
    </comment>
    <comment ref="D11" authorId="2" shapeId="0">
      <text>
        <r>
          <rPr>
            <sz val="8"/>
            <color indexed="81"/>
            <rFont val="Tahoma"/>
            <family val="2"/>
          </rPr>
          <t>Coloque SI o NO</t>
        </r>
        <r>
          <rPr>
            <b/>
            <sz val="8"/>
            <color indexed="81"/>
            <rFont val="Tahoma"/>
            <family val="2"/>
          </rPr>
          <t xml:space="preserve">
</t>
        </r>
      </text>
    </comment>
    <comment ref="V11" authorId="1" shapeId="0">
      <text>
        <r>
          <rPr>
            <sz val="8"/>
            <color indexed="81"/>
            <rFont val="Tahoma"/>
            <family val="2"/>
          </rPr>
          <t>Incluir en esta celda el grado FEVE del cliente</t>
        </r>
      </text>
    </comment>
    <comment ref="I55" authorId="1" shapeId="0">
      <text>
        <r>
          <rPr>
            <sz val="8"/>
            <color indexed="81"/>
            <rFont val="Tahoma"/>
            <family val="2"/>
          </rPr>
          <t>Digitar el valor del CER en millones.</t>
        </r>
      </text>
    </comment>
    <comment ref="A79" authorId="1" shapeId="0">
      <text>
        <r>
          <rPr>
            <sz val="8"/>
            <color indexed="81"/>
            <rFont val="Tahoma"/>
            <family val="2"/>
          </rPr>
          <t>Digitar aquí el rating automático si el cliente pertenece a BMG.</t>
        </r>
      </text>
    </comment>
    <comment ref="A87" authorId="2" shapeId="0">
      <text>
        <r>
          <rPr>
            <sz val="8"/>
            <color indexed="81"/>
            <rFont val="Tahoma"/>
            <family val="2"/>
          </rPr>
          <t>Incluir explicación clara que permita determinar las necesidades de financiación del cliente y la utilización que dará a cada una de las líneas que solicita en un cupo o a una operación específica.</t>
        </r>
        <r>
          <rPr>
            <sz val="8"/>
            <color indexed="81"/>
            <rFont val="Tahoma"/>
            <family val="2"/>
          </rPr>
          <t xml:space="preserve">
</t>
        </r>
      </text>
    </comment>
    <comment ref="A109" authorId="2" shapeId="0">
      <text>
        <r>
          <rPr>
            <sz val="8"/>
            <color indexed="81"/>
            <rFont val="Tahoma"/>
            <family val="2"/>
          </rPr>
          <t xml:space="preserve">Análisis de capacidad de pago tanto de corto como de largo plazo, teniendo en cuenta los principales indicadores
</t>
        </r>
      </text>
    </comment>
    <comment ref="A131" authorId="2" shapeId="0">
      <text>
        <r>
          <rPr>
            <sz val="8"/>
            <color indexed="81"/>
            <rFont val="Tahoma"/>
            <family val="2"/>
          </rPr>
          <t xml:space="preserve">Registrar las garantías propuestas para respaldar la operación solicitada y como será su formalización.
</t>
        </r>
      </text>
    </comment>
  </commentList>
</comments>
</file>

<file path=xl/comments10.xml><?xml version="1.0" encoding="utf-8"?>
<comments xmlns="http://schemas.openxmlformats.org/spreadsheetml/2006/main">
  <authors>
    <author>robinson-borraez</author>
  </authors>
  <commentList>
    <comment ref="F8" authorId="0" shapeId="0">
      <text>
        <r>
          <rPr>
            <b/>
            <sz val="8"/>
            <color indexed="81"/>
            <rFont val="Tahoma"/>
            <family val="2"/>
          </rPr>
          <t xml:space="preserve">Duración: </t>
        </r>
        <r>
          <rPr>
            <sz val="7"/>
            <color indexed="81"/>
            <rFont val="Tahoma"/>
            <family val="2"/>
          </rPr>
          <t>El plazo  ingresado no modifica el cálculo, pues este esta asociado al perfil de amortización.</t>
        </r>
      </text>
    </comment>
    <comment ref="D13" authorId="0" shapeId="0">
      <text>
        <r>
          <rPr>
            <b/>
            <sz val="8"/>
            <color indexed="81"/>
            <rFont val="Tahoma"/>
            <family val="2"/>
          </rPr>
          <t xml:space="preserve">Duración: </t>
        </r>
        <r>
          <rPr>
            <sz val="7"/>
            <color indexed="81"/>
            <rFont val="Tahoma"/>
            <family val="2"/>
          </rPr>
          <t>Se debe incluir el porcentaje de amortización correspondiente al periodo.</t>
        </r>
        <r>
          <rPr>
            <sz val="8"/>
            <color indexed="81"/>
            <rFont val="Tahoma"/>
            <family val="2"/>
          </rPr>
          <t xml:space="preserve">
</t>
        </r>
      </text>
    </comment>
  </commentList>
</comments>
</file>

<file path=xl/comments11.xml><?xml version="1.0" encoding="utf-8"?>
<comments xmlns="http://schemas.openxmlformats.org/spreadsheetml/2006/main">
  <authors>
    <author>mily-vargas</author>
    <author>carlos-castellanos</author>
    <author>DArciniegas</author>
  </authors>
  <commentList>
    <comment ref="D3" authorId="0" shapeId="0">
      <text>
        <r>
          <rPr>
            <sz val="8"/>
            <color indexed="81"/>
            <rFont val="Tahoma"/>
            <family val="2"/>
          </rPr>
          <t>Fecha del día que llega la propuesta</t>
        </r>
      </text>
    </comment>
    <comment ref="I7" authorId="1" shapeId="0">
      <text>
        <r>
          <rPr>
            <sz val="8"/>
            <color indexed="81"/>
            <rFont val="Tahoma"/>
            <family val="2"/>
          </rPr>
          <t>Si el informe del Revisor Fiscal presenta salvedades hacer el comentario ampliando las razones al final.</t>
        </r>
      </text>
    </comment>
    <comment ref="G10" authorId="2" shapeId="0">
      <text>
        <r>
          <rPr>
            <sz val="8"/>
            <color indexed="81"/>
            <rFont val="Tahoma"/>
            <family val="2"/>
          </rPr>
          <t>Coloque SI o NO</t>
        </r>
        <r>
          <rPr>
            <b/>
            <sz val="8"/>
            <color indexed="81"/>
            <rFont val="Tahoma"/>
            <family val="2"/>
          </rPr>
          <t xml:space="preserve">
</t>
        </r>
      </text>
    </comment>
    <comment ref="I10" authorId="2" shapeId="0">
      <text>
        <r>
          <rPr>
            <sz val="8"/>
            <color indexed="81"/>
            <rFont val="Tahoma"/>
            <family val="2"/>
          </rPr>
          <t>Coloque SI o NO</t>
        </r>
        <r>
          <rPr>
            <b/>
            <sz val="8"/>
            <color indexed="81"/>
            <rFont val="Tahoma"/>
            <family val="2"/>
          </rPr>
          <t xml:space="preserve">
</t>
        </r>
      </text>
    </comment>
    <comment ref="D11" authorId="2" shapeId="0">
      <text>
        <r>
          <rPr>
            <sz val="8"/>
            <color indexed="81"/>
            <rFont val="Tahoma"/>
            <family val="2"/>
          </rPr>
          <t>Coloque SI o NO</t>
        </r>
        <r>
          <rPr>
            <b/>
            <sz val="8"/>
            <color indexed="81"/>
            <rFont val="Tahoma"/>
            <family val="2"/>
          </rPr>
          <t xml:space="preserve">
</t>
        </r>
      </text>
    </comment>
    <comment ref="U11" authorId="1" shapeId="0">
      <text>
        <r>
          <rPr>
            <sz val="8"/>
            <color indexed="81"/>
            <rFont val="Tahoma"/>
            <family val="2"/>
          </rPr>
          <t>Incluir en esta celda el grado FEVE del cliente</t>
        </r>
      </text>
    </comment>
    <comment ref="H44" authorId="1" shapeId="0">
      <text>
        <r>
          <rPr>
            <sz val="8"/>
            <color indexed="81"/>
            <rFont val="Tahoma"/>
            <family val="2"/>
          </rPr>
          <t>Digitar el valor del CER en millones.</t>
        </r>
      </text>
    </comment>
    <comment ref="A69" authorId="1" shapeId="0">
      <text>
        <r>
          <rPr>
            <sz val="8"/>
            <color indexed="81"/>
            <rFont val="Tahoma"/>
            <family val="2"/>
          </rPr>
          <t>Digitar aquí el rating automático si el cliente pertenece a BMG.</t>
        </r>
      </text>
    </comment>
    <comment ref="A81" authorId="2" shapeId="0">
      <text>
        <r>
          <rPr>
            <sz val="8"/>
            <color indexed="81"/>
            <rFont val="Tahoma"/>
            <family val="2"/>
          </rPr>
          <t>Incluir explicación clara que permita determinar las necesidades de financiación del cliente y la utilización que dará a cada una de las líneas que solicita en un cupo o a una operación específica.</t>
        </r>
        <r>
          <rPr>
            <sz val="8"/>
            <color indexed="81"/>
            <rFont val="Tahoma"/>
            <family val="2"/>
          </rPr>
          <t xml:space="preserve">
</t>
        </r>
      </text>
    </comment>
    <comment ref="A103" authorId="2" shapeId="0">
      <text>
        <r>
          <rPr>
            <sz val="8"/>
            <color indexed="81"/>
            <rFont val="Tahoma"/>
            <family val="2"/>
          </rPr>
          <t xml:space="preserve">Análisis de capacidad de pago tanto de corto como de largo plazo, teniendo en cuenta los principales indicadores
</t>
        </r>
      </text>
    </comment>
    <comment ref="A125" authorId="2" shapeId="0">
      <text>
        <r>
          <rPr>
            <sz val="8"/>
            <color indexed="81"/>
            <rFont val="Tahoma"/>
            <family val="2"/>
          </rPr>
          <t xml:space="preserve">Registrar las garantías propuestas para respaldar la operación solicitada y como será su formalización.
</t>
        </r>
      </text>
    </comment>
  </commentList>
</comments>
</file>

<file path=xl/sharedStrings.xml><?xml version="1.0" encoding="utf-8"?>
<sst xmlns="http://schemas.openxmlformats.org/spreadsheetml/2006/main" count="6852" uniqueCount="3217">
  <si>
    <t>Actividades Auxiliares De Servicios Para La Administracion Publica En Gfeneral</t>
  </si>
  <si>
    <t>Relaciones Exteriores</t>
  </si>
  <si>
    <t>Actividades De Defensa</t>
  </si>
  <si>
    <t>Actividades De La Justicia</t>
  </si>
  <si>
    <t>Actividades De La Policia Y Proteccion Civil</t>
  </si>
  <si>
    <t>Actividades De Seguridad Social De Afiliacion Obligatoria</t>
  </si>
  <si>
    <t>Eduacion Preescolar</t>
  </si>
  <si>
    <t>Educacion Basica Primaria</t>
  </si>
  <si>
    <t>Educacion Basica Secundaria</t>
  </si>
  <si>
    <t>Educacion Media</t>
  </si>
  <si>
    <t>Servicio De Educacion Laboral Especial</t>
  </si>
  <si>
    <t>Establecimientos Que Prestan El Servicio De Educacion Preescolar Y Basica Primaria</t>
  </si>
  <si>
    <t>Establecimientos Que Prestan El Servicio De Educacion Preescolar Y Basica ( Basica Primaria Y Basica Secundaria)</t>
  </si>
  <si>
    <t>Establecimientos Que Prestan El Servicio De Educacion Preescolar, Basica (Basica Primaria, Basica Secundaria) Y Media</t>
  </si>
  <si>
    <t>Establecimientos Que Prestan El Servicio De Educacion (Basica Primaria Y Basica Secundaria)</t>
  </si>
  <si>
    <t>Establecimientos Que Prestan El Servicio De Educacion (Basica Primaria Y Basica Secundaria) Y Media</t>
  </si>
  <si>
    <t>Establecimientos Que Prestan El Servicio De Educacion Basica Secundaria Y Media</t>
  </si>
  <si>
    <t>Educacion Superior</t>
  </si>
  <si>
    <t>Educacion No Formal</t>
  </si>
  <si>
    <t>Actividades De Las Instituciones Prestadoras De Servicios De La Salud, Con Internacion</t>
  </si>
  <si>
    <t>Actividades De La Practica Medica</t>
  </si>
  <si>
    <t>Actividades De La Practica Odontologica</t>
  </si>
  <si>
    <t>Actividades De Apoyo Diagnostico</t>
  </si>
  <si>
    <t>Actividades De Apoyo Terapeutico</t>
  </si>
  <si>
    <t>Otras Actividades Relacionada Con La Salud Humana</t>
  </si>
  <si>
    <t>Actividades Veterinarias</t>
  </si>
  <si>
    <t>Servicios Sociales Con Alojamiento</t>
  </si>
  <si>
    <t>Servicios Sociales Sin Alojamiento</t>
  </si>
  <si>
    <t>Eliminacion De Desperdicios Y Aguas Residuales, Saneamiento Y Actividades Similares</t>
  </si>
  <si>
    <t>Actividades De Organizaciones Empresariales Y De Empleadores</t>
  </si>
  <si>
    <t>Actividades De Organizaciones Profesionales</t>
  </si>
  <si>
    <t>Actividades De Sindicatos</t>
  </si>
  <si>
    <t>Actividades De Organizaciones Religiosas</t>
  </si>
  <si>
    <t>Actividades De Organizaciones Politicas</t>
  </si>
  <si>
    <t>Actividades De Otras Organizaciones Ncp</t>
  </si>
  <si>
    <t>Produccion Y Distribucion De Filmes Y Videocintas</t>
  </si>
  <si>
    <t>Exhibicion De Filmes Y Videocintas</t>
  </si>
  <si>
    <t>Actividades De Radio Y Television</t>
  </si>
  <si>
    <t>Actividades Teatrales Y Musicales Y Otras Actividades Artisticas</t>
  </si>
  <si>
    <t>Otras Actividades De Entretenimiento Ncp</t>
  </si>
  <si>
    <t>Actividades De Agencias De Noticias</t>
  </si>
  <si>
    <t>Actividades De Bibliotecas Y Archivos</t>
  </si>
  <si>
    <t>Actividades De Museos Y Preservacion De Lugares Y Edificios Historicos</t>
  </si>
  <si>
    <t>Actividades De Jardines Botanicos Y Zoologicos Y De Parque Nacionales</t>
  </si>
  <si>
    <t>Actividades Deportivas</t>
  </si>
  <si>
    <t>Actividades De Juegos De Azar</t>
  </si>
  <si>
    <t>Otras Actividades De Esparcimiento</t>
  </si>
  <si>
    <t>Lavado  Y Limpieza  De Prendas De Tela Y De Piel, Incluso La Limpieza En Seco</t>
  </si>
  <si>
    <t>LIQUIDEZ</t>
  </si>
  <si>
    <t>Diferencia en cambio financiera</t>
  </si>
  <si>
    <t>Diferencia en cambio operativa</t>
  </si>
  <si>
    <t>Apalancamiento de Activos</t>
  </si>
  <si>
    <t>Caja y Bancos (Días de Ventas)</t>
  </si>
  <si>
    <t>Ajuste por inflación activos fijos</t>
  </si>
  <si>
    <t>Ajuste por inflación depreciación</t>
  </si>
  <si>
    <t>Inversión en PPE / Ventas</t>
  </si>
  <si>
    <t>Depreciación (Tasa promedio anual)</t>
  </si>
  <si>
    <t>CON AJUSTES POR INFLACIÓN</t>
  </si>
  <si>
    <t>PENSIONES DE JUBILACIÓN</t>
  </si>
  <si>
    <t>PATRIMONIO Y PAGO DE DIVIDENDOS</t>
  </si>
  <si>
    <t>Reparto Dividendos</t>
  </si>
  <si>
    <t>Política de distribución de dividendos</t>
  </si>
  <si>
    <t>Porción llevada a reservas</t>
  </si>
  <si>
    <t>Capitalización histórica</t>
  </si>
  <si>
    <t>Capitalización Proyección</t>
  </si>
  <si>
    <t>Inversión en Diferidos</t>
  </si>
  <si>
    <t>Amortización del Periodo</t>
  </si>
  <si>
    <t>Activos Diferidos Totales</t>
  </si>
  <si>
    <t>Inflación Diferidos Acumulada</t>
  </si>
  <si>
    <t>Ajuste por inflación Diferidos Ejercicio</t>
  </si>
  <si>
    <t>Ajuste por inflación Amortización Ejercicio</t>
  </si>
  <si>
    <t>Amortización Acumulada</t>
  </si>
  <si>
    <t>Inflación Amortización Acumulada</t>
  </si>
  <si>
    <t>OTROS ACTIVOS E INTANGIBLES</t>
  </si>
  <si>
    <t>Intangiles Totales</t>
  </si>
  <si>
    <t>Inflación Intangibles Acumulada</t>
  </si>
  <si>
    <t>Inversión en Intangibles y Otros Amortizables</t>
  </si>
  <si>
    <t>Ajuste por inflación Intangibles Ejercicio</t>
  </si>
  <si>
    <t>Impuesto a la Renta (% de UAI)</t>
  </si>
  <si>
    <t>Renta Presuntiva</t>
  </si>
  <si>
    <t>Amortización Cálculo Actuarial</t>
  </si>
  <si>
    <t>(Reducción) Incremento Pensiones LP</t>
  </si>
  <si>
    <t>ESTRUCTURA DE PASIVOS FINANCIEROS</t>
  </si>
  <si>
    <t>Nuevos Créditos Largo Plazo</t>
  </si>
  <si>
    <t>Gasto Financiero Bonos</t>
  </si>
  <si>
    <t>Gasto Financiero Total</t>
  </si>
  <si>
    <t>Obligaciones Financieras COP</t>
  </si>
  <si>
    <t>Obligaciones Financieras USD</t>
  </si>
  <si>
    <t>Saldo final USD</t>
  </si>
  <si>
    <t>Saldo final COP</t>
  </si>
  <si>
    <t>Saldo final obligaciones financieras</t>
  </si>
  <si>
    <t>Deuda corto plazo USD</t>
  </si>
  <si>
    <t>Deuda corto plazo USD en COP</t>
  </si>
  <si>
    <t>Inversiones temporales mínimas</t>
  </si>
  <si>
    <t>Gasto Financiero Obligaciones Financieras LP COP</t>
  </si>
  <si>
    <t>Gasto Financiero Obligaciones Financieras LP USD</t>
  </si>
  <si>
    <t>Gasto Financiero Obligaciones Financieras CP COP</t>
  </si>
  <si>
    <t>Gasto Financiero Obligaciones Financieras CP USD</t>
  </si>
  <si>
    <t>Peluqueria Y Otros Tratamientos De Belleza</t>
  </si>
  <si>
    <t>Pompas Funebres Y Actividades Conexas</t>
  </si>
  <si>
    <t>Otras Actividades De Servicios Ncp</t>
  </si>
  <si>
    <t>Hogares Privados Con Servicio Domestico</t>
  </si>
  <si>
    <t>Organizaciones Y Organos Extraterritoriales</t>
  </si>
  <si>
    <t>SI</t>
  </si>
  <si>
    <t>NO</t>
  </si>
  <si>
    <t>EMPRESA:</t>
  </si>
  <si>
    <t>GRUPO:</t>
  </si>
  <si>
    <t>NIT:</t>
  </si>
  <si>
    <t>AUDITADA</t>
  </si>
  <si>
    <t>EMPRESA AUDITORA:</t>
  </si>
  <si>
    <t>INFORMACION CONSOLIDADA</t>
  </si>
  <si>
    <t>Tasas de Cambio Utilizadas</t>
  </si>
  <si>
    <t>por 1U$</t>
  </si>
  <si>
    <t>GERENTE  :</t>
  </si>
  <si>
    <t>BANCA     :</t>
  </si>
  <si>
    <t>ANALISTA:</t>
  </si>
  <si>
    <t>(Todos los datos en MM de P.Col.)</t>
  </si>
  <si>
    <t>C) Ratios de Actividad</t>
  </si>
  <si>
    <t>dd/mm/aa</t>
  </si>
  <si>
    <t>Capital de Trabajo (Activo Circulante – Pasivo Circulante)</t>
  </si>
  <si>
    <t>Capital de Trabajo / Ventas</t>
  </si>
  <si>
    <t>Capital de Trabajo Operativo</t>
  </si>
  <si>
    <t>Capital de Trabajo Operativo / Ventas</t>
  </si>
  <si>
    <t>Rotación de Inventarios(días)</t>
  </si>
  <si>
    <t>Rating interno</t>
  </si>
  <si>
    <t>Producto/Dem./Mercado</t>
  </si>
  <si>
    <t>Accionistas/Gerencia</t>
  </si>
  <si>
    <t>Acceso al Crédito</t>
  </si>
  <si>
    <t>Generación de Caja</t>
  </si>
  <si>
    <t>Rating entidad de apoyo</t>
  </si>
  <si>
    <t>Rating Total</t>
  </si>
  <si>
    <t>Rating automatizado</t>
  </si>
  <si>
    <t>Nivel excepción T&amp;C</t>
  </si>
  <si>
    <t>Datos relevantes</t>
  </si>
  <si>
    <t>CDS (p.b.)</t>
  </si>
  <si>
    <t>1 año:</t>
  </si>
  <si>
    <t>3 años:</t>
  </si>
  <si>
    <t>5 años:</t>
  </si>
  <si>
    <t>Ratios 20aa</t>
  </si>
  <si>
    <t>Datos de Mercado</t>
  </si>
  <si>
    <t>Deuda Fin. Neta/EBITDA</t>
  </si>
  <si>
    <t>Market Cap. (€ MM)</t>
  </si>
  <si>
    <t>Deuda Fin. Neta/CFL</t>
  </si>
  <si>
    <t>EV/EBITDA 20aaE (x)</t>
  </si>
  <si>
    <t>PER 20aaE (x)</t>
  </si>
  <si>
    <t>Rating Interno</t>
  </si>
  <si>
    <t>P/D/M</t>
  </si>
  <si>
    <t>Acceso Crédito</t>
  </si>
  <si>
    <t>Ratios</t>
  </si>
  <si>
    <t>DFN /CFL</t>
  </si>
  <si>
    <t>Seguir</t>
  </si>
  <si>
    <t>Afianzar</t>
  </si>
  <si>
    <t>Reducir</t>
  </si>
  <si>
    <t>Extinguir</t>
  </si>
  <si>
    <t>TITULAR:</t>
  </si>
  <si>
    <t>SIPLA TIULAR:</t>
  </si>
  <si>
    <t>SIPLA SOCIOS:</t>
  </si>
  <si>
    <t>SIPLA Titular:</t>
  </si>
  <si>
    <t>SIPLA Socios:</t>
  </si>
  <si>
    <t>GRUPO FINANCIERO:</t>
  </si>
  <si>
    <t>VALORACION</t>
  </si>
  <si>
    <t>RIESGO</t>
  </si>
  <si>
    <t>FECHA      :</t>
  </si>
  <si>
    <t>CLIENTE DESDE:</t>
  </si>
  <si>
    <t>¿FIRMA EN VIGILANCIA ESPECIAL?</t>
  </si>
  <si>
    <t>DESDE FECHA :</t>
  </si>
  <si>
    <t>GRADO FEVE  :</t>
  </si>
  <si>
    <t xml:space="preserve">      POSICION ACREEDORA en MM de P.Col</t>
  </si>
  <si>
    <t>DATOS CONTABLES TITULAR  en MM de P.Col</t>
  </si>
  <si>
    <t>S/ACTUAL</t>
  </si>
  <si>
    <t>S/MEDIO</t>
  </si>
  <si>
    <t>CTAS.CTES.</t>
  </si>
  <si>
    <t>A.FIJO Y OTROS</t>
  </si>
  <si>
    <t>RAT.APALANC.</t>
  </si>
  <si>
    <t>CTAS.AHORRO</t>
  </si>
  <si>
    <t>A.CIRCULANTE</t>
  </si>
  <si>
    <t>RAT.LIQUIDEZ</t>
  </si>
  <si>
    <t xml:space="preserve">FIDUCIA Y OTROS </t>
  </si>
  <si>
    <t>TOTAL ACTIVO</t>
  </si>
  <si>
    <t>RENT.S/VTAS.</t>
  </si>
  <si>
    <t>TOTAL TITULAR</t>
  </si>
  <si>
    <t>REC.PRÓPIOS</t>
  </si>
  <si>
    <t>R.O.A.</t>
  </si>
  <si>
    <t>RESTO GRUPO</t>
  </si>
  <si>
    <t>PASIVO LARGO</t>
  </si>
  <si>
    <t>R.O.E.</t>
  </si>
  <si>
    <t>TOTAL GRUPO</t>
  </si>
  <si>
    <t>PASIVO CORTO</t>
  </si>
  <si>
    <t>EBITDA</t>
  </si>
  <si>
    <t xml:space="preserve">          RIESGO TOTAL EN BANCOS</t>
  </si>
  <si>
    <t>FONDO MANIOBRA</t>
  </si>
  <si>
    <t>GTOS.FINANC.</t>
  </si>
  <si>
    <t>CIFIN AL:</t>
  </si>
  <si>
    <t>VENTAS NETAS</t>
  </si>
  <si>
    <t>EB/G.FINANC.</t>
  </si>
  <si>
    <t>Entidad</t>
  </si>
  <si>
    <t>Deuda</t>
  </si>
  <si>
    <t>RESULT.OPERAT.</t>
  </si>
  <si>
    <t>ENDEUD. SIN VAL</t>
  </si>
  <si>
    <t>RESULT.NETOS</t>
  </si>
  <si>
    <t>CASH-FLOW OPERATIVO</t>
  </si>
  <si>
    <t>CASH-FLOW LIBRE</t>
  </si>
  <si>
    <t>En MM P.Col</t>
  </si>
  <si>
    <t>Total</t>
  </si>
  <si>
    <t>TOTAL RIESGO:</t>
  </si>
  <si>
    <t xml:space="preserve">              DESCRIPCION GARANTIAS</t>
  </si>
  <si>
    <t>TIPO</t>
  </si>
  <si>
    <t>FCHA.CONST.</t>
  </si>
  <si>
    <t>VTO.</t>
  </si>
  <si>
    <t>VALOR</t>
  </si>
  <si>
    <t>DETALLE</t>
  </si>
  <si>
    <t>*1*</t>
  </si>
  <si>
    <t>A SOLA FIRMA</t>
  </si>
  <si>
    <t>*2*</t>
  </si>
  <si>
    <t>STAND BY/PIGNORACION</t>
  </si>
  <si>
    <t>*3*</t>
  </si>
  <si>
    <t>HIPOTECARIA</t>
  </si>
  <si>
    <t>*4*</t>
  </si>
  <si>
    <t>AVALISTAS</t>
  </si>
  <si>
    <t>CUPO ACTUAL RESTO GRUPO:</t>
  </si>
  <si>
    <t>CLASIFICACIÓN C.I.I.U  :</t>
  </si>
  <si>
    <t>VENCIMIENTO   :</t>
  </si>
  <si>
    <t>DISPUESTO    :</t>
  </si>
  <si>
    <t>FILIALES  GRUPO :</t>
  </si>
  <si>
    <t>CUPO ACTUAL TITULAR:</t>
  </si>
  <si>
    <t>FILIALES TITULAR  :</t>
  </si>
  <si>
    <t>AUTORIZACION VIGENTE</t>
  </si>
  <si>
    <t>SUB-LIMITE</t>
  </si>
  <si>
    <t>PLAZO</t>
  </si>
  <si>
    <t>AMORTIZ.</t>
  </si>
  <si>
    <t>CUOT.VENC.</t>
  </si>
  <si>
    <t>CUOT.PTES.</t>
  </si>
  <si>
    <t>GARANTIAS</t>
  </si>
  <si>
    <t>TASA</t>
  </si>
  <si>
    <t>COMISIONES</t>
  </si>
  <si>
    <t>R.O.R.A.C.</t>
  </si>
  <si>
    <t>RATING OP.</t>
  </si>
  <si>
    <t>SG/SC/REM.</t>
  </si>
  <si>
    <t>CTOS.+1 AÑO</t>
  </si>
  <si>
    <t>T. CREDITO</t>
  </si>
  <si>
    <t>MESA DINERO</t>
  </si>
  <si>
    <t xml:space="preserve">    PROPUESTA</t>
  </si>
  <si>
    <t>CUPO PROPUESTO:</t>
  </si>
  <si>
    <t>RATING.OP.</t>
  </si>
  <si>
    <t>DEST.FDOS.</t>
  </si>
  <si>
    <t>OPERACIÓN PUNTUAL</t>
  </si>
  <si>
    <t>MODALIDAD</t>
  </si>
  <si>
    <t>IMPORTE</t>
  </si>
  <si>
    <t>Resumen Valoración de Empresa</t>
  </si>
  <si>
    <t>Fecha</t>
  </si>
  <si>
    <t>P/ D / M</t>
  </si>
  <si>
    <t>Accionistas</t>
  </si>
  <si>
    <t>Acceso Cto</t>
  </si>
  <si>
    <t>Rentabilidad</t>
  </si>
  <si>
    <t>Gen. Recursos</t>
  </si>
  <si>
    <t>Solvencia</t>
  </si>
  <si>
    <t>Val. Garantía</t>
  </si>
  <si>
    <t>Penalización</t>
  </si>
  <si>
    <t>Val. Riesgo</t>
  </si>
  <si>
    <t>DESTINO DE LOS FONDOS / VIABILIDAD DEL PROYECTO</t>
  </si>
  <si>
    <t>CAPACIDAD DE REPAGO DE LA OPERACIÓN / CUPO</t>
  </si>
  <si>
    <t>GARANTIAS Y FORMA DE INSTRUMENTACION</t>
  </si>
  <si>
    <t>%</t>
  </si>
  <si>
    <t>Consolidado sin Compensaciones</t>
  </si>
  <si>
    <t>Consolidado con Compensaciones</t>
  </si>
  <si>
    <t>Grupo sin Compensaciones</t>
  </si>
  <si>
    <t>Grupo con Compensaciones</t>
  </si>
  <si>
    <t>RESUMEN INFORMACIÓN FINANCIERA</t>
  </si>
  <si>
    <t>FLUJO DE CAJA</t>
  </si>
  <si>
    <t>ESTRUCTURA DE COSTOS Y RENTABILIDAD</t>
  </si>
  <si>
    <t>ESTRUCTURA DE BALANCE Y SOLVENCIA</t>
  </si>
  <si>
    <t>COMITÉ PROPONENTE O PERSONAS PROPONENTES</t>
  </si>
  <si>
    <t>AUDITADA:</t>
  </si>
  <si>
    <t>Información Consolidada</t>
  </si>
  <si>
    <t>Corte</t>
  </si>
  <si>
    <t>% Part</t>
  </si>
  <si>
    <t>ACTIVO</t>
  </si>
  <si>
    <t>Efectivo (Caja y Bancos)</t>
  </si>
  <si>
    <t>Inversiones Temporales</t>
  </si>
  <si>
    <t>Cuentas por Cobrar Comerciales</t>
  </si>
  <si>
    <t>Provisión Cartera</t>
  </si>
  <si>
    <t>Clientes y Cuentas por Cobrar (Neto)</t>
  </si>
  <si>
    <t>Materia Prima</t>
  </si>
  <si>
    <t>Producción En Proceso</t>
  </si>
  <si>
    <t>Producto Terminado y Otros Inventarios</t>
  </si>
  <si>
    <t>Inventarios Neto</t>
  </si>
  <si>
    <t>Anticipos y Avances</t>
  </si>
  <si>
    <t>Anticipos de Impuestos y Contribuciones</t>
  </si>
  <si>
    <t>Otros Activos Circulantes</t>
  </si>
  <si>
    <t>ACTIVO CIRCULANTE</t>
  </si>
  <si>
    <t>Bienes Raíces y Otras Construcciones</t>
  </si>
  <si>
    <t>Maquinaria y Equipo</t>
  </si>
  <si>
    <t>Otros Fijos</t>
  </si>
  <si>
    <t>Depreciación Acumulada</t>
  </si>
  <si>
    <t>ACTIVO FIJO (NETO)</t>
  </si>
  <si>
    <t>Gastos Pagados por Anticipado y Diferidos</t>
  </si>
  <si>
    <t>Inversiones Permanentes</t>
  </si>
  <si>
    <t>Préstamos L/P Grupo</t>
  </si>
  <si>
    <t>Deudores Largo Plazo</t>
  </si>
  <si>
    <t>Valorización de Activos Fijos</t>
  </si>
  <si>
    <t>ACTIVO FIJO Y OTROS</t>
  </si>
  <si>
    <t>ACTIVO TOTAL</t>
  </si>
  <si>
    <t>PRINCIPALES VARIACIONES EN LAS CUENTAS DEL ACTIVO</t>
  </si>
  <si>
    <t xml:space="preserve"> </t>
  </si>
  <si>
    <t>PASIVO</t>
  </si>
  <si>
    <t>Obligaciones Financieras Corto Plazo</t>
  </si>
  <si>
    <t>Otra Deuda Financiera de Corto Plazo</t>
  </si>
  <si>
    <t>Porción Circulante de Deuda de L/P</t>
  </si>
  <si>
    <t>Proveedores</t>
  </si>
  <si>
    <t>Proveedores Grupo</t>
  </si>
  <si>
    <t>Cuentas Financieras a Pagar Grupo</t>
  </si>
  <si>
    <t>Costos y Gastos por Pagar (Acreedores Varios)</t>
  </si>
  <si>
    <t>Impuestos por Pagar</t>
  </si>
  <si>
    <t>Dividendos por Pagar</t>
  </si>
  <si>
    <t>Obligaciones Laborales</t>
  </si>
  <si>
    <t>Otros Pasivos C/P</t>
  </si>
  <si>
    <t>PASIVO CIRCULANTE</t>
  </si>
  <si>
    <t>Créditos Bancarios de L/P</t>
  </si>
  <si>
    <t>Arrendamiento / Leasing</t>
  </si>
  <si>
    <t>Cuentas por Pagar L/P</t>
  </si>
  <si>
    <t>Cuentas por Pagar L/P Grupo y/o Asociadas</t>
  </si>
  <si>
    <t>Impuestos por Pagar L/P</t>
  </si>
  <si>
    <t>Pasivos Diferidos</t>
  </si>
  <si>
    <t>PASIVO LARGO PLAZO</t>
  </si>
  <si>
    <t>Capital Social, Suscrito y Pagado</t>
  </si>
  <si>
    <t>- Acciones Propias en tesorería / Autocartera</t>
  </si>
  <si>
    <t>+/- Utilidades / Pérdidas Retenidas</t>
  </si>
  <si>
    <t>+/-  Método de Participación</t>
  </si>
  <si>
    <t>+/- Utilidad (Pérdida) del Ejercicio</t>
  </si>
  <si>
    <t>Revalorización del Patrimonio</t>
  </si>
  <si>
    <t>Reservas (Legal + Otras Reservas)</t>
  </si>
  <si>
    <t>Valorizaciones</t>
  </si>
  <si>
    <t>CAPITAL CONTABLE</t>
  </si>
  <si>
    <t xml:space="preserve">TOTAL PASIVO </t>
  </si>
  <si>
    <t>PASIVO Y CAPITAL</t>
  </si>
  <si>
    <t>Verificación</t>
  </si>
  <si>
    <t>PRINCIPALES VARIACIONES EN LAS CUENTAS DEL PASIVO</t>
  </si>
  <si>
    <t>ESTADO DE RESULTADOS</t>
  </si>
  <si>
    <t>Ventas Netas</t>
  </si>
  <si>
    <t>- Costo de ventas</t>
  </si>
  <si>
    <t>Utilidad Bruta</t>
  </si>
  <si>
    <t>- Gastos de Administración</t>
  </si>
  <si>
    <t>- Gastos de Venta y Otros Gastos</t>
  </si>
  <si>
    <t>- Depreciación</t>
  </si>
  <si>
    <t>- Amortizaciones</t>
  </si>
  <si>
    <t>- Total Gastos de Operación</t>
  </si>
  <si>
    <t>Utilidad (Pérdida) de Explotación</t>
  </si>
  <si>
    <t>- Incrementos a las Provisiones</t>
  </si>
  <si>
    <t>UTILIDAD (PERDIDA) DE OPERACION</t>
  </si>
  <si>
    <t>+ Ingresos Financieros</t>
  </si>
  <si>
    <t>- Gasto Financiero</t>
  </si>
  <si>
    <t>+/- Intereses Netos</t>
  </si>
  <si>
    <t>+/- Utilidades (Pérdidas) Cambiarias</t>
  </si>
  <si>
    <t>Resultados Financieros</t>
  </si>
  <si>
    <t>- Gastos No Extraordinarios</t>
  </si>
  <si>
    <t>Utilidad Antes de Correc. Monetaria y Gastos Extra.</t>
  </si>
  <si>
    <t>- Gastos Extraordinarios</t>
  </si>
  <si>
    <t>Cuentas de Orden Acreedoras</t>
  </si>
  <si>
    <t>Cuentas de Orden Deudoras</t>
  </si>
  <si>
    <t>+ Ingresos Extraordinarios</t>
  </si>
  <si>
    <t>+/- Resultado por Correción Monetaria</t>
  </si>
  <si>
    <t xml:space="preserve">Utilidad Neta antes de Impuestos </t>
  </si>
  <si>
    <t>Impuestos Pagados</t>
  </si>
  <si>
    <t>Utilidad Neta a Distribuir</t>
  </si>
  <si>
    <t>UTILIDAD NETA MAYORITARIA</t>
  </si>
  <si>
    <t>PRINCIPALES VARIACIONES EN LAS CUENTAS DE PYG</t>
  </si>
  <si>
    <t>RATIOS</t>
  </si>
  <si>
    <t>Meses del Balance</t>
  </si>
  <si>
    <t>Ratios de Rentabilidad</t>
  </si>
  <si>
    <t>Gastos de Administración / Ventas netas</t>
  </si>
  <si>
    <t>Cobertura de Intereses Bruta</t>
  </si>
  <si>
    <t>Cobertura de Intereses Neta (Gtos. Financ.- Ingresos Financ.)</t>
  </si>
  <si>
    <t>Margen de Operación</t>
  </si>
  <si>
    <t>Tasa de Impuestos</t>
  </si>
  <si>
    <t>Dividendos / Utilidad Neta a Distribuir</t>
  </si>
  <si>
    <t>Fórmula Dupont</t>
  </si>
  <si>
    <t>ROE</t>
  </si>
  <si>
    <t>ROS</t>
  </si>
  <si>
    <t>ROA</t>
  </si>
  <si>
    <t>Ratios de Actividad</t>
  </si>
  <si>
    <t>Requerimiento de Capital de Trabajo (Pesos)</t>
  </si>
  <si>
    <t>Requerimiento de Capital de Trabajo / Ventas Netas</t>
  </si>
  <si>
    <t>Capital de Trabajo Neto (Activo Circulante- Pasivo Circulante)</t>
  </si>
  <si>
    <t>Capital de Trabajo Neto / Ventas Netas</t>
  </si>
  <si>
    <t>Rotación de Clientes (días)</t>
  </si>
  <si>
    <t>Rotación de Inventarios (días)</t>
  </si>
  <si>
    <t>Rotación de Proveedores (días)</t>
  </si>
  <si>
    <t>Rotación de Activos Fijos (veces)</t>
  </si>
  <si>
    <t>Estructura de Capital</t>
  </si>
  <si>
    <t xml:space="preserve">Endeudamiento Financiero </t>
  </si>
  <si>
    <t>Endeudamiento Financiero Neto</t>
  </si>
  <si>
    <t>Patrimonio</t>
  </si>
  <si>
    <t>Apalancamiento sin valorización</t>
  </si>
  <si>
    <t>Apalancamiento con Valorización</t>
  </si>
  <si>
    <t>Autonomia Financiera</t>
  </si>
  <si>
    <t>Endeudamiento Sin Valorización</t>
  </si>
  <si>
    <t>Costo Financiero</t>
  </si>
  <si>
    <t>Liquidez</t>
  </si>
  <si>
    <t>Prueba Acida</t>
  </si>
  <si>
    <t>POSICIONES  GRUPO</t>
  </si>
  <si>
    <t>POSICIONES DEUDORAS</t>
  </si>
  <si>
    <t>A Fecha:</t>
  </si>
  <si>
    <t>TRM</t>
  </si>
  <si>
    <t>(Cifras en Millones de $)</t>
  </si>
  <si>
    <t>TITULAR</t>
  </si>
  <si>
    <t>VCTO. CUPO</t>
  </si>
  <si>
    <t>FCHA.FORM. OPERACIÓN</t>
  </si>
  <si>
    <t>FECHA VCTO. OPERACIÓN</t>
  </si>
  <si>
    <t xml:space="preserve">LIMITE </t>
  </si>
  <si>
    <t>DISPUESTO</t>
  </si>
  <si>
    <t>OBSERVACIONES</t>
  </si>
  <si>
    <t>CUPO PARA C. ORDINARIA / 
C. EXTERIOR / C. TESORERIA</t>
  </si>
  <si>
    <t>SG/SC/REM</t>
  </si>
  <si>
    <t>MESA DE DINERO</t>
  </si>
  <si>
    <t>Total firma</t>
  </si>
  <si>
    <t>POSICIONES ACREEDORAS</t>
  </si>
  <si>
    <t>Cuentas de Ahorros</t>
  </si>
  <si>
    <t>Cuentas Corriente</t>
  </si>
  <si>
    <t>Fiducia</t>
  </si>
  <si>
    <t>FECHA</t>
  </si>
  <si>
    <t>Cifras en $MM</t>
  </si>
  <si>
    <t>Cupo</t>
  </si>
  <si>
    <t>Conting.</t>
  </si>
  <si>
    <t>Total COP$MM</t>
  </si>
  <si>
    <t>Total USD$MM</t>
  </si>
  <si>
    <t>Garantía</t>
  </si>
  <si>
    <t>Calif.</t>
  </si>
  <si>
    <t>Evolución Ventas</t>
  </si>
  <si>
    <t>Cifras en US$MM</t>
  </si>
  <si>
    <t>COP$MM</t>
  </si>
  <si>
    <t>Fondo de Maniobra COP$MM</t>
  </si>
  <si>
    <t>US$MM</t>
  </si>
  <si>
    <t>Crecimientos</t>
  </si>
  <si>
    <t>Fondo de Maniobra US$MM</t>
  </si>
  <si>
    <t>Ventas</t>
  </si>
  <si>
    <t>Utilidad Operacional</t>
  </si>
  <si>
    <t>Total Activo</t>
  </si>
  <si>
    <t>Indice de Liquidez</t>
  </si>
  <si>
    <t>Crecimiento Ventas</t>
  </si>
  <si>
    <t>Total Pasivos</t>
  </si>
  <si>
    <t>Días promedio de cobro al cliente</t>
  </si>
  <si>
    <t>Días promedio de cobro al cliente (incluye vinculados económicos)</t>
  </si>
  <si>
    <t>Gastos Financieros</t>
  </si>
  <si>
    <t>Patrimonio sin valoriz.</t>
  </si>
  <si>
    <t>Días promedio de inventario</t>
  </si>
  <si>
    <t>UACM</t>
  </si>
  <si>
    <t>Días de pago al proveedor</t>
  </si>
  <si>
    <t>Utilidad Neta</t>
  </si>
  <si>
    <t>- Gastos Financieros</t>
  </si>
  <si>
    <t>Endeudamiento</t>
  </si>
  <si>
    <t>Endeudamiento sin valoriz.</t>
  </si>
  <si>
    <t>Socios</t>
  </si>
  <si>
    <t>Margen Operativo</t>
  </si>
  <si>
    <t>- Impuestos</t>
  </si>
  <si>
    <t>Apalancamiento</t>
  </si>
  <si>
    <t>Margen Neto</t>
  </si>
  <si>
    <t>- Inversiones en activo fijo</t>
  </si>
  <si>
    <t>Apalancamiento sin valoriz.</t>
  </si>
  <si>
    <t>- Adiciones Inversiones permanentes</t>
  </si>
  <si>
    <t>- Dividendos Pagados</t>
  </si>
  <si>
    <t>Variación en Efectivo e Inversiones Temporales</t>
  </si>
  <si>
    <t>Beneficio Neto</t>
  </si>
  <si>
    <t>Saldo inicial Tesorería</t>
  </si>
  <si>
    <t>Saldo Final Tesorería</t>
  </si>
  <si>
    <t>Recursos Propios</t>
  </si>
  <si>
    <t>IMPUESTOS</t>
  </si>
  <si>
    <t>Provision de Impuestos</t>
  </si>
  <si>
    <t>IXP - Anticipos (año 1)</t>
  </si>
  <si>
    <t>Anticipos (año 2)</t>
  </si>
  <si>
    <t>IXP - Provisión (año 2)</t>
  </si>
  <si>
    <t>Impuestos pagados</t>
  </si>
  <si>
    <t>Utilidades Acumuladas</t>
  </si>
  <si>
    <t>Utilidades del Ejercicio</t>
  </si>
  <si>
    <t>Reservas</t>
  </si>
  <si>
    <t>Dividendos pagados</t>
  </si>
  <si>
    <t>Inversión en Activos Fijos (PPE)</t>
  </si>
  <si>
    <t xml:space="preserve">INVERSIONES </t>
  </si>
  <si>
    <t>Adquisición Inversiones Permanentes</t>
  </si>
  <si>
    <t>DIFERIDOS</t>
  </si>
  <si>
    <t>Gasto por amortizaciones</t>
  </si>
  <si>
    <t>Caja correspondiente a gastos diferidos</t>
  </si>
  <si>
    <t>Otros Pasivos L/P</t>
  </si>
  <si>
    <t>Dividendos</t>
  </si>
  <si>
    <t>-</t>
  </si>
  <si>
    <t>+</t>
  </si>
  <si>
    <t>x1= Cap Trabajo Neto / Activos</t>
  </si>
  <si>
    <t>x2 =( Suma de Utilidades y Reservas )/Activos</t>
  </si>
  <si>
    <t>x3 = Utilidad Operacional/Activos</t>
  </si>
  <si>
    <t>x4 = Patrimonio / Pasivos</t>
  </si>
  <si>
    <t>x5 = Rotación Activos  ( Ventas / Activos )</t>
  </si>
  <si>
    <t>Recomendación</t>
  </si>
  <si>
    <t>Peligro de Quiebra</t>
  </si>
  <si>
    <t>Zona Gris</t>
  </si>
  <si>
    <t>Situación Normal</t>
  </si>
  <si>
    <t>Autonomía Financiera</t>
  </si>
  <si>
    <t>Z-SCORE</t>
  </si>
  <si>
    <t>z-score=1.2x1 + 1.4x2 +3,3x3 +0.6x4 +x5</t>
  </si>
  <si>
    <t>TOTAL GRUPO BSC Y FILIALES  :</t>
  </si>
  <si>
    <t>Flujo de Caja Libre</t>
  </si>
  <si>
    <t>Cuadre de fuentes y usos</t>
  </si>
  <si>
    <t>+/- Ingresos (Gastos) no operacionales</t>
  </si>
  <si>
    <t>+ Ingresos No Extraordinarios</t>
  </si>
  <si>
    <t>Disponible e Inv Temporales</t>
  </si>
  <si>
    <t>Cuentas por Cobrar</t>
  </si>
  <si>
    <t>Acciones y Aportes</t>
  </si>
  <si>
    <t>Inventarios</t>
  </si>
  <si>
    <t>Activos Fijos</t>
  </si>
  <si>
    <t>Otros Activos</t>
  </si>
  <si>
    <t>Total Patrimonio Bruto</t>
  </si>
  <si>
    <t>DATOS PROYECTADOS</t>
  </si>
  <si>
    <t>2008 sin salvedades</t>
  </si>
  <si>
    <t>2008 con salvedades</t>
  </si>
  <si>
    <t>Contraciclica</t>
  </si>
  <si>
    <t>Prov %</t>
  </si>
  <si>
    <t>Valor</t>
  </si>
  <si>
    <t>Liliana Martinez Castiblanco</t>
  </si>
  <si>
    <t>David Gomez</t>
  </si>
  <si>
    <t>Milena Rosa Campo</t>
  </si>
  <si>
    <t>Diego Fernando Guevara</t>
  </si>
  <si>
    <t>Jaime Neira</t>
  </si>
  <si>
    <t>Mariana Londoño Isaza</t>
  </si>
  <si>
    <t>Catalina Maria Correal</t>
  </si>
  <si>
    <t>Robinson Borraez Sarmiento</t>
  </si>
  <si>
    <t>BMG</t>
  </si>
  <si>
    <t>Empresas</t>
  </si>
  <si>
    <t>Instituciones</t>
  </si>
  <si>
    <t>Plazo</t>
  </si>
  <si>
    <t>24 Meses</t>
  </si>
  <si>
    <t>180 Días</t>
  </si>
  <si>
    <t>90 Días</t>
  </si>
  <si>
    <t>30 Días</t>
  </si>
  <si>
    <t>15/02/30 Días</t>
  </si>
  <si>
    <t>Amortización</t>
  </si>
  <si>
    <t>Mensual</t>
  </si>
  <si>
    <t>M-T-S</t>
  </si>
  <si>
    <t>Al vencimiento</t>
  </si>
  <si>
    <t>Garantías</t>
  </si>
  <si>
    <t>Cuentas por Pagar Sector Financiero</t>
  </si>
  <si>
    <t>Cuentas por Pagar Accionistas</t>
  </si>
  <si>
    <t>Otros Pasivos</t>
  </si>
  <si>
    <t>Total Patrimonio Líquido</t>
  </si>
  <si>
    <t>Total Ingresos</t>
  </si>
  <si>
    <t>Renta Líquida Gravable</t>
  </si>
  <si>
    <t>COP MM</t>
  </si>
  <si>
    <t>EUR M</t>
  </si>
  <si>
    <t>+/- Otras Variaciones en activos</t>
  </si>
  <si>
    <t>+/- Otras Variaciones en pasivos</t>
  </si>
  <si>
    <t>TOTAL</t>
  </si>
  <si>
    <t>$ MM</t>
  </si>
  <si>
    <t>Ebitda</t>
  </si>
  <si>
    <t>CIFIN SOCIOS</t>
  </si>
  <si>
    <t>ENTIDAD</t>
  </si>
  <si>
    <t>CALIDAD</t>
  </si>
  <si>
    <t>CUPO / VR. INCIAL</t>
  </si>
  <si>
    <t xml:space="preserve">SALDO </t>
  </si>
  <si>
    <t>CALIFICACION</t>
  </si>
  <si>
    <t>SUB-TOTAL</t>
  </si>
  <si>
    <t>socios....</t>
  </si>
  <si>
    <t>Endeudamiento sin socios</t>
  </si>
  <si>
    <t>concatenar:</t>
  </si>
  <si>
    <t>Inversiones</t>
  </si>
  <si>
    <t>Propiedad, planta y equipo</t>
  </si>
  <si>
    <t>Pasivos</t>
  </si>
  <si>
    <t>Depreciación</t>
  </si>
  <si>
    <t>Otros ajustes por corrección monetaria</t>
  </si>
  <si>
    <t>Diferencia en cuentas de Balance</t>
  </si>
  <si>
    <t>Ajuste por inflación Depreciación</t>
  </si>
  <si>
    <t>Depreciación del Período</t>
  </si>
  <si>
    <t>Venta activos fijos y otros cambios</t>
  </si>
  <si>
    <t>Control</t>
  </si>
  <si>
    <t>Diferencia en cuentas de balance</t>
  </si>
  <si>
    <t>Ajuste por inflación</t>
  </si>
  <si>
    <t>Venta y otros cambios</t>
  </si>
  <si>
    <t>Inversiones perm del periodo</t>
  </si>
  <si>
    <t>REVALORIZACIÓN DEL PATRIMONIO</t>
  </si>
  <si>
    <t>Diferencia en Cuentas de Balance</t>
  </si>
  <si>
    <t>Capitalizacion de Rev de Patrimonio</t>
  </si>
  <si>
    <t>Ajuste al Patrimonio</t>
  </si>
  <si>
    <t>SUPERAVIT POR VALORIZACION</t>
  </si>
  <si>
    <t>Diferencia en Activo</t>
  </si>
  <si>
    <t>Diferencia en Patrimonio</t>
  </si>
  <si>
    <t>Cuenta Inventario Bruto</t>
  </si>
  <si>
    <t>Ajuste Inventario a Balance (Saldo Final)</t>
  </si>
  <si>
    <t>Cálculo 1</t>
  </si>
  <si>
    <t>Cálculo 2</t>
  </si>
  <si>
    <t>Ajuste Inventario a Costo Ventas</t>
  </si>
  <si>
    <t>Diferencia en Inventario</t>
  </si>
  <si>
    <t>Obligaciones Financieras Corto Plazo / Capital Circulante Operativo</t>
  </si>
  <si>
    <t>Total Obligaciones Financieras / Capital Circulante Operativo</t>
  </si>
  <si>
    <t>Tasas sujetas a la aprobación del responsable comercial.</t>
  </si>
  <si>
    <t>Calificación</t>
  </si>
  <si>
    <t>Principales</t>
  </si>
  <si>
    <t>Suplentes</t>
  </si>
  <si>
    <t>Anticipos recibidos</t>
  </si>
  <si>
    <t>Junta Directiva</t>
  </si>
  <si>
    <t>Flujo de caja operativo FCO</t>
  </si>
  <si>
    <t>Ebitda / Ventas</t>
  </si>
  <si>
    <t>RESOLUCION COMITÉ EJECUTIVO DE FECHA :</t>
  </si>
  <si>
    <t>Saldo ML</t>
  </si>
  <si>
    <t>Saldo ME</t>
  </si>
  <si>
    <t>Fabricacion De Productos Farmaceuticos, Sustancias Quimicas Medicinales Y Productos Botanicos</t>
  </si>
  <si>
    <t>Asalariados</t>
  </si>
  <si>
    <t>Rentistas De Capital. Solo Para Personas Naturales</t>
  </si>
  <si>
    <t>Produccion Especializada Del Cafe</t>
  </si>
  <si>
    <t>Produccion Especializada De Flor  De Corte Bajo Cubierta Y Al Aire Libre</t>
  </si>
  <si>
    <t>Produccion Especializada De Banano</t>
  </si>
  <si>
    <t>Produccion Especializada De Caña De Azucar</t>
  </si>
  <si>
    <t>Produccion Especializada De Cereales Y Oleaginosas</t>
  </si>
  <si>
    <t>Produccion Especializada De Hortalizas Y Legumbres</t>
  </si>
  <si>
    <t>Produccion Especializada De Frutas,Nueces,Plantas Bebestibles Y Especias</t>
  </si>
  <si>
    <t>Produccion Agricola Ncp En Unidades Especializadas</t>
  </si>
  <si>
    <t>Produccion Agricola En Unidades No Especializadas</t>
  </si>
  <si>
    <t>Cria Especializada De Ganado Vacuno</t>
  </si>
  <si>
    <t>Cria Especializada  De Ganado Porcino</t>
  </si>
  <si>
    <t>Cria Especialiada De Aves De Corral</t>
  </si>
  <si>
    <t>Cria Especializada De Ovejas, Cabras, Caballos, Asnos, Mulas Y Burdeganos</t>
  </si>
  <si>
    <t>Cria Especializada De Otros Animales Ncp Y  La  Obtencion De Sus Productos</t>
  </si>
  <si>
    <t>PROYECCIONES VALOR NOMINAL CIRCULANTE</t>
  </si>
  <si>
    <t>PROYECCIONES ACTIVOS Y PASIVOS CIRCULANTES</t>
  </si>
  <si>
    <t>Amortización Diferidos</t>
  </si>
  <si>
    <t>Amortización Intangibles</t>
  </si>
  <si>
    <t>Intangibles</t>
  </si>
  <si>
    <t>- Diferidos e Intangibles</t>
  </si>
  <si>
    <t xml:space="preserve"> e </t>
  </si>
  <si>
    <t>Activos diferidos</t>
  </si>
  <si>
    <t>Activos intangibles</t>
  </si>
  <si>
    <t>Ajuste por holding</t>
  </si>
  <si>
    <t>BMG:</t>
  </si>
  <si>
    <t>COMPENSACIONES Y PLAN DE NEGOCIO</t>
  </si>
  <si>
    <t>Activos</t>
  </si>
  <si>
    <t>Comisiones</t>
  </si>
  <si>
    <t>Año actual</t>
  </si>
  <si>
    <t>ROF</t>
  </si>
  <si>
    <t>Otros</t>
  </si>
  <si>
    <t>PLAZO:</t>
  </si>
  <si>
    <t>CER PROPUESTO:</t>
  </si>
  <si>
    <t>FECHA:</t>
  </si>
  <si>
    <t>Actividad Pecuaria No Especializada</t>
  </si>
  <si>
    <t>Actividad Mixta (Agricola Y Pecuaria)</t>
  </si>
  <si>
    <t>Gastos Diferidos (movimiento para el flujo de caja)</t>
  </si>
  <si>
    <t>CIFRAS DE CORTE</t>
  </si>
  <si>
    <t>Actividades De Servicios, Agricolas Y Ganaderos, Excepto Las Actividades Veterinarias</t>
  </si>
  <si>
    <t>Caza Ordinaria Y Mediante Trampas Y Repoblacion De Animales De Caza, Incluso actividades De Servicios Conexas.</t>
  </si>
  <si>
    <t>Silvicultura Y Explotacion De La Madera</t>
  </si>
  <si>
    <t>Actividades De Servicios Relacionadas Con La Silvicultura Y La Extraccion De La Madera</t>
  </si>
  <si>
    <t>Pesca Explotacion De Ciaderos De Peces Y Granjas Pisicolas. Pesca y cultivo de peces en criaderos y piscicolas</t>
  </si>
  <si>
    <t>Actividades De Servicios Relacionados Con La Pesca</t>
  </si>
  <si>
    <t>Extraccion Y Aglomeracion De Hulla ( Carbon De Piedra)</t>
  </si>
  <si>
    <t>Extraccion Y Aglomeracion De Carbon Lignitico</t>
  </si>
  <si>
    <t>Extraccion Y Aglomeracion De Turba</t>
  </si>
  <si>
    <t>Extraccion De Petroleo Crudo Y De Gas Natural</t>
  </si>
  <si>
    <t>Actividades De Servicios Relacionadas Con La Extraccion De Petroleo Y Gas, Excepto Las Actividades De Prospeccion</t>
  </si>
  <si>
    <t>Extraccion De Minerales De Uranio Y De Torio</t>
  </si>
  <si>
    <t>Extraccion Del Mineral De Hierro</t>
  </si>
  <si>
    <t>Extraccion De Metales Preciosos</t>
  </si>
  <si>
    <t>Extraccion De Minerales De Niquel</t>
  </si>
  <si>
    <t>Extraccion De Otros Minerales metaliferos No Ferrosos, Excepto Niquel</t>
  </si>
  <si>
    <t>Extraccion De Piedra, Arena Y Arcillas Comunes</t>
  </si>
  <si>
    <t>Extracccion De Yeso Y Anhidrita</t>
  </si>
  <si>
    <t>Extraccion De Caolin, Arcillas De Uso Industrial Y Bentonitas</t>
  </si>
  <si>
    <t>Extraccion De Arenas Y Gravas Siliceas</t>
  </si>
  <si>
    <t>Extraccion De Caliza Y Dolomita</t>
  </si>
  <si>
    <t>Año</t>
  </si>
  <si>
    <t>Devaluación real</t>
  </si>
  <si>
    <t>DTF E.A. Real</t>
  </si>
  <si>
    <t>LIBOR S.V.</t>
  </si>
  <si>
    <t>TASA INVERSIONES TEMPORALES</t>
  </si>
  <si>
    <t>TASA DEUDA CP PESOS</t>
  </si>
  <si>
    <t>TASA DEUDA LP PESOS</t>
  </si>
  <si>
    <t>TASA BONOS</t>
  </si>
  <si>
    <t>TASA DEUDA LP USD</t>
  </si>
  <si>
    <t>Ventas Nacionales</t>
  </si>
  <si>
    <t>Ventas Exterior COP</t>
  </si>
  <si>
    <t>Ventas Exterior USD</t>
  </si>
  <si>
    <t>Crec Ventas Nacionales</t>
  </si>
  <si>
    <t>Crec Ventas Exterior USD</t>
  </si>
  <si>
    <t>- Gastos de Administración Neto</t>
  </si>
  <si>
    <t>- Gastos de Venta y Otros Gastos Neto</t>
  </si>
  <si>
    <t>Gastos de Administración</t>
  </si>
  <si>
    <t>Amortización Activos</t>
  </si>
  <si>
    <t>Amortizaciones Calculo Actuarial</t>
  </si>
  <si>
    <t>Gastos de Ventas</t>
  </si>
  <si>
    <t>Provisiones operativas</t>
  </si>
  <si>
    <t>Coste de Ventas Neto</t>
  </si>
  <si>
    <t>Coste de Ventas Neto / Ventas</t>
  </si>
  <si>
    <t>Depreciación cargada al coste</t>
  </si>
  <si>
    <t>Amortización cargada al coste</t>
  </si>
  <si>
    <t>Ajuste por inflación cargada al coste</t>
  </si>
  <si>
    <t xml:space="preserve">MARGEN EBITDA </t>
  </si>
  <si>
    <t>RESULTADO EXPLOTACION / EBITDA</t>
  </si>
  <si>
    <t>MARGEN EBIT</t>
  </si>
  <si>
    <t>Total verificación</t>
  </si>
  <si>
    <t>Diversos</t>
  </si>
  <si>
    <t xml:space="preserve">Resultado Antes de Impuestos </t>
  </si>
  <si>
    <t>CONTROL (Activo-Pasivo-Recursos Propios)</t>
  </si>
  <si>
    <t>Cuentas de Orden Deudoras (Contingencias)</t>
  </si>
  <si>
    <t>Cuentas de Orden Acreedoras (Contingencias)</t>
  </si>
  <si>
    <t>MARGEN NETO</t>
  </si>
  <si>
    <t>Impuestos Diferidos</t>
  </si>
  <si>
    <t>Ejugue de pérdidas</t>
  </si>
  <si>
    <t>ACTIVO FIJO</t>
  </si>
  <si>
    <t>INVENTARIOS NETO</t>
  </si>
  <si>
    <t>Coste de Ventas con Inflación</t>
  </si>
  <si>
    <t>Gastos de Administración Neto / Ventas</t>
  </si>
  <si>
    <t>Gastos de Venta y Otros Gastos Neto / Ventas</t>
  </si>
  <si>
    <t>CONCILIACIONES Y PROYECCION DE INVERSIONES</t>
  </si>
  <si>
    <t>Ajuste por inflación Activos Fijos</t>
  </si>
  <si>
    <t>Extraccion De Minerales Para La Fabricacion De Abonos Y Productos Quimicos</t>
  </si>
  <si>
    <t>Extraccion De Halita (Sal)</t>
  </si>
  <si>
    <t>Extraccion De Esmeraldas</t>
  </si>
  <si>
    <t>Extraccion De Otras Piedras Preciosas Y Semipreciosas</t>
  </si>
  <si>
    <t>Extraccion De Otros Minerales No Metalicos Ncp</t>
  </si>
  <si>
    <t>Produccion,Transformacion Y Conservacion De Carne Y De Derivados Carnicos</t>
  </si>
  <si>
    <t>Transformacion Y Conservacion De Pescado Y De Derivados Del Pescado</t>
  </si>
  <si>
    <t>Elaboracion De Alimentos Compuestos Principalmente De Frutas, Legumbres Y Hortalizas</t>
  </si>
  <si>
    <t>Elaboracion De Aceites Y Grasas De Origen Vegetal Y Animal</t>
  </si>
  <si>
    <t>Elaboracion De Productos Lacteos</t>
  </si>
  <si>
    <t>Elaboracion De Productos De Molineria</t>
  </si>
  <si>
    <t>Elaboracion De Almidones Y De Productos Derivados Del Almidon</t>
  </si>
  <si>
    <t>Elaboracion De Alimentos Preparados Para Animales</t>
  </si>
  <si>
    <t>Elaboracion De Productos De Panaderia</t>
  </si>
  <si>
    <t>Elaboracion De Macarrones, Fideos, Alcuzcuz Y Productos Farinaceos Similares</t>
  </si>
  <si>
    <t>Trilla De Cafe</t>
  </si>
  <si>
    <t>Descafeinado</t>
  </si>
  <si>
    <t>Tostion Y Molienda Del Cafe</t>
  </si>
  <si>
    <t>Elaboracion De Otros Derivados Del Cafe</t>
  </si>
  <si>
    <t>Fabricación Y Refinación De Azucar</t>
  </si>
  <si>
    <t>Fabricacion De Panela</t>
  </si>
  <si>
    <t>Elaboracion De Cacao, Chocolate Y Productos De Confiteria</t>
  </si>
  <si>
    <t>Elaboracion De Otros Productos Alimenticios Ncp</t>
  </si>
  <si>
    <t>Destilacion, Rectificacion Y Mezcla De Bebidas Alcoholicas; Produccion De Alcohol Etílico A Partir De Sustancias Fermentadas</t>
  </si>
  <si>
    <t>Elaboracion De Bebidas Fermentadas No Destiladas</t>
  </si>
  <si>
    <t>Produccion De Malta, Elaboracion De Cervezas Y Otras Bebidas Malteadas</t>
  </si>
  <si>
    <t>Elaboracion De Bebidas No Alcoholicas; Produccion De Aguas Minerales</t>
  </si>
  <si>
    <t>Fabricacion De Productos De Tabaco</t>
  </si>
  <si>
    <t>Preparacion E Hilatura De Fibras Textiles</t>
  </si>
  <si>
    <t>Tejedura De Productos Textiles</t>
  </si>
  <si>
    <t>Acabado De Productos Textiles No Producidos En La Misma Unidad De Produccion</t>
  </si>
  <si>
    <t>Confeccion De Articulos Con Materiales Textiles No Producidos En La Misma Unidad, Excepto Prendas De Vestir</t>
  </si>
  <si>
    <t>Variación en Deuda Financiera C/P</t>
  </si>
  <si>
    <t>Variación en Deuda Financiera L/P</t>
  </si>
  <si>
    <t>RESOLUCION COMITÉ CENTRAL DE FECHA :</t>
  </si>
  <si>
    <t>Fabricacion De Tapices Y Alfombras Para Pisos</t>
  </si>
  <si>
    <t>Fabricacion De Cuerdas, Cordeles, Cables, Bramantes Y Redes</t>
  </si>
  <si>
    <t>Fabricacion De Otros Articulos Textiles Ncp</t>
  </si>
  <si>
    <t>Fabricacion De Tejidos Y Articulos De Punto Y Ganchillo</t>
  </si>
  <si>
    <t>Cierres, Cortes y Proyecciones</t>
  </si>
  <si>
    <t>Fabricacion De Prendas De Vestir Excepto Prendas De Piel</t>
  </si>
  <si>
    <t>Preprarado Y Teñido De Pieles; Fabricacion De Articulos De Piel</t>
  </si>
  <si>
    <t>Curtido Y Preparado De Cueros</t>
  </si>
  <si>
    <t>Fabricacion De Calzado De Cuero Y Piel; Con Cualquier Tipo De Suela, Excepto El Calzado Deportivo</t>
  </si>
  <si>
    <t>Fabricacion De Calzado De Materiales Textiles; Con Cualquier Tipo De Suela, Excepto Calzado Deportivo</t>
  </si>
  <si>
    <t>Fabricacion De Calzado De Caucho Excepto El Calzado Deportivo</t>
  </si>
  <si>
    <t>Fabricacion De Calzado Plastico Excepto El Calzado Deportivo</t>
  </si>
  <si>
    <t>Fabricacion De Calzado Deportivo, Excepto El Moldeado</t>
  </si>
  <si>
    <t>Fabricacion De Partes De Calzado</t>
  </si>
  <si>
    <t>Fabricacion De Calzado Ncp</t>
  </si>
  <si>
    <t>Fabricacion De Articulos De Viaje, Bolsos De Mano, Y Articulos Similares elaborados en cuero, fabricacion de articulos de talabaqueria y guernicion</t>
  </si>
  <si>
    <t>RATING LOCAL</t>
  </si>
  <si>
    <t>Ratios Financieros</t>
  </si>
  <si>
    <t xml:space="preserve">Datos Financieros </t>
  </si>
  <si>
    <t>DFN / Ventas</t>
  </si>
  <si>
    <t>EBIT</t>
  </si>
  <si>
    <t>DFN / EBITDA</t>
  </si>
  <si>
    <t>DFN / CFL</t>
  </si>
  <si>
    <t>EBITDA / Intereses</t>
  </si>
  <si>
    <t>Reporte CIFIN</t>
  </si>
  <si>
    <t>Clientes (días)</t>
  </si>
  <si>
    <t>Otros Bancos</t>
  </si>
  <si>
    <t>Inventarios (días)</t>
  </si>
  <si>
    <t>Otras Entidades</t>
  </si>
  <si>
    <t>Proveedores (días)</t>
  </si>
  <si>
    <t>Fuente: Santander</t>
  </si>
  <si>
    <t>RATING P1 P3</t>
  </si>
  <si>
    <t>RATING P4</t>
  </si>
  <si>
    <t>Fabircacion De Articulos De Viaje, Bolsos De Mano Y Articulos Similares, Elaborados En Materiales Sinteticos, Plastico E Imitaciones De Cuero</t>
  </si>
  <si>
    <t>Fabricacion De Articulos De Viaje, Bolsos De Mano Y Articulos Similares Elaborados Con Materiales Ncp</t>
  </si>
  <si>
    <t>Aserrado, Acepillado E Impregnacion De La Madera</t>
  </si>
  <si>
    <t>Fabricacion De Hojas De Madera Para Enchapado; Fabricacion De Tableros Contrachapados, Tableros Laminados, Tableros De Particulas Y Otros Tableros</t>
  </si>
  <si>
    <t>Fabricacion De Partes Y Piezas De Carpinteria Para Edificios Y Construccion</t>
  </si>
  <si>
    <t>Fabricacion De Recipientes De Madera</t>
  </si>
  <si>
    <t>Fabricacion De Otros Productos De Madera; Fabricacion De Articulos De Corcho, Cesteria Y Esparteria</t>
  </si>
  <si>
    <t>Fabricacion De Pastas Celulosicas; Papel Y Carton</t>
  </si>
  <si>
    <t>Fabricacion De Papel Y Carton Ondulado, Fabricacion De Envases, Empaques Y De Embalajes De Papel Y Carton</t>
  </si>
  <si>
    <t>Fabricacion De Otros Articulos De Papel Y Carton</t>
  </si>
  <si>
    <t>Ediciion De Libors, Folletos, Partituras Y Otras Publicaciones</t>
  </si>
  <si>
    <t>Edici9On De Periodicos, Rebvistas Y Publicaciones Periodicas</t>
  </si>
  <si>
    <t>Edicion De Materiales Grabados</t>
  </si>
  <si>
    <t>Otros Trabajos De Edición</t>
  </si>
  <si>
    <t>Actividades De Impresion</t>
  </si>
  <si>
    <t>Arte, Diseño Y Composicion</t>
  </si>
  <si>
    <t>Fotomecanica Y Analogos</t>
  </si>
  <si>
    <t>Encuadernacion</t>
  </si>
  <si>
    <t>Acabado Y Recubrimiento</t>
  </si>
  <si>
    <t>Otros Servicios Conexos Ncp</t>
  </si>
  <si>
    <t>Reproduccion De Materiales Grabados</t>
  </si>
  <si>
    <t>Fabricacion De Productos De Hornos De Coque</t>
  </si>
  <si>
    <t>Fabricacion De Productos De La Refinacion Del Petroleo, Elaborados En Refineria</t>
  </si>
  <si>
    <t>Elaboracion De Productos Derivados Del Petroleo, Fuera De Refineria</t>
  </si>
  <si>
    <t>Elaboracion De Combustible Nuclear</t>
  </si>
  <si>
    <t>Fabricacion De Sustancias Quimicas Basicas, Excepto Abonos Y Compuestos Inorganicos Nitrogenados</t>
  </si>
  <si>
    <t>Fabricacion De Abonos Y Compuestos Inorganicos Nitrogenados</t>
  </si>
  <si>
    <t>+/- Otros ajustes</t>
  </si>
  <si>
    <t>Fabricacion De Plasticos En Formas Primarias</t>
  </si>
  <si>
    <t>Fabricacion De Caucho Sintetico En Formas Primarias</t>
  </si>
  <si>
    <t>Fabricacion De Plaguicidas Y Otros Productos Quimicos De Uso Agropecuario</t>
  </si>
  <si>
    <t>Fabricacion De Pinturas, Barnices Y Revestimientos Similares, Tintas Para Impresión Y Masillas</t>
  </si>
  <si>
    <t>Fabricacion De Jabones Y Detergentes, Preparados Para Limpiar Y Pulir; Perfumes Y Preparados De Tocador</t>
  </si>
  <si>
    <t>Fabricacion De Otros Productos Quimicos Ncp</t>
  </si>
  <si>
    <t>Fabricacion De Fibras Sinteticas Y Artificiales</t>
  </si>
  <si>
    <t>Fabricacion De Llantas Y Neumaticos De Caucho</t>
  </si>
  <si>
    <t>Reencauche De Llantas Usadas</t>
  </si>
  <si>
    <t>Fabricacion De Formas Basicas De Caucho</t>
  </si>
  <si>
    <t>Fabricacion De Otros Productos De Caucho Ncp</t>
  </si>
  <si>
    <t>Fabricacion De Formas Basicas De Plastico</t>
  </si>
  <si>
    <t>Fabricacion De Articulos De Plastico Ncp</t>
  </si>
  <si>
    <t>Fabricacion De Vidrio y De Productos De Vidrio</t>
  </si>
  <si>
    <t>Fabricacion De Productos De Ceramica No Refractaria, Para Uso No Estructural</t>
  </si>
  <si>
    <t>Fabricacion De Productos De Ceramica Refractaria</t>
  </si>
  <si>
    <t>Fabricacion De Productos De Arcilla Y Ceramica No Refractaria, Para Uso Estructural</t>
  </si>
  <si>
    <t>Fabricacion De Cemento, Cal Y Yeso</t>
  </si>
  <si>
    <t>Fabricacion De Articulos De Hormigon, Cemento Y Yeso</t>
  </si>
  <si>
    <t>Corte, Tallado Y Acabado De La Piedra</t>
  </si>
  <si>
    <t>Fabricacion De Otros Productos Minerales No Metalicos Ncp</t>
  </si>
  <si>
    <t>Industrias Basicas De Hierro Y Acero</t>
  </si>
  <si>
    <t>Industrias Basicas De Metales Preciosos</t>
  </si>
  <si>
    <t>Industrias Basicas De Otros Metales No Ferrosos</t>
  </si>
  <si>
    <t>Fundicion De Hierro Y De Acero</t>
  </si>
  <si>
    <t>Fundicion De Metales No Ferrosos</t>
  </si>
  <si>
    <t>Fabricacion De Productos Metalicos Para Uso Estructural</t>
  </si>
  <si>
    <t>Fabricacion De Tanques, Depositos Y Recipientes De Metal</t>
  </si>
  <si>
    <t>Fabricacion De Generadores De Vapor, Excepto Calderas De Agua Caliente Para Calefaccion Central</t>
  </si>
  <si>
    <t>Forja, Prensado, Estampado Y Laminado De Metal; Pulvimetalurgia</t>
  </si>
  <si>
    <t>Tratamiento Y Revestimiento De Metales; Trabajos De Ingenieria Mecanica En General Realizados A Cambio De Una Retribucion O Por Contrata</t>
  </si>
  <si>
    <t>Fabricacion De Articulos De Cuchilleria, Herramientas De Mano Y Articulos De Ferreteria</t>
  </si>
  <si>
    <t>Fabricacion De Otros Productos Elaborados De Metal Ncp</t>
  </si>
  <si>
    <t>Fabricacion De Motores Y Turbinas, Excepto Motores Para Aeronaves, Vehiculos Automotores Y Motocicletas</t>
  </si>
  <si>
    <t>Fabricacion De Bombas, Compresores, Grifos Y Valvulas</t>
  </si>
  <si>
    <t>Fabricacion De Cojinetes, Engranajes, Trenes De Engranajes Y Piezas De Transmision</t>
  </si>
  <si>
    <t>Fabricacion De Hornos, Hogares Y Quemadores Industriales</t>
  </si>
  <si>
    <t>Fabricacion De Equipo De Elevación Y Manipulacion</t>
  </si>
  <si>
    <t>Fabricacion De Otros Tipos De Maquinaria De Uso General Ncp</t>
  </si>
  <si>
    <t>Fabricacion De Maquinaria Agropecuaria Y Forestal</t>
  </si>
  <si>
    <t>Fabricacion De Maquinas Herramienta</t>
  </si>
  <si>
    <t>Fabricacion De Maquinaria Para La Metalurgia</t>
  </si>
  <si>
    <t>CORTES</t>
  </si>
  <si>
    <t>Individual</t>
  </si>
  <si>
    <t>EUR</t>
  </si>
  <si>
    <t>USD</t>
  </si>
  <si>
    <t>Anual</t>
  </si>
  <si>
    <t>Trimestral</t>
  </si>
  <si>
    <t>Semestral</t>
  </si>
  <si>
    <t>CODIGO KGL</t>
  </si>
  <si>
    <t>Cod. KGL</t>
  </si>
  <si>
    <t>PROPONENTE:</t>
  </si>
  <si>
    <t>BANCO SANTANDER COLOMBIA</t>
  </si>
  <si>
    <t>Est. Cont</t>
  </si>
  <si>
    <t>AUDITADO:</t>
  </si>
  <si>
    <t>CONSOLIDADO:</t>
  </si>
  <si>
    <t>País</t>
  </si>
  <si>
    <t>UNIDADES:</t>
  </si>
  <si>
    <t>MM</t>
  </si>
  <si>
    <t>TOTAL  ACTIVO  CIRCULANTE</t>
  </si>
  <si>
    <t>TOTAL  ACTIVO  FIJO</t>
  </si>
  <si>
    <t>T  O  T  A  L      A  C  T  I  V  O</t>
  </si>
  <si>
    <t>Deuda Financiera Grupo C/P</t>
  </si>
  <si>
    <t>TOTAL EXIGIBLE A CORTO</t>
  </si>
  <si>
    <t>Deuda Financiera Grupo a L/P</t>
  </si>
  <si>
    <t>TOTAL EXIGIBLE A LARGO</t>
  </si>
  <si>
    <t>TOTAL  EXIGIBLE</t>
  </si>
  <si>
    <t xml:space="preserve">T  O  T  A  L      P  A  S  I  V  O   </t>
  </si>
  <si>
    <t>RESULTADO BRUTO</t>
  </si>
  <si>
    <t>RESULTADO EXPLOTACION/EBITDA</t>
  </si>
  <si>
    <t>- Amortizaciones/Depreciaciones</t>
  </si>
  <si>
    <t xml:space="preserve">   = Resultado Financiero</t>
  </si>
  <si>
    <t>RESULTADO  ANTES  IMPUESTOS</t>
  </si>
  <si>
    <t>RESULTADO NETO</t>
  </si>
  <si>
    <t>RESULTADO ATRIBUIBLE</t>
  </si>
  <si>
    <t>DIVIDENDOS APROBADOS</t>
  </si>
  <si>
    <t>BENEFICIO RETENIDO</t>
  </si>
  <si>
    <t>Nº ACCIONES</t>
  </si>
  <si>
    <t>BENEFICIO POR ACCION</t>
  </si>
  <si>
    <t>DIVIDENDO POR ACCION</t>
  </si>
  <si>
    <t>PAY-OUT</t>
  </si>
  <si>
    <t>A) RATIOS  DE  BALANCE</t>
  </si>
  <si>
    <t>B) RATIO  DE  RENTABILIDAD / CASH FLOW</t>
  </si>
  <si>
    <t>ROE (Bº NETO/FFPP)</t>
  </si>
  <si>
    <t>ROA (Bº NETO/AT)</t>
  </si>
  <si>
    <t>Variacion 2/1</t>
  </si>
  <si>
    <t>Variacion 3/2</t>
  </si>
  <si>
    <t>FIRMA:</t>
  </si>
  <si>
    <t>+ - Variación Capital Circulante Operativo (1)</t>
  </si>
  <si>
    <t>CASH FLOW OPERATIVO  (CFO)</t>
  </si>
  <si>
    <t xml:space="preserve"> CASH FLOW APLICADO A ACTIVIDADES DE INVERSION   (CFI)</t>
  </si>
  <si>
    <t>CASH FLOW ANTES DE ACTIVIDADES DE FINANCIACION   (CFAF= CFO-CFI)</t>
  </si>
  <si>
    <t>+ Aportaciones de los accionistas</t>
  </si>
  <si>
    <t>CASH FLOW DERIVADO DE LAS ACTIVIDADES DE FINANCIACION (CFF)</t>
  </si>
  <si>
    <t>CASH-FLOW DESPUÉS DE LAS ACTIVIDADES DE FINANCIACIÓN (CFDF = CFAF - CFF)</t>
  </si>
  <si>
    <t>AUMENTO/DISMINUCIÓN NETA DE TESORERIA</t>
  </si>
  <si>
    <t xml:space="preserve"> (1) Variación de existencias</t>
  </si>
  <si>
    <t>Variación de clientes</t>
  </si>
  <si>
    <t>Variación de proveedores</t>
  </si>
  <si>
    <t>Variación de otro circulante</t>
  </si>
  <si>
    <t>Fabricacion De Maquinaria Para La Explotacion De Minas Y Canteras Y Para La Construccion</t>
  </si>
  <si>
    <t>Fabricacion De Maquinaria Para La Elaboracion De Alimentos, Bebidas Y Tabaco</t>
  </si>
  <si>
    <t>Fabricacion De Maquinaria Para La Elaboracion De Productos Textiles, Prendas De Vestir Y Cueros</t>
  </si>
  <si>
    <t>Fabricacion De Armas Y Municiones</t>
  </si>
  <si>
    <t>Fabricacion De Otros Tipos De Maquinaria De Uso Especial Ncp</t>
  </si>
  <si>
    <t>Fabricaion De Aparatos De Uso Domestico Ncp</t>
  </si>
  <si>
    <t>Fabricacion De Maquinaria De Oficina, Contabilidad E Informatica</t>
  </si>
  <si>
    <t>Fabricacion De Motores, Generadores Y Transformadores</t>
  </si>
  <si>
    <t>Fabricacion De Aparatos De Distribucion Y Control De La Energía Electrica</t>
  </si>
  <si>
    <t>Fabricacion De Hilos Y Cables Aislados</t>
  </si>
  <si>
    <t>Fabricacion De Acumuladoresy De Pilas Electricas</t>
  </si>
  <si>
    <t>Fabricacion De Lamparas Electricas Y Equipo De Iluminacion</t>
  </si>
  <si>
    <t>Fabricacion De Otros Tipos De Equipo Electrico Ncp</t>
  </si>
  <si>
    <t>Fabricacion De Tubos Y Valvulas Electronicas Y De Otros Componentes Electronicos</t>
  </si>
  <si>
    <t>Fabricacion De Transmisores De Radio Y Television Y De Aparatos Para Telefonia Y Telegrafia</t>
  </si>
  <si>
    <t>Fabricacion De Receptores De Radio Y Television, De Aparatos De Grabacion De Reproduccion Del Sonido O Imagen, Y De Productos Conexos</t>
  </si>
  <si>
    <t>Fabricacion De Equipo Medico Y Quirurgico Y De Aparatos Ortesicos Y Protesicos</t>
  </si>
  <si>
    <t>Fabricacion De Instrumentos Y Aparatos Para Medir, Verificar, Ensayar, Navegar Y Otros Fines, Excepto Equipo De Control De Procesos Industriales</t>
  </si>
  <si>
    <t>Fabricacion De Equipo De Control De Procesos Industriales</t>
  </si>
  <si>
    <t>Fabricacion De Instrumentos Opticos Y De Equipo Fotografico</t>
  </si>
  <si>
    <t>Fabricacion De Relojes</t>
  </si>
  <si>
    <t>Fabricacion De Vehiculos Automotores Y Sus Motores</t>
  </si>
  <si>
    <t>Fabricacion De Carrocerias Para Vehiculos Automotores; Fabricacion De Remolques Y Semiremolques</t>
  </si>
  <si>
    <t>Fabricacion De Partes, Piezas Y Accesorios(Autopartes) Para Vehiculos Automotores Y Para Sus Motores</t>
  </si>
  <si>
    <t>Construccion Y Reparacion De Buques</t>
  </si>
  <si>
    <t>Construccion Y Reparacion De Embarcaciones De Recreo Y De Deporte</t>
  </si>
  <si>
    <t>Fabricacion De Locomotoras Y De Material Rodante Para Ferrocarriles Y Tranvias</t>
  </si>
  <si>
    <t>Fabricacion De Aeronaves Y De Naves Espaciales</t>
  </si>
  <si>
    <t>Fabricaion De Motocicletas</t>
  </si>
  <si>
    <t>Fabricacion De Bicicletas Y De Sillones De Ruedas Para Discapacitados</t>
  </si>
  <si>
    <t>Fabricacion De Otros Tipos De Equipo De Transporte Ncp</t>
  </si>
  <si>
    <t>Fabricacion De Muebles Para El Hogar</t>
  </si>
  <si>
    <t>Fabricaion De Muebles Para Oficina</t>
  </si>
  <si>
    <t>Fabricacion De Muebles Para Comercio Y Servicios</t>
  </si>
  <si>
    <t>Fabricacion De Colchones Y Somieres</t>
  </si>
  <si>
    <t>Fabricacion De Otros Muebles Ncp</t>
  </si>
  <si>
    <t>Fabricacion De Joyas Y De Articulos Conexos</t>
  </si>
  <si>
    <t>Fabricacion De Instrumentos Musicales</t>
  </si>
  <si>
    <t>Fabricacion De Articulos Deportivos</t>
  </si>
  <si>
    <t>Fabricacion De Juegos Y Juguetes</t>
  </si>
  <si>
    <t>Otras Industrias Manufactureras Ncp</t>
  </si>
  <si>
    <t>Reciclaje De Desperdicios Y De Desechos Metalicos</t>
  </si>
  <si>
    <t>Reciclaje De Desperdicios Y Desechos No Metalicos</t>
  </si>
  <si>
    <t>Generacion, Captacion Y Distrivbucion De Energia Electrica</t>
  </si>
  <si>
    <t>Fabricacion De Gas; Distribucion De Combustibles Gaseosos Por Tuberias</t>
  </si>
  <si>
    <t>Suministro De Vapor Y Agua Caliente</t>
  </si>
  <si>
    <t>Gasto Financiero Otros Pasivos</t>
  </si>
  <si>
    <t xml:space="preserve">REV FISCAL:   </t>
  </si>
  <si>
    <t>2007 con salvedades</t>
  </si>
  <si>
    <t>2007 sin salvedades</t>
  </si>
  <si>
    <t>N.A.</t>
  </si>
  <si>
    <t>No presentó informe</t>
  </si>
  <si>
    <t>Captacion, Depuracion Y Distribucion De Agua</t>
  </si>
  <si>
    <t>Trabajos De Demolicion Y Preparacion De Terrenos Para La Construccion De Edificaciones</t>
  </si>
  <si>
    <t>ENDEUD. FIN / VTAS</t>
  </si>
  <si>
    <t>Trabajos De Preparacion De Terrenos Para Obras Civiles</t>
  </si>
  <si>
    <t>Construccion De Edificaciones Para Uso Residencial</t>
  </si>
  <si>
    <t>Construccion De Edificaciones Para Uso No Residencial</t>
  </si>
  <si>
    <t>Construccion De Obras De Ingenieria Civil</t>
  </si>
  <si>
    <t>Instalaciones Hidraulicas Y Trabajos Conexos</t>
  </si>
  <si>
    <t>Trabajos De Electricidad</t>
  </si>
  <si>
    <t>Trabajos De Instalacion De Equipos</t>
  </si>
  <si>
    <t>Otros Trabajos De Acondicionamiento</t>
  </si>
  <si>
    <t>Ornamentacion E Instalacion De Vidrios Y Ventanas</t>
  </si>
  <si>
    <t>Trabajos De Pintura Y Terminacion De Muros Y Pisos</t>
  </si>
  <si>
    <t>Otros Trabajos De Terminacion Y Acabado</t>
  </si>
  <si>
    <t>Alquiler De Equipo Para Construccion Y Demolicion Dotado De Operarios</t>
  </si>
  <si>
    <t>Comercio De Vehiculos Automotores Nuevos</t>
  </si>
  <si>
    <t>Comercio De Vehiculos Automotores Usados</t>
  </si>
  <si>
    <t>Mantenimiento Y Reparacion De Vehiculos Automotores</t>
  </si>
  <si>
    <t>Comercio De Partes, Piezas (Autopartes) Y Accesorios (Lujos) Para Vehiculos Automotores</t>
  </si>
  <si>
    <t>C.ORDINARIA Y/O</t>
  </si>
  <si>
    <t>C.TESORERIA Y/O</t>
  </si>
  <si>
    <t>COM.EXTER. Y/O</t>
  </si>
  <si>
    <t>12 Meses</t>
  </si>
  <si>
    <t>Comercio, Mantenimiento Y Reparacion De Motocicletas Y De Sus Partes, Piezas Y Accesorios</t>
  </si>
  <si>
    <t>Comercio Al Por Menor De Combustible Para Automotores</t>
  </si>
  <si>
    <t>Comercio Al Por Menor De Lubricantes (Aceites, Grasas), Aditivos Y Productos De Limpieza Para Vehiculos Automotores</t>
  </si>
  <si>
    <t>Comercio Al Por Mayor A Cambio  De Una Retribucion O Por Contrata De Productos Agricolas (Excepto Cafe), Silvicolas Y De Animales Vivos Y Sus Produ</t>
  </si>
  <si>
    <t>Comercio Al Por Mayor A Cambio De Una Retribucion O Por Contrata De Cafe Pergamino</t>
  </si>
  <si>
    <t>Comercio Al Por Mayor A Cambio De Una Retribucion O Por Contrata De Productos Manufacturados</t>
  </si>
  <si>
    <t>Comercio Al Por Mayor A Cambio De Uhna Retribucion O Por Contrata De Productos Ncp</t>
  </si>
  <si>
    <t>Comercio Al Por Mayor De Materias Primas, Productos Agricolas, Excepto Cafe Y Flores</t>
  </si>
  <si>
    <t>Comercio Al Por Mayor De Cafe Pergamino</t>
  </si>
  <si>
    <t>Comercio Al Por Mayor De Flores Y Plantas Ornamentales</t>
  </si>
  <si>
    <t>Bonos y Papeles Comerciales LP</t>
  </si>
  <si>
    <t>REPRESENTANTE LEGAL:</t>
  </si>
  <si>
    <t>SOCIOS:</t>
  </si>
  <si>
    <t>ACTIVIDAD:</t>
  </si>
  <si>
    <t>ANT.NEGOCIO:</t>
  </si>
  <si>
    <t>C.I.I.U.:</t>
  </si>
  <si>
    <t>Comercio Al Por Mayor De Materias Primas Pecuarias, Animales Vivos</t>
  </si>
  <si>
    <t>Comercio Al Por Mayor De Productos Alimenticios, Excepto Cafe Trillado</t>
  </si>
  <si>
    <t>Comercio Al Por Mayor De Cafe Trillado</t>
  </si>
  <si>
    <t>Comercio Al Por Mayor De Bebidas Y Productos Del Tabaco</t>
  </si>
  <si>
    <t>Comercio al por mayor de productos textiles, productos confeccionados para uso domestico</t>
  </si>
  <si>
    <t>Comercio Al Por Mayor De Prendas De Vestir, Accesorios De Prendas De Vestir Y Articulos Elaborados En Piel</t>
  </si>
  <si>
    <t>Comercio Al Por Mayor De Calzado</t>
  </si>
  <si>
    <t>Comercio Al Por Mayor De Aparatos, Articulos Y Equipos De Uso Domestico</t>
  </si>
  <si>
    <t>Comercio Al Por Mayor De Productos Farmaceuticos, Medicinales, Cosmeticos Y De Tocador</t>
  </si>
  <si>
    <t>Comercio Al Por Mayor De Equipos medicos, Quirurgicos Y De Aparatos Ortesicos Y Protesicos</t>
  </si>
  <si>
    <t>Comercio Al Por Mayor De Papel Y Carton; Productos De Papel Y Carton</t>
  </si>
  <si>
    <t>Comercio Al Por Mayor De Otros Productos De Consumo Ncp</t>
  </si>
  <si>
    <t>Comercio Al Por Mayor De Materiales De Construccion, Ferreteria Y Vidrio</t>
  </si>
  <si>
    <t>Comercio Al Por Mayor De Pinturas Y Productos Conexos</t>
  </si>
  <si>
    <t>Rotación de Activos</t>
  </si>
  <si>
    <t>Comercio Al Por Mayor De Combustibles Solidos, Liquidos, Gaseosos Y Productos Conexos</t>
  </si>
  <si>
    <t>Comercio Al Por Mayor De Metales Y Minerales Metaliferos En Formas Primarias</t>
  </si>
  <si>
    <t>Comercio Al Por Mayor De Productos Quimicos Basicos, Plasticos Y Caucho En Formas Primarias Y Productos Quimicos De Uso Agropecuario</t>
  </si>
  <si>
    <t>Comercio Al Por Mayor De Fibras Textiles</t>
  </si>
  <si>
    <t>Comercio Al Por Mayor De Desperdicios O Desechos Industriales Y Material Para Reciclaje</t>
  </si>
  <si>
    <t>Comercio Al Por Mayor De Otros Productos Intermedios Ncp</t>
  </si>
  <si>
    <t>Comercio Al Por Mayor De Maquinaria Y Equipo Para La Agricultura , Mineria, Construccion Y La Industria</t>
  </si>
  <si>
    <t>Comercio Al Por Mayor De Equipo De Transporte, Excepto Vehiculos Automotores Y Motocicletas</t>
  </si>
  <si>
    <t>Comercio Al Por Mayor De Maquinaria Para Oficina, Contabilidad E Informatica</t>
  </si>
  <si>
    <t>Comercio Al Por Mayor De Maquinaria Y Equipo Ncp</t>
  </si>
  <si>
    <t>Mantenimiento Y Reparacion De Maquinaria Y Equipo</t>
  </si>
  <si>
    <t>Comercio Al Por Mayor De Productos Diversos Ncp</t>
  </si>
  <si>
    <t>Crecimiento del PIB</t>
  </si>
  <si>
    <t>Devaluación</t>
  </si>
  <si>
    <t>TRM Final</t>
  </si>
  <si>
    <t>TRM Promedio año</t>
  </si>
  <si>
    <t>Otras Cuentas (Deudores Varios)</t>
  </si>
  <si>
    <t xml:space="preserve">Valorización de Inversiones </t>
  </si>
  <si>
    <t>Gastos Pagados por Anticipado</t>
  </si>
  <si>
    <t>Cuentas por Cobrar a Grupo (Financieras)</t>
  </si>
  <si>
    <t>Cuentas por Cobrar a Grupo (Comerciales)</t>
  </si>
  <si>
    <t>Pensiones de Jubilación</t>
  </si>
  <si>
    <t>+/- Otros ingresos y gastos operativos</t>
  </si>
  <si>
    <t>+/- Utilidades (Pérdidas) por Grupo</t>
  </si>
  <si>
    <t>Inflación (Variación IPC)</t>
  </si>
  <si>
    <t>Inflación Internacional (EU)</t>
  </si>
  <si>
    <t>Comercio Al Por Menor, En Establecimientos No Especializados, Con Surtido Compuesto Principalmente De Alimentos (Vivieres En General), Bebidas Y Ta</t>
  </si>
  <si>
    <t>Comercio Al Por Menor En Establecimientos No Especializados Con Surtido Compuesto Principalmente Por Productos Diferentes De Alimentos (Viveres En</t>
  </si>
  <si>
    <t>FACULTADES:</t>
  </si>
  <si>
    <t>Comercio Al Por Menor De Frutas Y Verduras, En Establecimientos Especializados</t>
  </si>
  <si>
    <t>Comercio Al Por Menor De Leche, Productos Lacteos Y Huevos En Establecimientos Especializados</t>
  </si>
  <si>
    <t>CLIENTE:</t>
  </si>
  <si>
    <t>RIESGO:</t>
  </si>
  <si>
    <t>RORAC:</t>
  </si>
  <si>
    <t>RENT/CER :</t>
  </si>
  <si>
    <t>RORAC CON COMP:</t>
  </si>
  <si>
    <t>RENT/CER CON COMP:</t>
  </si>
  <si>
    <t>Spread Inversiones Temporales</t>
  </si>
  <si>
    <t>Spread Deuda Corto Plazo COP</t>
  </si>
  <si>
    <t>Spread Deuda Largo Plazo COP</t>
  </si>
  <si>
    <t>Spread Bonos</t>
  </si>
  <si>
    <t>Spread Deuda Largo Plazo USD</t>
  </si>
  <si>
    <t>Saldo inicial obligaciones financieras LP</t>
  </si>
  <si>
    <t>Amortización Créditos Bancarios de LP</t>
  </si>
  <si>
    <t>Amortización Créditos de LP</t>
  </si>
  <si>
    <t>Ajuste y conciliación del modelo de proyección</t>
  </si>
  <si>
    <t>Cálculo del disponible para inversiones temporales</t>
  </si>
  <si>
    <t>Disponible para inversiones temporales</t>
  </si>
  <si>
    <t>Cálculo de deuda de corto plazo</t>
  </si>
  <si>
    <t xml:space="preserve">Saldo de deuda de corto plazo </t>
  </si>
  <si>
    <t>Otra deuda financiera de corto plazo</t>
  </si>
  <si>
    <t>Comercio Al Por Menor De Carnes (Incluye Aves De Corral), Productos Carnicos, Pescados Y Productos De Mar, En Establecimientos Especializados</t>
  </si>
  <si>
    <t>Comercio Al Por Menor De Productos De Confiteria En Establecimientos Especializados</t>
  </si>
  <si>
    <t>Comercio Al Por Menor De Bebidas Y Productos Del Tabaco En Establecimientos Especializados</t>
  </si>
  <si>
    <t>Comercio Al Por Menor De Otros Productos Alimenticios Ncp, En Establecimientos Especializados</t>
  </si>
  <si>
    <t>Comercio Al Por Menor De Productos Farmaceuticos, Medicinales Y Odontologicos; Articulos De Perfumeria, Cosmeticos Y De Tocador En Establecimientos</t>
  </si>
  <si>
    <t>Comercio Al Por Menor De Productos Textiles En Establecimientos Especializados</t>
  </si>
  <si>
    <t>Comercio Al Por Menor De Prendas De Vestir Y Sus Accesorios (Incluye Articulos De Piel), En Establecimientos Especializados</t>
  </si>
  <si>
    <t>Comercio Al Por Menor De Todo Tipo De Calzado, Articulos De Cuero Y Sucedaneos Del Cuero, En Establecimientos Especializados</t>
  </si>
  <si>
    <t>Comercio Al Por Menor De Electrodomesticos, En Establecimientos Especializados</t>
  </si>
  <si>
    <t>Comercio Al Por Menor De Muebles Para El Hogar, En Establecimientos Especializados</t>
  </si>
  <si>
    <t>Comercio Al Por Menor De Equipos Y Articulos De Uso Domestico Diferentes De Electrodomesticos Y Muebles Para El Hogar En Establecimientos Especiali</t>
  </si>
  <si>
    <t>Comercio Al Por Menor De Productos Diversos Ncp, En Establecimientos Especializados</t>
  </si>
  <si>
    <t>Comercio Al Por Menor De Articulos De Ferreteria, Cerrajeria Y Productos De Vidrio, Excepto Pinturas En Establecimientos Especializados</t>
  </si>
  <si>
    <t>Comercio Al Por Menor Pinturas En Establecimientos Especializados</t>
  </si>
  <si>
    <t>Comercio Al Por Menor De Muebles Para Oficina, Maquinaria Y Equipo De Oficina, Computadores Y Programas De Computador, En Establecimientos Especial</t>
  </si>
  <si>
    <t>Comercio Al Por Menor De Libros, Periodicos, Materiales Y Articulos De Papeleria Y Escritorio, En Establecimientos Especializados</t>
  </si>
  <si>
    <t>Comercio Al Por Menor De Equipo Fotografico, En Establecimientos Especializados</t>
  </si>
  <si>
    <t>Comercio Al Por Menor De Equipo Optico Y De Precisión, En Establecimientos Especializados</t>
  </si>
  <si>
    <t>Comercio Al Por Menor De Otros Nuevos Productos De Consumo Ncp En Establecimientos Especializados</t>
  </si>
  <si>
    <t>Comercio Al Por Menor De Articulos Usados En Establecimientos Especializados</t>
  </si>
  <si>
    <t>Actividades Comerciales De Las Casas De Empeño O Compraventas</t>
  </si>
  <si>
    <t>Comercio Al Por Menor A Traves De Casas De Venta Por Correo</t>
  </si>
  <si>
    <t>Comercio Al Por Menor En Puestos Moviles</t>
  </si>
  <si>
    <t>Otros Tipos De Comercio Al Por Menor No Realizado En Establecimientos</t>
  </si>
  <si>
    <t>por 1EUR</t>
  </si>
  <si>
    <t>Ingresos Netos</t>
  </si>
  <si>
    <t>Cash Flow Libre (CFAF)</t>
  </si>
  <si>
    <t>n.d.</t>
  </si>
  <si>
    <t>Activo Total</t>
  </si>
  <si>
    <t>Rating sin apoyo externo</t>
  </si>
  <si>
    <t>Deuda Financiera</t>
  </si>
  <si>
    <t>Potencial de apoyo</t>
  </si>
  <si>
    <t>Tesorería y AFL</t>
  </si>
  <si>
    <t>Rating Entidad de apoyo</t>
  </si>
  <si>
    <t>DFN/EBITDA</t>
  </si>
  <si>
    <t>=</t>
  </si>
  <si>
    <t>--</t>
  </si>
  <si>
    <t>Situación FEVE:</t>
  </si>
  <si>
    <t>++</t>
  </si>
  <si>
    <t>Tesorería + Activos Fácilmente Líquidables</t>
  </si>
  <si>
    <t xml:space="preserve">Cuentas a Cobrar </t>
  </si>
  <si>
    <t>Existencias</t>
  </si>
  <si>
    <t>Administraciones públicas</t>
  </si>
  <si>
    <t>Inmovilizado Material Neto</t>
  </si>
  <si>
    <t>Activos Intangibles</t>
  </si>
  <si>
    <t>Inmovilizado Financiero</t>
  </si>
  <si>
    <t>Otros Activos L/P</t>
  </si>
  <si>
    <t>Activos Contingentes</t>
  </si>
  <si>
    <t>Deuda Financiera a C/P</t>
  </si>
  <si>
    <t xml:space="preserve">Cuentas a Pagar </t>
  </si>
  <si>
    <t>Cuentas a Pagar a la Administración</t>
  </si>
  <si>
    <t>Deuda Financiera a L/P</t>
  </si>
  <si>
    <t>Provisiones</t>
  </si>
  <si>
    <t>Capital Social</t>
  </si>
  <si>
    <t>Reservas Acumuladas</t>
  </si>
  <si>
    <t>Socios Externos</t>
  </si>
  <si>
    <t>RECURSOS PROPIOS</t>
  </si>
  <si>
    <t>Pasivos Contingentes</t>
  </si>
  <si>
    <t>- Coste de Ventas</t>
  </si>
  <si>
    <t xml:space="preserve">- Gastos Generales  </t>
  </si>
  <si>
    <t>+ Otros Ingresos (Gastos) Op.</t>
  </si>
  <si>
    <t>Cierres</t>
  </si>
  <si>
    <t>Año Anterior Cierre</t>
  </si>
  <si>
    <t>Columna Cierre Anterior</t>
  </si>
  <si>
    <t>- Provisiones</t>
  </si>
  <si>
    <t>RESULTADO OPERATIVO / EBIT</t>
  </si>
  <si>
    <t xml:space="preserve"> + Ingresos Sociedades Grupo</t>
  </si>
  <si>
    <t xml:space="preserve"> + Otros Ingresos Financieros</t>
  </si>
  <si>
    <t xml:space="preserve"> +-Ajustes cambiarios / Inflación</t>
  </si>
  <si>
    <t>Amort. Fondo Comercio Consolidacion</t>
  </si>
  <si>
    <t>Resultados puesta en equivalencia</t>
  </si>
  <si>
    <t>RESULTADO ORDINARIO</t>
  </si>
  <si>
    <t xml:space="preserve">+- Resultado Extraordinario </t>
  </si>
  <si>
    <t>Intereses Minoritarios</t>
  </si>
  <si>
    <t>Deuda financiera Bruta</t>
  </si>
  <si>
    <t>Deuda financiera Neta (DFN)</t>
  </si>
  <si>
    <t>Capitalización (FFPP/AT)</t>
  </si>
  <si>
    <t>DFN/FFPP</t>
  </si>
  <si>
    <t>DFN/CFL</t>
  </si>
  <si>
    <t>Liquidez Ácida</t>
  </si>
  <si>
    <t>EBITDA/Gastos financieros</t>
  </si>
  <si>
    <t>Cobertura de Interés (CFOperat./ gastos financieros)</t>
  </si>
  <si>
    <t>Resultado Bruto</t>
  </si>
  <si>
    <t>Resultado Explotación/EBITDA</t>
  </si>
  <si>
    <t>Margen EBITDA</t>
  </si>
  <si>
    <t>Resultado Operativo/EBIT</t>
  </si>
  <si>
    <t>Margen EBIT</t>
  </si>
  <si>
    <t>= Resultado Financiero</t>
  </si>
  <si>
    <t>Resultado Ordinario</t>
  </si>
  <si>
    <t>Resultado Antes de Impuestos</t>
  </si>
  <si>
    <t>Resultado Neto</t>
  </si>
  <si>
    <t>Resultado Atribuible</t>
  </si>
  <si>
    <t>Dividendos Aprobados</t>
  </si>
  <si>
    <t>Beneficio Retenido</t>
  </si>
  <si>
    <t>No. de Acciones</t>
  </si>
  <si>
    <t>Beneficio por acción</t>
  </si>
  <si>
    <t>Dividendo por acción</t>
  </si>
  <si>
    <t>Pay-Out</t>
  </si>
  <si>
    <t>Resultado Operativo / EBIT</t>
  </si>
  <si>
    <t>+ Amortizaciones / Provisiones</t>
  </si>
  <si>
    <t>+ - Variación Capital Circulante Operativo</t>
  </si>
  <si>
    <t xml:space="preserve">+ - Otros ajustes </t>
  </si>
  <si>
    <t>CF Operativo (CFO)</t>
  </si>
  <si>
    <t>- Capex</t>
  </si>
  <si>
    <t>+ Desinversiones por venta de activos</t>
  </si>
  <si>
    <t>- Inversiones Financieras</t>
  </si>
  <si>
    <t>+ Desinversiones Financieras</t>
  </si>
  <si>
    <t>+ Cobros financieros</t>
  </si>
  <si>
    <t>+ - Préstamos al Grupo</t>
  </si>
  <si>
    <t>+ - Otras inversiones/desinversiones</t>
  </si>
  <si>
    <t>CF Aplicado a Inversión (CFI)</t>
  </si>
  <si>
    <t>CF Antes de Financiación (CFAF= CFO-CFI)</t>
  </si>
  <si>
    <t>- Dividendos pagados</t>
  </si>
  <si>
    <t>+ - Variación neta deuda a L/P</t>
  </si>
  <si>
    <t>+ - Variación neta deuda a C/P</t>
  </si>
  <si>
    <t>- Pagos financieros (intereses)</t>
  </si>
  <si>
    <t>+ - Variación de Recursos Propios</t>
  </si>
  <si>
    <t>+ - Otros Ajustes</t>
  </si>
  <si>
    <t>CF Derivado de Financiación (CFF)</t>
  </si>
  <si>
    <t>CF Después de Financiación (CFDF = CFAF - CFF)</t>
  </si>
  <si>
    <t>Efecto de las diferencias de cambio en Tesorería</t>
  </si>
  <si>
    <t>Aumento/Disminución Neta de Tesorería</t>
  </si>
  <si>
    <t>Caja al inicio del ejercicio</t>
  </si>
  <si>
    <t>Caja al final del período</t>
  </si>
  <si>
    <t>Net Working Investment</t>
  </si>
  <si>
    <t>Total Activo Circulante</t>
  </si>
  <si>
    <t>Total Activo Fijo</t>
  </si>
  <si>
    <t xml:space="preserve">Total Activo </t>
  </si>
  <si>
    <t>Deuda Grupo C/P</t>
  </si>
  <si>
    <t>Total Exigible a Corto</t>
  </si>
  <si>
    <t>Deuda Grupo a L/P</t>
  </si>
  <si>
    <t>Total Exigible a Largo</t>
  </si>
  <si>
    <t>Total Exigible</t>
  </si>
  <si>
    <t>Total Pasivo</t>
  </si>
  <si>
    <t xml:space="preserve">B) Ratio de Rentabilidad/Cash Flow </t>
  </si>
  <si>
    <t>ESTADOS FINANCIEROS EXPRESADOS EN</t>
  </si>
  <si>
    <t>Interés minoritario</t>
  </si>
  <si>
    <t>ROE (B NETO/FFPP)</t>
  </si>
  <si>
    <t>ROA (B NETO/AT)</t>
  </si>
  <si>
    <t>+/- Utilidades (Pérdidas) por Asociadas</t>
  </si>
  <si>
    <t>Reparacion De Efectos Personales</t>
  </si>
  <si>
    <t>Reparacion De Enseres Domesticos</t>
  </si>
  <si>
    <t>Alojamiento En "Hoteles", "Hostales" Y "Apartahoteles"</t>
  </si>
  <si>
    <t>Alojamiento En "Residencias,"Moteles", Y "Amoblados"</t>
  </si>
  <si>
    <t>Alojamientos En "Centros Vacacionales" Y "Zonas De Camping"</t>
  </si>
  <si>
    <t>Otros Tipos De Alojamiento Ncp</t>
  </si>
  <si>
    <t>Expendio A La Mesa De Comidas Preparadas, En Restaurantes</t>
  </si>
  <si>
    <t>Expendio, A La Mesa, De Comidas Preparadas En Cafeterias</t>
  </si>
  <si>
    <t>Expendio, Por Autoservicio, De Comidas Preparadas En Restaurantes</t>
  </si>
  <si>
    <t>Expendio, Por Autoservicio De Comidas Preparadas En Cafeterias</t>
  </si>
  <si>
    <t>Otros Tipos De Expendio Ncp De Alimentos Preparados</t>
  </si>
  <si>
    <t>Expendio De Bebidas Alcoholicas Para El Consumo Dentro Del Establecimiento</t>
  </si>
  <si>
    <t>Transporte Por Via Ferrea</t>
  </si>
  <si>
    <t>Transporte Urbano Colectivo Regular De Pasajeros</t>
  </si>
  <si>
    <t>Transporte Intermunicipal Colectivo Regular De Pasajeros</t>
  </si>
  <si>
    <t>Transporte Internacional Colectivo Regular De Pasajeros</t>
  </si>
  <si>
    <t>Transporte No Reguolar Individual De Pasajeros</t>
  </si>
  <si>
    <t>Transporte Colectivo No Regular De Pasajeros</t>
  </si>
  <si>
    <t>Otros Tipos De Transporte No Regular De Pasajeros Ncp</t>
  </si>
  <si>
    <t>Transporte Municipal De Carga Por Carretera</t>
  </si>
  <si>
    <t>Transporte Intermunicipal De Carga Por Carretera</t>
  </si>
  <si>
    <t>Transporte Internacional De Carga Por Carretera</t>
  </si>
  <si>
    <t>Alquiler De Vehiculos De Carga Con Conductor</t>
  </si>
  <si>
    <t>Transporte Por Tuberias</t>
  </si>
  <si>
    <t>Transporte Maritimo Internacional</t>
  </si>
  <si>
    <t>Transporte Maritimo De Cabotaje</t>
  </si>
  <si>
    <t>Transporte Fluvial</t>
  </si>
  <si>
    <t>Transporte Regular Nacional De Pasajeros Por Via Aerea</t>
  </si>
  <si>
    <t>Transporte Regular Nacional De Carga Por Via Aerea</t>
  </si>
  <si>
    <t>Transporte Regular Internacional De Pasajeros, Por Via Aerea</t>
  </si>
  <si>
    <t>Transporte Regular Internacional De Carga, Por Via Aerea</t>
  </si>
  <si>
    <t>Transporte No Regular, Por Via Aerea</t>
  </si>
  <si>
    <t>Manipulacion De Carga</t>
  </si>
  <si>
    <t>Almacenamiento Y Deposito</t>
  </si>
  <si>
    <t>Actividades De Estaciones De Transporte Terrestre</t>
  </si>
  <si>
    <t>Actividades De Estaciones De Transporte Acuatico</t>
  </si>
  <si>
    <t>Actividades De Aeropuertos</t>
  </si>
  <si>
    <t>Otras Actividades Complementarias Del Transporte</t>
  </si>
  <si>
    <t>Actividades De Agencias De Viajes Y Organizadores De Viajes; Actividades De Asistencia A Turistas Ncp</t>
  </si>
  <si>
    <t>Actividades De Otras Agencias De Transporte</t>
  </si>
  <si>
    <t>Actividades Postales Nacionales</t>
  </si>
  <si>
    <t>Actividades De Correo Distintas De Las Actividades Postales Nacionales</t>
  </si>
  <si>
    <t>Servicios Telefonicos</t>
  </si>
  <si>
    <t>Servicios De Transmision De Datos A Traves De Redes</t>
  </si>
  <si>
    <t>Servicios De Transmision De Programas De Radio Y Television</t>
  </si>
  <si>
    <t>Servicios De Transmision Por Cable</t>
  </si>
  <si>
    <t>Otros Servicios De Telecomunicaciones</t>
  </si>
  <si>
    <t>Servicios Relacionados Con Las Trelecomunicaciones</t>
  </si>
  <si>
    <t>Banca Central</t>
  </si>
  <si>
    <t>Actividades De Los Bancos Diferentes del Banco Central</t>
  </si>
  <si>
    <t>Actividades De Las Corporaciones De Ahorro Y Vivienda</t>
  </si>
  <si>
    <t>Actividades De Las Corporaciones Financieras</t>
  </si>
  <si>
    <t>Actividades De Las Compañias De Financiamiento Comercial</t>
  </si>
  <si>
    <t>Actividades De Las Cooperativas De Grado Superior De Caracter Financiero</t>
  </si>
  <si>
    <t>Otros Tipos De Intermediacion Monetaria Ncp</t>
  </si>
  <si>
    <t>Arrendamiento Financiero (Leasing)</t>
  </si>
  <si>
    <t>Actividades De Las Sociedades De Fiducia</t>
  </si>
  <si>
    <t>Actividades De Las Cooperativas Financieras Y Fondos De Empeados</t>
  </si>
  <si>
    <t>Actividades De Las Sociedades De Capitalizacion</t>
  </si>
  <si>
    <t>Actividades De Compra De Cartera (Factoring)</t>
  </si>
  <si>
    <t>Otros Tipos De Credito</t>
  </si>
  <si>
    <t>Otros Tipos De Intermediacion Financiera Ncp</t>
  </si>
  <si>
    <t>Planes De Seguros Generales</t>
  </si>
  <si>
    <t>Planes De Seguros De Vida</t>
  </si>
  <si>
    <t>Planes De Reaseguros</t>
  </si>
  <si>
    <t>Planes De Pensiones Y Cesantias</t>
  </si>
  <si>
    <t>Administracion De Mercados Financieros</t>
  </si>
  <si>
    <t>Actividades De Las Bolsas De Valores</t>
  </si>
  <si>
    <t>Actividades De Comisionistas Y Corredores De Valores</t>
  </si>
  <si>
    <t>Otras Actividades Relacionadas Con El Mercado De Valores</t>
  </si>
  <si>
    <t>Actividades De Las Casas De Cambio</t>
  </si>
  <si>
    <t>Actividades Auxiliares De La Administracion Financiera Ncp</t>
  </si>
  <si>
    <t>Actividades Auxiliares De Los Seguros</t>
  </si>
  <si>
    <t>Actividades Auxiliares De Los Fondos De Pensiones Y Cesantias</t>
  </si>
  <si>
    <t>Actividades Inmobiliarias Realizadas Con Bienes Propios O Arrendados</t>
  </si>
  <si>
    <t>Actividades Inmobiliarias A Cambio De Una Retribucion O Por Contrata</t>
  </si>
  <si>
    <t>Alquiler De Equipo De Transporte Terrestre</t>
  </si>
  <si>
    <t>Alquiler De Equipo De Transporte Acuatico</t>
  </si>
  <si>
    <t>Alquiler De Equipo De Transporte Aereo</t>
  </si>
  <si>
    <t>Alquiler De Maquinaria Y Equipo Agropecuario</t>
  </si>
  <si>
    <t>Alquiler De Maquinaria Y Equipo De Construccion Y De Ingenieria Civil</t>
  </si>
  <si>
    <t>Alquiler De Maquinaria Y Equipo De Oficina (Incluso Computadores)</t>
  </si>
  <si>
    <t>Alquiler De Otros Tipos De Maquinaria Y Equipo Ncp</t>
  </si>
  <si>
    <t>Alquiler De Efectos Personaels Y Enseres Domesticos Ncp</t>
  </si>
  <si>
    <t>Consultores En Equipo De Informatica</t>
  </si>
  <si>
    <t>Consultores En Programas De Informatica Y Suministro De Programas De Informatica</t>
  </si>
  <si>
    <t>Procesamiento De Datos</t>
  </si>
  <si>
    <t>Actividades Relacionadas Con Bases De Datos</t>
  </si>
  <si>
    <t>Mantenimiento Y Reparacion De Maquinaria De Oficina, Contabilidad E Informatica</t>
  </si>
  <si>
    <t>Otras Actividades De Informatica</t>
  </si>
  <si>
    <t>Investigacion Y Desarrollo Experimental En El Campo De Las Ciencias Naturales Y La Ingenieria</t>
  </si>
  <si>
    <t>Investigacion Y Desarrollo Experimental En El Campo De Las Ciencias Sociales Y La Humanidades</t>
  </si>
  <si>
    <t>Actividades Juridicas</t>
  </si>
  <si>
    <t>Actividades De Contabilidad, Teneduria De Libros Y Auditoria; Asesoramiento En Materia De Impuestos</t>
  </si>
  <si>
    <t>Investigacion De Mercados Y Realizacion De Encuestas De Opinion Publica</t>
  </si>
  <si>
    <t>EUR MM</t>
  </si>
  <si>
    <t>+ Depreciaciones / Amortizaciones</t>
  </si>
  <si>
    <t>+ Provisiones</t>
  </si>
  <si>
    <t xml:space="preserve">+/- Variación en Capital Circulante Operativo </t>
  </si>
  <si>
    <t>+ Capitalización (Recursos Frescos)</t>
  </si>
  <si>
    <t>+/- Préstamos al Grupo</t>
  </si>
  <si>
    <t>+/- Otros cambios en el patrimonio</t>
  </si>
  <si>
    <t>USD M</t>
  </si>
  <si>
    <t>USD MM</t>
  </si>
  <si>
    <t>Actividades De Asesoramiento Empresarial Y En Materia De Gestion</t>
  </si>
  <si>
    <t>Actividades De Arquitectura E Ingenieria Y Actividades Conexas De Asesoramiento Tecnico</t>
  </si>
  <si>
    <t>Ensayos Y Analisis Tecnicos</t>
  </si>
  <si>
    <t>Publicidad</t>
  </si>
  <si>
    <t>Obtencion Y Suministro De Personal</t>
  </si>
  <si>
    <t>Actividades De Investigacion Y Seguridad</t>
  </si>
  <si>
    <t>Actividades De Limpieza De Edificios</t>
  </si>
  <si>
    <t>Actividades De Fotografia</t>
  </si>
  <si>
    <t>Vtas Nal año anterior</t>
  </si>
  <si>
    <t>Vtas Ext año anterior</t>
  </si>
  <si>
    <t>Total vtas año anterior</t>
  </si>
  <si>
    <t>Actividades De Envase Y Empaque</t>
  </si>
  <si>
    <t>Otras Actividades Empresariales Ncp</t>
  </si>
  <si>
    <t>Actividades Legislativas De La Administracion Publica En General</t>
  </si>
  <si>
    <t>Actividades Ejecutivas De La Administracion Publica En General</t>
  </si>
  <si>
    <t>Regulacion De Las Actividades  De Organismos Que Prestan Servicios De Salud, Educativos, Culturales Y Otros Servicios Sociales, Excepto Servicios D</t>
  </si>
  <si>
    <t>Actividades Reguladoras Y Facilitadoras De La Actividad Economica</t>
  </si>
  <si>
    <t>Moneda</t>
  </si>
  <si>
    <t xml:space="preserve">COP </t>
  </si>
  <si>
    <t>M</t>
  </si>
  <si>
    <t>Años</t>
  </si>
  <si>
    <t>Periodo</t>
  </si>
  <si>
    <t>Capital</t>
  </si>
  <si>
    <t>% Amortización</t>
  </si>
  <si>
    <t>% Acumulado</t>
  </si>
  <si>
    <t>Interes / Saldo Insoluto</t>
  </si>
  <si>
    <t>Capital Resultante</t>
  </si>
  <si>
    <t>Tabla de Amortización</t>
  </si>
  <si>
    <t>Factor (VP)</t>
  </si>
  <si>
    <t>VP Flujo (i)</t>
  </si>
  <si>
    <t>VP Flujo (i*t)</t>
  </si>
  <si>
    <t>Calculo Duración</t>
  </si>
  <si>
    <t>Duración:</t>
  </si>
  <si>
    <t>Unidad</t>
  </si>
  <si>
    <t>Plazo Años</t>
  </si>
  <si>
    <t>Precio</t>
  </si>
  <si>
    <t>Monto</t>
  </si>
  <si>
    <t>Operación:</t>
  </si>
  <si>
    <t>2009 sin salvedades</t>
  </si>
  <si>
    <t>2009 con salvedades</t>
  </si>
  <si>
    <t>Juan Diego Jaramillo</t>
  </si>
  <si>
    <t>End Global a</t>
  </si>
  <si>
    <t xml:space="preserve">Aportaciones para Futuros Aumentos de Capital </t>
  </si>
  <si>
    <t>Reporte Calificación Cualitativa Santander:</t>
  </si>
  <si>
    <t>Actual</t>
  </si>
  <si>
    <t>Propuesta</t>
  </si>
  <si>
    <t>Observaciones</t>
  </si>
  <si>
    <t>OTRAS ESTIMACIONES</t>
  </si>
  <si>
    <t>Mes</t>
  </si>
  <si>
    <t>Utilización</t>
  </si>
  <si>
    <t>Porcentaje de Utilización del Cupo (Estimado):</t>
  </si>
  <si>
    <t>Provisión</t>
  </si>
  <si>
    <t>SITUACIÓN ACTUAL</t>
  </si>
  <si>
    <t>COD BCA:</t>
  </si>
  <si>
    <t>Cristian Eduardo Cuestas</t>
  </si>
  <si>
    <t>Sebastian Arturo Menendez</t>
  </si>
  <si>
    <t>Robinson Castellanos</t>
  </si>
  <si>
    <t>Mayra Elisa Tapia</t>
  </si>
  <si>
    <t>Gloria Cecilia Angel</t>
  </si>
  <si>
    <t>Juan Pablo Duque</t>
  </si>
  <si>
    <t>William Montaña</t>
  </si>
  <si>
    <t>Elsa Margarita Albear</t>
  </si>
  <si>
    <t>Jesus Adolfo Jaime</t>
  </si>
  <si>
    <t>Olga Lucia Silva</t>
  </si>
  <si>
    <t>Adriana Moncada</t>
  </si>
  <si>
    <t>Lee Cantillo</t>
  </si>
  <si>
    <t>Alexander Estupiñan</t>
  </si>
  <si>
    <t>Ana Maria Romero</t>
  </si>
  <si>
    <t>Luis Alejandro Lozano</t>
  </si>
  <si>
    <t>Nelcy Soto</t>
  </si>
  <si>
    <t>Ingresos</t>
  </si>
  <si>
    <t>CAGR</t>
  </si>
  <si>
    <t>CAJA</t>
  </si>
  <si>
    <t>DFN</t>
  </si>
  <si>
    <t>DFB</t>
  </si>
  <si>
    <t>Ratings Externos</t>
  </si>
  <si>
    <t>D&amp;P</t>
  </si>
  <si>
    <t>Fitch Ratings</t>
  </si>
  <si>
    <t>Market Cap (Cop MM)</t>
  </si>
  <si>
    <t>Producto/Dem/Mercado</t>
  </si>
  <si>
    <t>Accionista/Gerencia</t>
  </si>
  <si>
    <t>Rating Sin Apoyo</t>
  </si>
  <si>
    <t>Potencial Apoyo</t>
  </si>
  <si>
    <t>Rating Ent Apoyo</t>
  </si>
  <si>
    <t>Reporte CIFIN:</t>
  </si>
  <si>
    <t>Gtias</t>
  </si>
  <si>
    <t>Total Bancos</t>
  </si>
  <si>
    <t>Datos Relevantes</t>
  </si>
  <si>
    <t>Aaa</t>
  </si>
  <si>
    <t>Aa1</t>
  </si>
  <si>
    <t>Aa2</t>
  </si>
  <si>
    <t>Aa3</t>
  </si>
  <si>
    <t>A1</t>
  </si>
  <si>
    <t>A2/A3</t>
  </si>
  <si>
    <t>A3/Baa1</t>
  </si>
  <si>
    <t>Baa1/Baa2</t>
  </si>
  <si>
    <t>Baa2</t>
  </si>
  <si>
    <t>Baa3</t>
  </si>
  <si>
    <t>Ba1</t>
  </si>
  <si>
    <t>Ba2</t>
  </si>
  <si>
    <t>Ba3</t>
  </si>
  <si>
    <t>B1</t>
  </si>
  <si>
    <t>B1/B2</t>
  </si>
  <si>
    <t>B2</t>
  </si>
  <si>
    <t>B3</t>
  </si>
  <si>
    <t>Caa1</t>
  </si>
  <si>
    <t>AAA</t>
  </si>
  <si>
    <t>AA+</t>
  </si>
  <si>
    <t>AA</t>
  </si>
  <si>
    <t>AA-</t>
  </si>
  <si>
    <t>A+</t>
  </si>
  <si>
    <t>A/A-</t>
  </si>
  <si>
    <t>A-/BBB+</t>
  </si>
  <si>
    <t>BBB+/BBB</t>
  </si>
  <si>
    <t>BBB</t>
  </si>
  <si>
    <t>BBB-</t>
  </si>
  <si>
    <t>BB+</t>
  </si>
  <si>
    <t>BB</t>
  </si>
  <si>
    <t>BB-</t>
  </si>
  <si>
    <t>B+</t>
  </si>
  <si>
    <t>B+/B</t>
  </si>
  <si>
    <t>B</t>
  </si>
  <si>
    <t>B-</t>
  </si>
  <si>
    <t>CCC</t>
  </si>
  <si>
    <t>CC</t>
  </si>
  <si>
    <t>N/A</t>
  </si>
  <si>
    <t>Descripción</t>
  </si>
  <si>
    <t>Total COP</t>
  </si>
  <si>
    <t>Línea</t>
  </si>
  <si>
    <t>Part</t>
  </si>
  <si>
    <t>Nombre Gráfico</t>
  </si>
  <si>
    <t>RATING</t>
  </si>
  <si>
    <t>Datos Financieros Consolidados</t>
  </si>
  <si>
    <t>Margen EBITDA (%)</t>
  </si>
  <si>
    <t>Margen EBIT (%)</t>
  </si>
  <si>
    <t>Cash Flow Libre</t>
  </si>
  <si>
    <t>Fondos Propios</t>
  </si>
  <si>
    <t>Caja y AFL</t>
  </si>
  <si>
    <t>Activo total</t>
  </si>
  <si>
    <t>Deuda Financiera Neta/EBITDA</t>
  </si>
  <si>
    <t>Deuda Financiera Neta/CFL</t>
  </si>
  <si>
    <t>Aplancamiento</t>
  </si>
  <si>
    <t>Estado de Cash Flow</t>
  </si>
  <si>
    <t>+ / - Varaición CCO</t>
  </si>
  <si>
    <t>Cash Flow Operativo</t>
  </si>
  <si>
    <t>- CAPEX</t>
  </si>
  <si>
    <t>- Inversiones Financieras Netas</t>
  </si>
  <si>
    <t>Cash Flow antes de Financiación</t>
  </si>
  <si>
    <t>+ / - Variación neta Deuda L/P</t>
  </si>
  <si>
    <t>+ / - Varaición neta Deuda C/P</t>
  </si>
  <si>
    <t>- Pagos Financieros</t>
  </si>
  <si>
    <t>Cash Flow después de Financiación</t>
  </si>
  <si>
    <t>Caja al final del ejercicio</t>
  </si>
  <si>
    <t>Producto / Demanda / Mercado</t>
  </si>
  <si>
    <t>●</t>
  </si>
  <si>
    <t>Accionista / Gerencia</t>
  </si>
  <si>
    <t>Rentabilidad / Beneficio</t>
  </si>
  <si>
    <t>Posición de Riesgo</t>
  </si>
  <si>
    <t>Cupo Anterior</t>
  </si>
  <si>
    <t>Cupo Propuesto</t>
  </si>
  <si>
    <t>Variación</t>
  </si>
  <si>
    <t>Dispuesto</t>
  </si>
  <si>
    <t>% Utilización</t>
  </si>
  <si>
    <t>Vencimiento</t>
  </si>
  <si>
    <t>Margen</t>
  </si>
  <si>
    <t>Total Posición Grupo</t>
  </si>
  <si>
    <t>Comentarios a la Posición</t>
  </si>
  <si>
    <t>Ingresos Netos (COP MM)</t>
  </si>
  <si>
    <t>EBITDA (COP MM)</t>
  </si>
  <si>
    <t>C.Ordinaria/CIT/COMEX</t>
  </si>
  <si>
    <t>Mesa de Dinero</t>
  </si>
  <si>
    <t xml:space="preserve">             Negocio / Rentabilidad / CIFIN</t>
  </si>
  <si>
    <t>Rating</t>
  </si>
  <si>
    <t>Ingresos (COP MM)</t>
  </si>
  <si>
    <t>RORAC</t>
  </si>
  <si>
    <t>Cumplimiento 2010:</t>
  </si>
  <si>
    <t>Calif</t>
  </si>
  <si>
    <t>Margen con Riesgo</t>
  </si>
  <si>
    <t>Margen sin Riesgo</t>
  </si>
  <si>
    <t>Margen Total</t>
  </si>
  <si>
    <t>Con Compensación</t>
  </si>
  <si>
    <t>2010R</t>
  </si>
  <si>
    <t>2011E</t>
  </si>
  <si>
    <t>2010 sin salvedades</t>
  </si>
  <si>
    <t>2010 con salvedades</t>
  </si>
  <si>
    <t>Diego Fernando García</t>
  </si>
  <si>
    <t>PYMES</t>
  </si>
  <si>
    <t>Augusto Cabrera Bayona</t>
  </si>
  <si>
    <t>Diego Mauricio Bocanegra</t>
  </si>
  <si>
    <t>Paola Alejandra Cepeda</t>
  </si>
  <si>
    <t>Adriana Patricia Castro</t>
  </si>
  <si>
    <t>Claudia Rocio Peña</t>
  </si>
  <si>
    <t>Luz Stela Gil Cortes</t>
  </si>
  <si>
    <t>Jorge Andres Delgado</t>
  </si>
  <si>
    <t>Cumplimiento</t>
  </si>
  <si>
    <t>CRECIMIENTO VENTAS</t>
  </si>
  <si>
    <t>EBITDA / VENTAS</t>
  </si>
  <si>
    <t>EBITDA / INTERESES</t>
  </si>
  <si>
    <t>APALANC. SIN VAL</t>
  </si>
  <si>
    <t>DFB / VENTAS</t>
  </si>
  <si>
    <t>ROT. INVENTARIO</t>
  </si>
  <si>
    <t>ROT. CARTERA</t>
  </si>
  <si>
    <t>ROT. PROVEEDORES</t>
  </si>
  <si>
    <t xml:space="preserve">Crecimiento </t>
  </si>
  <si>
    <t>2011R</t>
  </si>
  <si>
    <t>2012E</t>
  </si>
  <si>
    <t>Andres Fernando Gomez</t>
  </si>
  <si>
    <t>Miguel Uribe Rusca</t>
  </si>
  <si>
    <t>Miguel Angel Uribe</t>
  </si>
  <si>
    <t>2011 sin salvedades</t>
  </si>
  <si>
    <t>2011 con salvedades</t>
  </si>
  <si>
    <t>Guillermo Alberto Ariza</t>
  </si>
  <si>
    <t>PROYECCCIONES CLIENTE</t>
  </si>
  <si>
    <t>PROYECCIONES BANCO</t>
  </si>
  <si>
    <t>VARIABLES MACROECONÓMICAS</t>
  </si>
  <si>
    <t>Enjugue de pérdidas</t>
  </si>
  <si>
    <t>Amortización de diferidos del Periodo</t>
  </si>
  <si>
    <t>Sin Compensación</t>
  </si>
  <si>
    <t>Descripción de la Empresa</t>
  </si>
  <si>
    <t>xxxx</t>
  </si>
  <si>
    <t>FICHA REVISIÓN F.E.V.E - ADMISIÓN DE RIESGOS</t>
  </si>
  <si>
    <t>RATING ANTERIOR EMPRESA:</t>
  </si>
  <si>
    <t>FECHA RATING:</t>
  </si>
  <si>
    <t>RATING ACTUAL:</t>
  </si>
  <si>
    <t>FECHA INGRESO STATUS:</t>
  </si>
  <si>
    <t>STATUS ANTERIOR:</t>
  </si>
  <si>
    <t>STATUS ACTUAL:</t>
  </si>
  <si>
    <t>A</t>
  </si>
  <si>
    <t>RESOLUCIÓN COMITÉ DE SEGUIMIENTO:</t>
  </si>
  <si>
    <t>COMENTARIOS INFORMACIÓN GENERAL DEL CLIENTE</t>
  </si>
  <si>
    <t>OPINIÓN CREDITICIA - PLANES DE ACCIÓN</t>
  </si>
  <si>
    <t>COMENTARIOS CON RELACIÓN A GARANTÍAS</t>
  </si>
  <si>
    <t>Servicio de deuda</t>
  </si>
  <si>
    <t>Ebitda / servicio de deuda</t>
  </si>
  <si>
    <t>Demanda / Mercado</t>
  </si>
  <si>
    <t>Decreciente y dependiente del ciclo económico</t>
  </si>
  <si>
    <t>Estancada y dependiente del ciclo económico</t>
  </si>
  <si>
    <t>Creciendo y dependiente del ciclo económico</t>
  </si>
  <si>
    <t>Creciendo fuertemente y marginalmente dependiente del ciclo</t>
  </si>
  <si>
    <t>Productos Sustitutivos</t>
  </si>
  <si>
    <t>Fuerte amenaza de productos sustitutivos</t>
  </si>
  <si>
    <t>Competencia moderada</t>
  </si>
  <si>
    <t>Sufriendo la competencia</t>
  </si>
  <si>
    <t>Sustitutivos poco relevantes</t>
  </si>
  <si>
    <t>Barreras</t>
  </si>
  <si>
    <t>De entrada altas y/o de salidas bajas</t>
  </si>
  <si>
    <t>De entrada escasas y/o de salida elevadas</t>
  </si>
  <si>
    <t>De entrada inexistentes y/o las de salidas muy elevadas</t>
  </si>
  <si>
    <t>De entrada muy altas y/o salidas muy bajas</t>
  </si>
  <si>
    <t>Rivalidad</t>
  </si>
  <si>
    <t>Apenas perceptible y/o reduciendo su número</t>
  </si>
  <si>
    <t>Es escasa y/o disminuye su número</t>
  </si>
  <si>
    <t>Fuerte y/o se incrementa el número de competidores</t>
  </si>
  <si>
    <t>Muy fuerte</t>
  </si>
  <si>
    <t>Márgenes (tendencia)</t>
  </si>
  <si>
    <t>Estables, con poco riesgo de empeoramiento</t>
  </si>
  <si>
    <t>Márgenes empeorando significativamente</t>
  </si>
  <si>
    <t>Márgenes con riesgo de empeorar significativamente</t>
  </si>
  <si>
    <t>Sólidos, tendencia creciente</t>
  </si>
  <si>
    <t>Regulación/Tecnología</t>
  </si>
  <si>
    <t>Cambios constantes</t>
  </si>
  <si>
    <t>Cambios muy escasos</t>
  </si>
  <si>
    <t>Cambios progresivos y suaves</t>
  </si>
  <si>
    <t>Cambios muy significativos y súbitos</t>
  </si>
  <si>
    <t>Rating Automático</t>
  </si>
  <si>
    <t>Rating Manual</t>
  </si>
  <si>
    <t>Ponderación sobre el total</t>
  </si>
  <si>
    <t>Entorno competitivo</t>
  </si>
  <si>
    <t>Posición relativa de la empresa</t>
  </si>
  <si>
    <t>Demanda</t>
  </si>
  <si>
    <t>Ingresos y cartera de pedidos creciendo</t>
  </si>
  <si>
    <t>Ingresos y cartera de pedidos disminuyendo</t>
  </si>
  <si>
    <t>Ingresos y pedidos crecen notablemente</t>
  </si>
  <si>
    <t>Ingresos y pedidos decreciendo fuertemente</t>
  </si>
  <si>
    <t>Escasa y/o descendiendo fuertemente</t>
  </si>
  <si>
    <t>Líder en el mercado y su cuota crece</t>
  </si>
  <si>
    <t>Poco significativa y/o decreciendo</t>
  </si>
  <si>
    <t>Significativa y/o creciendo</t>
  </si>
  <si>
    <t>Cuota de mercado</t>
  </si>
  <si>
    <t>Ventajas competitivas</t>
  </si>
  <si>
    <t>Muy significativas</t>
  </si>
  <si>
    <t>No tiene ventajas respecto a competidores</t>
  </si>
  <si>
    <t>Poco significativas</t>
  </si>
  <si>
    <t>Significativas</t>
  </si>
  <si>
    <t>Clientes</t>
  </si>
  <si>
    <t>Diversificación geográfica</t>
  </si>
  <si>
    <t>Amplio abanico de clientes y capacidad para repercutir costes</t>
  </si>
  <si>
    <t>Diversificación y alta capacidad para repercutir incremento costes</t>
  </si>
  <si>
    <t>Fuerte dependencia y no puede repercutir incremento costes</t>
  </si>
  <si>
    <t>Pocos clientes y casi no puede repercutir incremento costes</t>
  </si>
  <si>
    <t>Amplio número de proveedores</t>
  </si>
  <si>
    <t>Fuerte dependencia</t>
  </si>
  <si>
    <t>Número limitado de proveedores</t>
  </si>
  <si>
    <t>Poca concentración de proveedores</t>
  </si>
  <si>
    <t>Concentración en pocos países con "riesgo país" medio/alto</t>
  </si>
  <si>
    <t>Presencia en un único país con "riesgo país" alto</t>
  </si>
  <si>
    <t>Presencia significativa en al menos 5 países</t>
  </si>
  <si>
    <t>Presencia significativa en más de 5 países, mayoría con riesgo país bajo</t>
  </si>
  <si>
    <t>Subtotal</t>
  </si>
  <si>
    <t>1-2</t>
  </si>
  <si>
    <t>3-4</t>
  </si>
  <si>
    <t>5-7</t>
  </si>
  <si>
    <t>8-9,3</t>
  </si>
  <si>
    <t>RATING (RANGOS)</t>
  </si>
  <si>
    <t>Accionistas / Gerencia</t>
  </si>
  <si>
    <t>Recursos financieros, tecnología y gestión elevados</t>
  </si>
  <si>
    <t>Recursos financieros, tecnología y gestión escasos</t>
  </si>
  <si>
    <t>Recursos financieros, tecnología y gestión limitados</t>
  </si>
  <si>
    <t>Recursos financieros, tecnología y gestión muy elevados</t>
  </si>
  <si>
    <t>Apoyo accionistas</t>
  </si>
  <si>
    <t>Rating accionistas</t>
  </si>
  <si>
    <t>Accionista &lt; 3</t>
  </si>
  <si>
    <t>Accionista &lt; 5</t>
  </si>
  <si>
    <t>Accionista &gt; 5</t>
  </si>
  <si>
    <t>Accionista &gt; 7</t>
  </si>
  <si>
    <t>Experiencia</t>
  </si>
  <si>
    <t>Está acreditada en el sector</t>
  </si>
  <si>
    <t>Corta y poco exitosa</t>
  </si>
  <si>
    <t>Limitada</t>
  </si>
  <si>
    <t>Muy sólida y dilatada</t>
  </si>
  <si>
    <t>Control de gestión</t>
  </si>
  <si>
    <t>Sistemas de planificacíón desarrollados</t>
  </si>
  <si>
    <t>Sin sistemas de planificacíón estratégica</t>
  </si>
  <si>
    <t>Sistemas de planificacíón muy desarrollados</t>
  </si>
  <si>
    <t>Sistemas de planificacíón poco desarrollados</t>
  </si>
  <si>
    <t>Importancia estratégica</t>
  </si>
  <si>
    <t>Alta importancia estratégica de la filial</t>
  </si>
  <si>
    <t>Escasa importancia estratégica para el accionista</t>
  </si>
  <si>
    <t>Negocio incluido en la estrategia del grupo</t>
  </si>
  <si>
    <t>Nula importancia estratégica para el accionista</t>
  </si>
  <si>
    <t>Auditoría</t>
  </si>
  <si>
    <t>Cuentas no auditadas o salvedades graves</t>
  </si>
  <si>
    <t>Firma auditora no reconocida y/o salvedades</t>
  </si>
  <si>
    <t>Firma auditora reconocida</t>
  </si>
  <si>
    <t>Firma internacional (top tier) y auditoría sin salvedades</t>
  </si>
  <si>
    <t>Acceso al crédito</t>
  </si>
  <si>
    <t>Entidades / limites</t>
  </si>
  <si>
    <t>Utilización de límites</t>
  </si>
  <si>
    <t>Garantías en el sistema</t>
  </si>
  <si>
    <t>Fuentes de financiación / divisas</t>
  </si>
  <si>
    <t>Bancos reconocidos y límites adecuados</t>
  </si>
  <si>
    <t>Las entidades se disputan a la empresa y tiene límites elevados</t>
  </si>
  <si>
    <t>Trabaja con amplio número y muy escasos límites o un único banco</t>
  </si>
  <si>
    <t>Trabaja con un alto número y escasos límites</t>
  </si>
  <si>
    <t>Permite gestionar las oscilaciones de sus necesidades</t>
  </si>
  <si>
    <t>Porcentaje de utilización elevado</t>
  </si>
  <si>
    <t>Porcentaje de utilización muy elevado</t>
  </si>
  <si>
    <t>Sin ningún problema en la gestión de límites</t>
  </si>
  <si>
    <t>Acordes a las modalidades de riesgo</t>
  </si>
  <si>
    <t>La mayoría de sus riesgos con garantías adicionales</t>
  </si>
  <si>
    <t>No precisa de garantías adicionales</t>
  </si>
  <si>
    <t>Todos sus riesgos con garantías adicionales</t>
  </si>
  <si>
    <t>Acceso nulo al mercado de capitales y escasos límtes en el mercado bancario</t>
  </si>
  <si>
    <t>Amplio acceso a fuentes de financiación, optimizando el coste de financiación</t>
  </si>
  <si>
    <t>Diferentes fuentes de financiación (bancos y bolsa)</t>
  </si>
  <si>
    <t>Limitado acceso al mercado de capitales y mercado bancario</t>
  </si>
  <si>
    <t>Rentabilidad / beneficios</t>
  </si>
  <si>
    <t>Beneficios</t>
  </si>
  <si>
    <t>Volatilidad de resultados</t>
  </si>
  <si>
    <t>Origen rentabilidad</t>
  </si>
  <si>
    <t>Beneficios significativos, superiores a sus comparables</t>
  </si>
  <si>
    <t>Pequeñas pérdidas</t>
  </si>
  <si>
    <t>Pérdidas significativas, sin indicios de mejora</t>
  </si>
  <si>
    <t>Resultados aceptables, en línea con sus comparables</t>
  </si>
  <si>
    <t>Elevada volatilidad</t>
  </si>
  <si>
    <t>Historia sólida de resultados positivas y crecientes</t>
  </si>
  <si>
    <t>Esencialemente de resultados operativos</t>
  </si>
  <si>
    <t>Operaciones (recurrentes)</t>
  </si>
  <si>
    <t>Rentabilidad operativa negativa</t>
  </si>
  <si>
    <t>Presencia relevante de resultados extraordinarios</t>
  </si>
  <si>
    <t>Poca volatilidad en los resultados; historia de rdos positivos</t>
  </si>
  <si>
    <t>Muy elevada volatilidad</t>
  </si>
  <si>
    <t>Generación de recursos</t>
  </si>
  <si>
    <t>Estabilidad / Autofinanciación</t>
  </si>
  <si>
    <t>Exceso de cash flow libre</t>
  </si>
  <si>
    <t>FCL / Deuda financiera</t>
  </si>
  <si>
    <t>Insuficiente</t>
  </si>
  <si>
    <t>Muy baja o negativa</t>
  </si>
  <si>
    <t>Muy sólida</t>
  </si>
  <si>
    <t>Razonable</t>
  </si>
  <si>
    <t>Constantes / sustanciales excesos de CF</t>
  </si>
  <si>
    <t>Generación adecuada</t>
  </si>
  <si>
    <t>Inexistentes</t>
  </si>
  <si>
    <t>Señales de escasez</t>
  </si>
  <si>
    <t>Negativo</t>
  </si>
  <si>
    <t>0% - 20%</t>
  </si>
  <si>
    <t>21% - 60%</t>
  </si>
  <si>
    <t>61% - 150%</t>
  </si>
  <si>
    <t>FCO / Intereses</t>
  </si>
  <si>
    <t>Supervivencia / crisis</t>
  </si>
  <si>
    <t>Calidad Activos</t>
  </si>
  <si>
    <t>Deuda Fin / (Deuda Fin + Recursos Prop)</t>
  </si>
  <si>
    <t>Cobertura Tipo de Cambio</t>
  </si>
  <si>
    <t>Claramente afectada en época de crisis</t>
  </si>
  <si>
    <t>Presenta muchas dificultades en época de crisis</t>
  </si>
  <si>
    <t>Puede verse afectada en época de crisis</t>
  </si>
  <si>
    <t>Sólida, no se ve afectada por crisis</t>
  </si>
  <si>
    <t>Calidad de activos buenas / excelente</t>
  </si>
  <si>
    <t>Calidad de activos media</t>
  </si>
  <si>
    <t>Elevada proporción de intangibles</t>
  </si>
  <si>
    <t>Inferior a la media</t>
  </si>
  <si>
    <t>Menor al 30%</t>
  </si>
  <si>
    <t>Mayor al 70%</t>
  </si>
  <si>
    <t>Entre el 51% - 70%</t>
  </si>
  <si>
    <t>Entre el 30% - 50%</t>
  </si>
  <si>
    <t>Act y Pas en la misma moneda o con coberturas que eliminan el riesgo</t>
  </si>
  <si>
    <t>Descuadre moderado entre Act y Pas de la misma moneda, con volatilidad moderada</t>
  </si>
  <si>
    <t>Descuadre significativo entre Act y Pas de la misma moneda, con volatilidad alta</t>
  </si>
  <si>
    <t>Mayoría de Act y Pas en la misma moneda o con coberturas</t>
  </si>
  <si>
    <t>RATING AUTOMÁTICO</t>
  </si>
  <si>
    <t>RATING MANUAL</t>
  </si>
  <si>
    <t>Margen Operacional</t>
  </si>
  <si>
    <t>Cálculos de Apoyo</t>
  </si>
  <si>
    <t>Margen Ebitda</t>
  </si>
  <si>
    <t>Deuda Fin / Ut Neta</t>
  </si>
  <si>
    <t>Cobertura intereses bruta</t>
  </si>
  <si>
    <t>Autonomia financiera</t>
  </si>
  <si>
    <t>FCL/Deuda financiera</t>
  </si>
  <si>
    <t>FCL</t>
  </si>
  <si>
    <t>Ing y gto no op / UAI</t>
  </si>
  <si>
    <t>Deuda Fin / Deuda Fin + Rec Pr</t>
  </si>
  <si>
    <t>Fecha de corte CIFIN:</t>
  </si>
  <si>
    <t>EVOLUCIÓN DEL RIESGO</t>
  </si>
  <si>
    <r>
      <rPr>
        <b/>
        <sz val="9"/>
        <rFont val="Tahoma"/>
        <family val="2"/>
      </rPr>
      <t xml:space="preserve">Entorno Competitivo: </t>
    </r>
    <r>
      <rPr>
        <sz val="9"/>
        <rFont val="Tahoma"/>
        <family val="2"/>
      </rPr>
      <t xml:space="preserve">características, situación actual y perspectivas del sector y país donde la empresa desarrolla sus operaciones. Son aspectos relevantes para este análisis:
 Barreras de entrada
 Intensidad y características de la competencia: precios, márgenes, servicios, diferenciación, calidades, etc.
 Nivel de concentración
 Dependencia del ciclo económico
 Potencial de crecimiento
 Riesgo político
 Regulación del sector
 Dependencia tecnológica
 Riesgo medioambiental
</t>
    </r>
  </si>
  <si>
    <r>
      <rPr>
        <b/>
        <sz val="9"/>
        <rFont val="Tahoma"/>
        <family val="2"/>
      </rPr>
      <t>Posición relativa de la empresa:</t>
    </r>
    <r>
      <rPr>
        <sz val="9"/>
        <rFont val="Tahoma"/>
        <family val="2"/>
      </rPr>
      <t xml:space="preserve"> posición de la compañía dentro del sector y sus principales ventajas competitivas. Son aspectos relevantes para este análisis:
 Cuota de mercado; capacidad para protegerla o incrementarla (innovación, lanzamiento de nuevos productos, cartera de pedidos, etc.).
 Posición de liderazgo
 Diferenciación respecto de la competencia: ventajas competitivas
 Clientes, proveedores y canales de distribución. Nivel de concentración y grado de dependencia
 Estructura de costes. Flexibilidad y eficiencia operativa frente a comparables
 Inversiones realizadas
</t>
    </r>
  </si>
  <si>
    <r>
      <rPr>
        <b/>
        <sz val="8"/>
        <rFont val="Tahoma"/>
        <family val="2"/>
      </rPr>
      <t xml:space="preserve">Accionistas: </t>
    </r>
    <r>
      <rPr>
        <sz val="8"/>
        <rFont val="Tahoma"/>
        <family val="2"/>
      </rPr>
      <t xml:space="preserve">Son aspectos relevantes para el análisis de esta dimensión:
 Voluntad y capacidad de los accionistas de dar soporte a la empresa (tanto a nivel financiero, como comercial o tecnológico)
 Tipo de propiedad del capital (cotizada, empresa familiar, etc.). Las empresas cotizadas presentan un mayor grado de transparencia y mejores controles de gestión
 Sujeción a Códigos de Buen Gobierno, Sarbanes-Oxley, etc. deberían bonificar la valoración
 Quiénes son los accionistas o propietarios de la empresa. Figuras singulares
 Estabilidad del accionariado
 Grado de injerencia en la labor de los directivos
</t>
    </r>
    <r>
      <rPr>
        <b/>
        <sz val="8"/>
        <rFont val="Tahoma"/>
        <family val="2"/>
      </rPr>
      <t>Gerencia</t>
    </r>
    <r>
      <rPr>
        <sz val="8"/>
        <rFont val="Tahoma"/>
        <family val="2"/>
      </rPr>
      <t xml:space="preserve">: Son aspectos relevantes para el análisis de esta dimensión:
 Valorar su capacidad para gestionar la compañía
 Propensión / aversión al riesgo
 Experiencia del equipo de dirección tanto en la empresa como en el sector
 Vinculación con la empresa
 Credibilidad de los gestores
 Definición de planes estratégicos. Analizar el grado de cumplimiento de los planes anunciados y sus resultados
 Dependencia de una sola persona, especialmente si está próximo a retirarse y no existe un plan claro de sustitución
</t>
    </r>
  </si>
  <si>
    <r>
      <rPr>
        <b/>
        <sz val="9"/>
        <rFont val="Tahoma"/>
        <family val="2"/>
      </rPr>
      <t>Área de acceso al crédito:</t>
    </r>
    <r>
      <rPr>
        <sz val="9"/>
        <rFont val="Tahoma"/>
        <family val="2"/>
      </rPr>
      <t xml:space="preserve">
 Número de entidades financieras con las que trabaja
 Líneas concedidas por otros bancos. Límites comprometidos y grado de utilización de las mismas
 Análisis de la suficiencia de las líneas para mantener su nivel de inversión operativo y de inversiones
 Estructura de la deuda. Nivel de endeudamiento a corto y largo plazo y moneda de denominación de la deuda. Posiciones fuera de balance
 Perfil de vencimientos
 Garantías adicionales de la deuda, cláusulas de cross-default
 Diversificación de mercados financieros a los que tiene acceso
</t>
    </r>
  </si>
  <si>
    <t>* En el caso de contar recurrentemente con niveles significativos de cash, se debe tomar la Deuda Financiera Neta en los ratios en lugar de Deuda Financiera</t>
  </si>
  <si>
    <t xml:space="preserve">** Inclusión, en su caso, de deuda off-balance-sheet </t>
  </si>
  <si>
    <t>*** El nivel absoluto es importante, pero lo son también las tendencias que puedan deducirse</t>
  </si>
  <si>
    <t>RORAC HIST.</t>
  </si>
  <si>
    <t>RORAC PRY</t>
  </si>
  <si>
    <t>Histórico sin Compensaciones</t>
  </si>
  <si>
    <t>Histórico con Compensaciones</t>
  </si>
  <si>
    <t>Proyectado sin Compensación</t>
  </si>
  <si>
    <t>Proyectado con Compensación</t>
  </si>
  <si>
    <t>HISTORIAL DEL CLIENTE</t>
  </si>
  <si>
    <t>Status</t>
  </si>
  <si>
    <t>Razón del cambio</t>
  </si>
  <si>
    <t>Comité</t>
  </si>
  <si>
    <t>Andrés Felipe Buelvas Porto</t>
  </si>
  <si>
    <t>Ciclo Operativo (días)</t>
  </si>
  <si>
    <t>DFN / Ebitda</t>
  </si>
  <si>
    <t>Endeudamiento al</t>
  </si>
  <si>
    <t>36 Meses</t>
  </si>
  <si>
    <t>C ORDINARIA</t>
  </si>
  <si>
    <t>COMEX</t>
  </si>
  <si>
    <t>MULTIMODAL</t>
  </si>
  <si>
    <t xml:space="preserve">Crecimiento Gasto de Administración </t>
  </si>
  <si>
    <t>Crecimiento Gasto de Ventas</t>
  </si>
  <si>
    <t>Crecimiento Gastos de administración</t>
  </si>
  <si>
    <t>saldo</t>
  </si>
  <si>
    <t>interes</t>
  </si>
  <si>
    <t>Saldo</t>
  </si>
  <si>
    <t>Interes a pagar</t>
  </si>
  <si>
    <t>Años amort</t>
  </si>
  <si>
    <t>Saldo LP</t>
  </si>
  <si>
    <t>Ingresos No Operacionales / Ventas</t>
  </si>
  <si>
    <t>Gastos No Operacionales / Ventas</t>
  </si>
  <si>
    <t>Ing no op / Ventas</t>
  </si>
  <si>
    <t>Gastos no op / Ventas</t>
  </si>
  <si>
    <t>PROYECCIONES INDICADORES DE ACTIVIDAD</t>
  </si>
  <si>
    <t>Rotación de CxC</t>
  </si>
  <si>
    <t>Rotación de CxC grupo</t>
  </si>
  <si>
    <t>Rotación de CxP</t>
  </si>
  <si>
    <t>Rotación de inventarios</t>
  </si>
  <si>
    <t>Anticipo de impuestos y contribuciones</t>
  </si>
  <si>
    <t>Anticipos y avances</t>
  </si>
  <si>
    <t>Otras deudores</t>
  </si>
  <si>
    <t>Gastos pagados por anticipado</t>
  </si>
  <si>
    <t>Cuentas por cobrar grupo</t>
  </si>
  <si>
    <t>Rotación de Acreedores</t>
  </si>
  <si>
    <t>Rotación de impuestos</t>
  </si>
  <si>
    <t>Rotación de Obligaciones laborales</t>
  </si>
  <si>
    <t>Ingresos financieros</t>
  </si>
  <si>
    <t>CUENTA</t>
  </si>
  <si>
    <t>Rotación de disponible</t>
  </si>
  <si>
    <t>VARIABLE</t>
  </si>
  <si>
    <t>AUTORIZACION ANTERIOR</t>
  </si>
  <si>
    <t>RESOLUCION COMITÉ REGIONAL DE FECHA :</t>
  </si>
  <si>
    <t>Rot clientes</t>
  </si>
  <si>
    <t>Rot proveed</t>
  </si>
  <si>
    <t>Rot Inv</t>
  </si>
  <si>
    <t>Ciclo Operativo</t>
  </si>
  <si>
    <t>INDUSTRIA</t>
  </si>
  <si>
    <t>Requerimiento de Capital de Trabajo (USD)</t>
  </si>
  <si>
    <t>Endeudamiento Financiero (USD)</t>
  </si>
  <si>
    <t>Endeudamiento Financiero Neto (USD)</t>
  </si>
  <si>
    <t>Patrimonio (USD)</t>
  </si>
  <si>
    <t>Datos relevantes (USD MM)</t>
  </si>
  <si>
    <t xml:space="preserve">          RIESGO TOTAL EN BANCOS (MM USD)</t>
  </si>
  <si>
    <t xml:space="preserve">      POSICION ACREEDORA en MM USD</t>
  </si>
  <si>
    <t>DATOS CONTABLES TITULAR  en MM USD</t>
  </si>
  <si>
    <t>TRM aprobación:</t>
  </si>
  <si>
    <t>Crecimiento Gastos de Ventas</t>
  </si>
  <si>
    <t>2016 y posteriores</t>
  </si>
  <si>
    <t>Deuda solicitada BSC</t>
  </si>
  <si>
    <t>Inversión en PPE</t>
  </si>
  <si>
    <t>Capital a pagar</t>
  </si>
  <si>
    <t>Saldo deuda</t>
  </si>
  <si>
    <t>Amortizaciones actuales</t>
  </si>
  <si>
    <t>+  Nueva deuda</t>
  </si>
  <si>
    <t>TOTAL AMORTIZADO</t>
  </si>
  <si>
    <t>FCO / Servicio de deuda</t>
  </si>
  <si>
    <t>FCL / Servicio de deuda</t>
  </si>
  <si>
    <t>FCO proyectado</t>
  </si>
  <si>
    <t>Intereses proyectados</t>
  </si>
  <si>
    <t>Servicio de deuda pry</t>
  </si>
  <si>
    <t>Amortización nueva deuda</t>
  </si>
  <si>
    <t>Variación Neta Deuda LP</t>
  </si>
  <si>
    <t>Interés</t>
  </si>
  <si>
    <t>FCO Proyectado</t>
  </si>
  <si>
    <t>En adelante</t>
  </si>
  <si>
    <t>PERFIL DE PAGO</t>
  </si>
  <si>
    <t>Prima en colocación de acciones</t>
  </si>
  <si>
    <t>(Todos los datos en COP MM)</t>
  </si>
  <si>
    <t>NORMAL</t>
  </si>
  <si>
    <t>DATOS CONTABLES TITULAR (COP MM)</t>
  </si>
  <si>
    <t>TOTAL RIESGO</t>
  </si>
  <si>
    <t xml:space="preserve">POSICION DEUDORA </t>
  </si>
  <si>
    <t>NOMBRE</t>
  </si>
  <si>
    <t>Concepto</t>
  </si>
  <si>
    <t>Vcto</t>
  </si>
  <si>
    <t>Amort.</t>
  </si>
  <si>
    <t>Tasa Prom.</t>
  </si>
  <si>
    <t>DFB / EBITDA</t>
  </si>
  <si>
    <t>CUPO ACTUAL GRUPO:</t>
  </si>
  <si>
    <r>
      <t>Nota:</t>
    </r>
    <r>
      <rPr>
        <sz val="9.5"/>
        <rFont val="Arial"/>
        <family val="2"/>
      </rPr>
      <t xml:space="preserve"> Línea Multimodal, que podra disponerse por SAN Panama. Desembolsos sujetos a limites legales de endeudamiento de Banco Santander Colombia.</t>
    </r>
  </si>
  <si>
    <t>INGRESOS</t>
  </si>
  <si>
    <t>Costo Neto / Ventas</t>
  </si>
  <si>
    <t>Variación Ingresos</t>
  </si>
  <si>
    <t>COSTOS</t>
  </si>
  <si>
    <t>Costo</t>
  </si>
  <si>
    <t>Gasto</t>
  </si>
  <si>
    <t>GASTOS</t>
  </si>
  <si>
    <t>Gasto Neto / Ventas</t>
  </si>
  <si>
    <t>DEPRECIACION</t>
  </si>
  <si>
    <t>AMORTIZACION</t>
  </si>
  <si>
    <t>Inventario</t>
  </si>
  <si>
    <t>Capital de Trabajo (días)</t>
  </si>
  <si>
    <t>Capital de Trabajo ($)</t>
  </si>
  <si>
    <t>Total Costos</t>
  </si>
  <si>
    <t>Total Gastos</t>
  </si>
  <si>
    <t>Distribución Depreciación</t>
  </si>
  <si>
    <t>Distribución Amortización</t>
  </si>
  <si>
    <t>INDICADORES</t>
  </si>
  <si>
    <t>Capex / Adquisiciones</t>
  </si>
  <si>
    <t>Saldo Inicial</t>
  </si>
  <si>
    <t>Desembolsos</t>
  </si>
  <si>
    <t>Amortizaciones</t>
  </si>
  <si>
    <t>Saldo Final</t>
  </si>
  <si>
    <t>Amortización Deuda (Bancos)</t>
  </si>
  <si>
    <t>Amortización Deuda (Bonos)</t>
  </si>
  <si>
    <r>
      <t xml:space="preserve">Desembolsos (signo </t>
    </r>
    <r>
      <rPr>
        <b/>
        <sz val="8.5"/>
        <color rgb="FFFF0000"/>
        <rFont val="Arial"/>
        <family val="2"/>
      </rPr>
      <t>+</t>
    </r>
    <r>
      <rPr>
        <sz val="8.5"/>
        <rFont val="Arial"/>
        <family val="2"/>
      </rPr>
      <t>)</t>
    </r>
  </si>
  <si>
    <r>
      <t xml:space="preserve">Amortizaciones (signo </t>
    </r>
    <r>
      <rPr>
        <b/>
        <sz val="8.5"/>
        <color rgb="FFFF0000"/>
        <rFont val="Arial"/>
        <family val="2"/>
      </rPr>
      <t>-</t>
    </r>
    <r>
      <rPr>
        <sz val="8.5"/>
        <rFont val="Arial"/>
        <family val="2"/>
      </rPr>
      <t>)</t>
    </r>
  </si>
  <si>
    <t>Colombia</t>
  </si>
  <si>
    <t>DFB/EBITDA</t>
  </si>
  <si>
    <t>DTF E.A. Prom. Año</t>
  </si>
  <si>
    <t>DTF E.A. (cierre año)</t>
  </si>
  <si>
    <t>% Lay-out</t>
  </si>
  <si>
    <t>Utilidad Neta Periodo Anterior</t>
  </si>
  <si>
    <t>Valor Dividendos</t>
  </si>
  <si>
    <t>Gasto Amortización</t>
  </si>
  <si>
    <t>ESCENARIOS</t>
  </si>
  <si>
    <t>CLIENTE</t>
  </si>
  <si>
    <t>MEDIO</t>
  </si>
  <si>
    <t>STRESS</t>
  </si>
  <si>
    <t>UTILIDAD NETA PER ANT.</t>
  </si>
  <si>
    <t>AFijo</t>
  </si>
  <si>
    <t>Diferidos</t>
  </si>
  <si>
    <t>Adquisiciones</t>
  </si>
  <si>
    <t>Costos</t>
  </si>
  <si>
    <t>Gastos</t>
  </si>
  <si>
    <t>AFIJO Bruto</t>
  </si>
  <si>
    <t>% depreciación año</t>
  </si>
  <si>
    <t>Total Depreciación</t>
  </si>
  <si>
    <t>Intangible Bruto</t>
  </si>
  <si>
    <t>Gasto Amort. Año</t>
  </si>
  <si>
    <t>% Amort. Año</t>
  </si>
  <si>
    <t>Afijo</t>
  </si>
  <si>
    <t>Diferidos / Intangibles</t>
  </si>
  <si>
    <t>S_ENT_CORP_SAN3_INDSEC</t>
  </si>
  <si>
    <t>P1</t>
  </si>
  <si>
    <t>Company</t>
  </si>
  <si>
    <t>ACT_TAFLIQ</t>
  </si>
  <si>
    <t>ACT_CCOBRAR</t>
  </si>
  <si>
    <t>ACT_EXISTEN</t>
  </si>
  <si>
    <t>ACT_TAFIJO</t>
  </si>
  <si>
    <t>PAS_TECORTO</t>
  </si>
  <si>
    <t>PAS_RPROPIOS</t>
  </si>
  <si>
    <t>PYG_VNETAS</t>
  </si>
  <si>
    <t>PYG_REXPLOT</t>
  </si>
  <si>
    <t>PYG_GFINAN</t>
  </si>
  <si>
    <t>PYG_RNETO</t>
  </si>
  <si>
    <t>RATB_DFBRUTA</t>
  </si>
  <si>
    <t>RATB_DFN</t>
  </si>
  <si>
    <t>RATB_APALANC</t>
  </si>
  <si>
    <t>CFLW_CFOPER</t>
  </si>
  <si>
    <t>MEANWGI</t>
  </si>
  <si>
    <t>GDPPERCAPITA</t>
  </si>
  <si>
    <t>PYG_REXPLOT (oldest until 3 years)</t>
  </si>
  <si>
    <t>RATB_DFBRUTA (oldest until 3 years)</t>
  </si>
  <si>
    <t>RCF03_old</t>
  </si>
  <si>
    <t>Num_años</t>
  </si>
  <si>
    <t>RCF03</t>
  </si>
  <si>
    <t>RCF05</t>
  </si>
  <si>
    <t>RN03</t>
  </si>
  <si>
    <t>RR01</t>
  </si>
  <si>
    <t>RR03</t>
  </si>
  <si>
    <t>RS03</t>
  </si>
  <si>
    <t>RS04</t>
  </si>
  <si>
    <t>RL02</t>
  </si>
  <si>
    <t>RSC04</t>
  </si>
  <si>
    <t>EV01</t>
  </si>
  <si>
    <t>EDF</t>
  </si>
  <si>
    <t>Bucket Cpty</t>
  </si>
  <si>
    <t>Mapped Bucket</t>
  </si>
  <si>
    <t>Max Buckets</t>
  </si>
  <si>
    <t>Bucket Grafico</t>
  </si>
  <si>
    <t>Max quality</t>
  </si>
  <si>
    <t>Qualitative</t>
  </si>
  <si>
    <t>Bucket</t>
  </si>
  <si>
    <t>Holding</t>
  </si>
  <si>
    <t>External Support</t>
  </si>
  <si>
    <t>Qualitative area</t>
  </si>
  <si>
    <t>Score</t>
  </si>
  <si>
    <t>Max bucket</t>
  </si>
  <si>
    <t>BMG Quality</t>
  </si>
  <si>
    <t>Aguas</t>
  </si>
  <si>
    <t>P2</t>
  </si>
  <si>
    <t>IRIS Code</t>
  </si>
  <si>
    <t>Shareholders / Management</t>
  </si>
  <si>
    <t>Alimentación</t>
  </si>
  <si>
    <t>P3</t>
  </si>
  <si>
    <t>Company name</t>
  </si>
  <si>
    <t>Product / Demand / Market</t>
  </si>
  <si>
    <t>Automoción</t>
  </si>
  <si>
    <t>P4</t>
  </si>
  <si>
    <t>Access To Credit</t>
  </si>
  <si>
    <t>Bebidas y Tabacos</t>
  </si>
  <si>
    <t>FINANCIAL INFORMATION</t>
  </si>
  <si>
    <t>Profitability</t>
  </si>
  <si>
    <t>Construcción / Inmobiliario</t>
  </si>
  <si>
    <t>Description</t>
  </si>
  <si>
    <t>Field Name</t>
  </si>
  <si>
    <t>Value (MM EUR)</t>
  </si>
  <si>
    <t>Example</t>
  </si>
  <si>
    <t>Cashflow Generation</t>
  </si>
  <si>
    <t>Consumo</t>
  </si>
  <si>
    <t>Country ISO code</t>
  </si>
  <si>
    <t>ES</t>
  </si>
  <si>
    <t>US</t>
  </si>
  <si>
    <t>Solvency</t>
  </si>
  <si>
    <t>Distribución</t>
  </si>
  <si>
    <t>BMG priority</t>
  </si>
  <si>
    <t>Electricidad</t>
  </si>
  <si>
    <t>Economic sector</t>
  </si>
  <si>
    <t>Materiales de Construcción</t>
  </si>
  <si>
    <t>Energías renovables</t>
  </si>
  <si>
    <t>Cash and easily liquidable assets (MM EUR)</t>
  </si>
  <si>
    <t>ENT_CORP_ACT_TAFLIQ</t>
  </si>
  <si>
    <t>Farmacéutico</t>
  </si>
  <si>
    <t>Accounts receivable (MM EUR)</t>
  </si>
  <si>
    <t>ENT_CORP_ACT_CCOBRAR</t>
  </si>
  <si>
    <t>Gas</t>
  </si>
  <si>
    <t>Stocks of goods (MM EUR)</t>
  </si>
  <si>
    <t>ENT_CORP_ACT_EXISTEN</t>
  </si>
  <si>
    <t>Hoteles, Ocio y Viajes</t>
  </si>
  <si>
    <t>Fixed assets (MM EUR)</t>
  </si>
  <si>
    <t>ENT_CORP_ACT_TAFIJO</t>
  </si>
  <si>
    <t>Industria Aeroespacial</t>
  </si>
  <si>
    <t>Short-term liabilities (MM EUR)</t>
  </si>
  <si>
    <t>ENT_CORP_PAS_TECORTO</t>
  </si>
  <si>
    <t>Infraestructuras</t>
  </si>
  <si>
    <t>Total equity (MM EUR)</t>
  </si>
  <si>
    <t>ENT_CORP_PAS_RPROPIOS</t>
  </si>
  <si>
    <t>Ingeniería</t>
  </si>
  <si>
    <t>Net sales (MM EUR)</t>
  </si>
  <si>
    <t>ENT_CORP_PYG_VNETAS</t>
  </si>
  <si>
    <t>Maquinaria pesada y bienes de equipo</t>
  </si>
  <si>
    <t>EBITDA (MM EUR)</t>
  </si>
  <si>
    <t>ENT_CORP_PYG_REXPLOT</t>
  </si>
  <si>
    <t>Material eléctrico y electrónico</t>
  </si>
  <si>
    <t>Financial expenses (MM EUR)</t>
  </si>
  <si>
    <t>ENT_CORP_PYG_GFINAN</t>
  </si>
  <si>
    <t>Net profit (MM EUR)</t>
  </si>
  <si>
    <t>ENT_CORP_PYG_RNETO</t>
  </si>
  <si>
    <t>Medios</t>
  </si>
  <si>
    <t>Gross financial debt (MM EUR)</t>
  </si>
  <si>
    <t>ENT_CORP_RATB_DFBRUTA</t>
  </si>
  <si>
    <t>No disponible</t>
  </si>
  <si>
    <t>Net financial debt (MM EUR)</t>
  </si>
  <si>
    <t>ENT_CORP_RATB_DFN</t>
  </si>
  <si>
    <t>Packaging</t>
  </si>
  <si>
    <t>Leverage ratio</t>
  </si>
  <si>
    <t>ENT_CORP_RATB_APALANC</t>
  </si>
  <si>
    <t>Papel y Forestal</t>
  </si>
  <si>
    <t>Operating cash-flow (MM EUR)</t>
  </si>
  <si>
    <t>ENT_CORP_CFLW_CFOPER</t>
  </si>
  <si>
    <t>Patrimoniales</t>
  </si>
  <si>
    <t>EBITDA (oldest FFEE last 3 years) (MM EUR)</t>
  </si>
  <si>
    <t>Petróleo</t>
  </si>
  <si>
    <t>Gross financial debt (oldest FFEE last 3 years) (MM EUR)</t>
  </si>
  <si>
    <t>Químico</t>
  </si>
  <si>
    <t xml:space="preserve">Year of the financial statements </t>
  </si>
  <si>
    <t>Siderometalúrgico y Minería</t>
  </si>
  <si>
    <t>Year of the oldest financial statements (oldest in the last 3 years)</t>
  </si>
  <si>
    <t>Tecnologías de la Información</t>
  </si>
  <si>
    <t>Telecomunicaciones</t>
  </si>
  <si>
    <t>Traders</t>
  </si>
  <si>
    <t>QUALITATIVE INFORMATION (ONLY FOR P4 BMGs)</t>
  </si>
  <si>
    <t>Transportes</t>
  </si>
  <si>
    <t>Assesment</t>
  </si>
  <si>
    <t>Varios</t>
  </si>
  <si>
    <t>Water&amp;Waste</t>
  </si>
  <si>
    <t>OTHER INFORMATION</t>
  </si>
  <si>
    <t>Other information</t>
  </si>
  <si>
    <t>Holding adjustment (if it is the case)</t>
  </si>
  <si>
    <t>External support, (%)</t>
  </si>
  <si>
    <t>Parent company rating</t>
  </si>
  <si>
    <t>Var Code</t>
  </si>
  <si>
    <t>Value</t>
  </si>
  <si>
    <t>EBITDA / Gross Financial Debt</t>
  </si>
  <si>
    <t>Operating Cash Flow / Financial Expenses</t>
  </si>
  <si>
    <t>Net sales</t>
  </si>
  <si>
    <t>EBITDA / Net Sales</t>
  </si>
  <si>
    <t>Fixed Assets / Net Financial Debt</t>
  </si>
  <si>
    <t>Leverage Ratio</t>
  </si>
  <si>
    <t>New Sectorial Rating</t>
  </si>
  <si>
    <t>Acid Test Ratio</t>
  </si>
  <si>
    <t>EBITDA / Gross Financial Debt growth</t>
  </si>
  <si>
    <t>Mean of the Worldwide Governance Indicators</t>
  </si>
  <si>
    <t>GDP per capita</t>
  </si>
  <si>
    <t>Objective Rating</t>
  </si>
  <si>
    <t>Qual. Adjustment</t>
  </si>
  <si>
    <t>Combined rating</t>
  </si>
  <si>
    <t>Holding adjustment</t>
  </si>
  <si>
    <t>External support adjustment</t>
  </si>
  <si>
    <t>Adjusted rating</t>
  </si>
  <si>
    <t>Rating Override (if disagreement exists)</t>
  </si>
  <si>
    <t>Year</t>
  </si>
  <si>
    <t>WBCode</t>
  </si>
  <si>
    <t>ISO_Code</t>
  </si>
  <si>
    <t>Country/Territory</t>
  </si>
  <si>
    <t>VoiceAcciuntability</t>
  </si>
  <si>
    <t>PoliticalStability</t>
  </si>
  <si>
    <t>GovernmentEffectiveness</t>
  </si>
  <si>
    <t>RegulatoryQuality</t>
  </si>
  <si>
    <t>Corruption</t>
  </si>
  <si>
    <t>RuleLaw</t>
  </si>
  <si>
    <t>AFG</t>
  </si>
  <si>
    <t>AF</t>
  </si>
  <si>
    <t>AFGHANISTAN</t>
  </si>
  <si>
    <t>ALB</t>
  </si>
  <si>
    <t>AL</t>
  </si>
  <si>
    <t>ALBANIA</t>
  </si>
  <si>
    <t>DZA</t>
  </si>
  <si>
    <t>DZ</t>
  </si>
  <si>
    <t>ALGERIA</t>
  </si>
  <si>
    <t>ASM</t>
  </si>
  <si>
    <t>AMERICAN SAMOA</t>
  </si>
  <si>
    <t>ADO</t>
  </si>
  <si>
    <t>ANDORRA</t>
  </si>
  <si>
    <t>AGO</t>
  </si>
  <si>
    <t>AO</t>
  </si>
  <si>
    <t>ANGOLA</t>
  </si>
  <si>
    <t>AIA</t>
  </si>
  <si>
    <t>ANGUILLA</t>
  </si>
  <si>
    <t>ATG</t>
  </si>
  <si>
    <t>ANTIGUA AND BARBUDA</t>
  </si>
  <si>
    <t>ARG</t>
  </si>
  <si>
    <t>AR</t>
  </si>
  <si>
    <t>ARGENTINA</t>
  </si>
  <si>
    <t>ARM</t>
  </si>
  <si>
    <t>AM</t>
  </si>
  <si>
    <t>ARMENIA</t>
  </si>
  <si>
    <t>ABW</t>
  </si>
  <si>
    <t>AW</t>
  </si>
  <si>
    <t>ARUBA</t>
  </si>
  <si>
    <t>AUS</t>
  </si>
  <si>
    <t>AU</t>
  </si>
  <si>
    <t>AUSTRALIA</t>
  </si>
  <si>
    <t>AUT</t>
  </si>
  <si>
    <t>AT</t>
  </si>
  <si>
    <t>AUSTRIA</t>
  </si>
  <si>
    <t>AZE</t>
  </si>
  <si>
    <t>AZ</t>
  </si>
  <si>
    <t>AZERBAIJAN</t>
  </si>
  <si>
    <t>BHS</t>
  </si>
  <si>
    <t>BS</t>
  </si>
  <si>
    <t>BAHAMAS, THE</t>
  </si>
  <si>
    <t>BHR</t>
  </si>
  <si>
    <t>BH</t>
  </si>
  <si>
    <t>BAHRAIN</t>
  </si>
  <si>
    <t>BGD</t>
  </si>
  <si>
    <t>BD</t>
  </si>
  <si>
    <t>BANGLADESH</t>
  </si>
  <si>
    <t>BRB</t>
  </si>
  <si>
    <t>BARBADOS</t>
  </si>
  <si>
    <t>BLR</t>
  </si>
  <si>
    <t>BY</t>
  </si>
  <si>
    <t>BELARUS</t>
  </si>
  <si>
    <t>BEL</t>
  </si>
  <si>
    <t>BE</t>
  </si>
  <si>
    <t>BELGIUM</t>
  </si>
  <si>
    <t>BLZ</t>
  </si>
  <si>
    <t>BZ</t>
  </si>
  <si>
    <t>BELIZE</t>
  </si>
  <si>
    <t>BEN</t>
  </si>
  <si>
    <t>BJ</t>
  </si>
  <si>
    <t>BENIN</t>
  </si>
  <si>
    <t>BMU</t>
  </si>
  <si>
    <t>BM</t>
  </si>
  <si>
    <t>BERMUDA</t>
  </si>
  <si>
    <t>BTN</t>
  </si>
  <si>
    <t>BT</t>
  </si>
  <si>
    <t>BHUTAN</t>
  </si>
  <si>
    <t>BOL</t>
  </si>
  <si>
    <t>BO</t>
  </si>
  <si>
    <t>BOLIVIA</t>
  </si>
  <si>
    <t>BIH</t>
  </si>
  <si>
    <t>BA</t>
  </si>
  <si>
    <t>BOSNIA AND HERZEGOVINA</t>
  </si>
  <si>
    <t>BWA</t>
  </si>
  <si>
    <t>BW</t>
  </si>
  <si>
    <t>BOTSWANA</t>
  </si>
  <si>
    <t>BRA</t>
  </si>
  <si>
    <t>BR</t>
  </si>
  <si>
    <t>BRAZIL</t>
  </si>
  <si>
    <t>BRN</t>
  </si>
  <si>
    <t>BN</t>
  </si>
  <si>
    <t>BRUNEI DARUSSALAM</t>
  </si>
  <si>
    <t>BGR</t>
  </si>
  <si>
    <t>BG</t>
  </si>
  <si>
    <t>BULGARIA</t>
  </si>
  <si>
    <t>BFA</t>
  </si>
  <si>
    <t>BF</t>
  </si>
  <si>
    <t>BURKINA FASO</t>
  </si>
  <si>
    <t>BDI</t>
  </si>
  <si>
    <t>BI</t>
  </si>
  <si>
    <t>BURUNDI</t>
  </si>
  <si>
    <t>KHM</t>
  </si>
  <si>
    <t>KH</t>
  </si>
  <si>
    <t>CAMBODIA</t>
  </si>
  <si>
    <t>CMR</t>
  </si>
  <si>
    <t>CM</t>
  </si>
  <si>
    <t>CAMEROON</t>
  </si>
  <si>
    <t>CAN</t>
  </si>
  <si>
    <t>CA</t>
  </si>
  <si>
    <t>CANADA</t>
  </si>
  <si>
    <t>CPV</t>
  </si>
  <si>
    <t>CV</t>
  </si>
  <si>
    <t>CAPE VERDE</t>
  </si>
  <si>
    <t>CYM</t>
  </si>
  <si>
    <t>KY</t>
  </si>
  <si>
    <t>CAYMAN ISLANDS</t>
  </si>
  <si>
    <t>CAF</t>
  </si>
  <si>
    <t>CF</t>
  </si>
  <si>
    <t>CENTRAL AFRICAN REPUBLIC</t>
  </si>
  <si>
    <t>TCD</t>
  </si>
  <si>
    <t>TD</t>
  </si>
  <si>
    <t>CHAD</t>
  </si>
  <si>
    <t>CHL</t>
  </si>
  <si>
    <t>CL</t>
  </si>
  <si>
    <t>CHILE</t>
  </si>
  <si>
    <t>CHN</t>
  </si>
  <si>
    <t>CN</t>
  </si>
  <si>
    <t>CHINA</t>
  </si>
  <si>
    <t>COL</t>
  </si>
  <si>
    <t>CO</t>
  </si>
  <si>
    <t>COLOMBIA</t>
  </si>
  <si>
    <t>COM</t>
  </si>
  <si>
    <t>KM</t>
  </si>
  <si>
    <t>COMOROS</t>
  </si>
  <si>
    <t>ZAR</t>
  </si>
  <si>
    <t>CD</t>
  </si>
  <si>
    <t>CONGO, DEM. REP.</t>
  </si>
  <si>
    <t>COG</t>
  </si>
  <si>
    <t>CG</t>
  </si>
  <si>
    <t>CONGO, REP.</t>
  </si>
  <si>
    <t>COK</t>
  </si>
  <si>
    <t>COOK ISLANDS</t>
  </si>
  <si>
    <t/>
  </si>
  <si>
    <t>CRI</t>
  </si>
  <si>
    <t>CR</t>
  </si>
  <si>
    <t>COSTA RICA</t>
  </si>
  <si>
    <t>CIV</t>
  </si>
  <si>
    <t>CI</t>
  </si>
  <si>
    <t>CÔTE D'IVOIRE</t>
  </si>
  <si>
    <t>HRV</t>
  </si>
  <si>
    <t>HR</t>
  </si>
  <si>
    <t>CROATIA</t>
  </si>
  <si>
    <t>CUB</t>
  </si>
  <si>
    <t>CU</t>
  </si>
  <si>
    <t>CUBA</t>
  </si>
  <si>
    <t>CYP</t>
  </si>
  <si>
    <t>CY</t>
  </si>
  <si>
    <t>CYPRUS</t>
  </si>
  <si>
    <t>CZE</t>
  </si>
  <si>
    <t>CZ</t>
  </si>
  <si>
    <t>CZECH REPUBLIC</t>
  </si>
  <si>
    <t>DNK</t>
  </si>
  <si>
    <t>DK</t>
  </si>
  <si>
    <t>DENMARK</t>
  </si>
  <si>
    <t>DJI</t>
  </si>
  <si>
    <t>DJ</t>
  </si>
  <si>
    <t>DJIBOUTI</t>
  </si>
  <si>
    <t>DMA</t>
  </si>
  <si>
    <t>DM</t>
  </si>
  <si>
    <t>DOMINICA</t>
  </si>
  <si>
    <t>DOM</t>
  </si>
  <si>
    <t>DO</t>
  </si>
  <si>
    <t>DOMINICAN REPUBLIC</t>
  </si>
  <si>
    <t>ECU</t>
  </si>
  <si>
    <t>EC</t>
  </si>
  <si>
    <t>ECUADOR</t>
  </si>
  <si>
    <t>EGY</t>
  </si>
  <si>
    <t>EG</t>
  </si>
  <si>
    <t>EGYPT, ARAB REP.</t>
  </si>
  <si>
    <t>SLV</t>
  </si>
  <si>
    <t>SV</t>
  </si>
  <si>
    <t>EL SALVADOR</t>
  </si>
  <si>
    <t>GNQ</t>
  </si>
  <si>
    <t>GQ</t>
  </si>
  <si>
    <t>EQUATORIAL GUINEA</t>
  </si>
  <si>
    <t>ERI</t>
  </si>
  <si>
    <t>ER</t>
  </si>
  <si>
    <t>ERITREA</t>
  </si>
  <si>
    <t>EST</t>
  </si>
  <si>
    <t>EE</t>
  </si>
  <si>
    <t>ESTONIA</t>
  </si>
  <si>
    <t>ETH</t>
  </si>
  <si>
    <t>ET</t>
  </si>
  <si>
    <t>ETHIOPIA</t>
  </si>
  <si>
    <t>FJI</t>
  </si>
  <si>
    <t>FJ</t>
  </si>
  <si>
    <t>FIJI</t>
  </si>
  <si>
    <t>FIN</t>
  </si>
  <si>
    <t>FI</t>
  </si>
  <si>
    <t>FINLAND</t>
  </si>
  <si>
    <t>FRA</t>
  </si>
  <si>
    <t>FR</t>
  </si>
  <si>
    <t>FRANCE</t>
  </si>
  <si>
    <t>GUF</t>
  </si>
  <si>
    <t>FRENCH GUIANA</t>
  </si>
  <si>
    <t>GAB</t>
  </si>
  <si>
    <t>GA</t>
  </si>
  <si>
    <t>GABON</t>
  </si>
  <si>
    <t>GMB</t>
  </si>
  <si>
    <t>GM</t>
  </si>
  <si>
    <t>GAMBIA, THE</t>
  </si>
  <si>
    <t>GEO</t>
  </si>
  <si>
    <t>GE</t>
  </si>
  <si>
    <t>GEORGIA</t>
  </si>
  <si>
    <t>DEU</t>
  </si>
  <si>
    <t>DE</t>
  </si>
  <si>
    <t>GERMANY</t>
  </si>
  <si>
    <t>GHA</t>
  </si>
  <si>
    <t>GH</t>
  </si>
  <si>
    <t>GHANA</t>
  </si>
  <si>
    <t>GRC</t>
  </si>
  <si>
    <t>GR</t>
  </si>
  <si>
    <t>GREECE</t>
  </si>
  <si>
    <t>GRL</t>
  </si>
  <si>
    <t>GREENLAND</t>
  </si>
  <si>
    <t>GRD</t>
  </si>
  <si>
    <t>GD</t>
  </si>
  <si>
    <t>GRENADA</t>
  </si>
  <si>
    <t>GUM</t>
  </si>
  <si>
    <t>GUAM</t>
  </si>
  <si>
    <t>GTM</t>
  </si>
  <si>
    <t>GT</t>
  </si>
  <si>
    <t>GUATEMALA</t>
  </si>
  <si>
    <t>GIN</t>
  </si>
  <si>
    <t>GN</t>
  </si>
  <si>
    <t>GUINEA</t>
  </si>
  <si>
    <t>GNB</t>
  </si>
  <si>
    <t>GW</t>
  </si>
  <si>
    <t>GUINEA-BISSAU</t>
  </si>
  <si>
    <t>GUY</t>
  </si>
  <si>
    <t>GY</t>
  </si>
  <si>
    <t>GUYANA</t>
  </si>
  <si>
    <t>HTI</t>
  </si>
  <si>
    <t>HT</t>
  </si>
  <si>
    <t>HAITI</t>
  </si>
  <si>
    <t>HND</t>
  </si>
  <si>
    <t>HN</t>
  </si>
  <si>
    <t>HONDURAS</t>
  </si>
  <si>
    <t>HKG</t>
  </si>
  <si>
    <t>HK</t>
  </si>
  <si>
    <t>HONG KONG SAR, CHINA</t>
  </si>
  <si>
    <t>HUN</t>
  </si>
  <si>
    <t>HU</t>
  </si>
  <si>
    <t>HUNGARY</t>
  </si>
  <si>
    <t>ISL</t>
  </si>
  <si>
    <t>IS</t>
  </si>
  <si>
    <t>ICELAND</t>
  </si>
  <si>
    <t>IND</t>
  </si>
  <si>
    <t>IN</t>
  </si>
  <si>
    <t>INDIA</t>
  </si>
  <si>
    <t>IDN</t>
  </si>
  <si>
    <t>ID</t>
  </si>
  <si>
    <t>INDONESIA</t>
  </si>
  <si>
    <t>IRN</t>
  </si>
  <si>
    <t>IR</t>
  </si>
  <si>
    <t>IRAN, ISLAMIC REP.</t>
  </si>
  <si>
    <t>IRQ</t>
  </si>
  <si>
    <t>IQ</t>
  </si>
  <si>
    <t>IRAQ</t>
  </si>
  <si>
    <t>IRL</t>
  </si>
  <si>
    <t>IE</t>
  </si>
  <si>
    <t>IRELAND</t>
  </si>
  <si>
    <t>ISR</t>
  </si>
  <si>
    <t>IL</t>
  </si>
  <si>
    <t>ISRAEL</t>
  </si>
  <si>
    <t>ITA</t>
  </si>
  <si>
    <t>IT</t>
  </si>
  <si>
    <t>ITALY</t>
  </si>
  <si>
    <t>JAM</t>
  </si>
  <si>
    <t>JM</t>
  </si>
  <si>
    <t>JAMAICA</t>
  </si>
  <si>
    <t>JPN</t>
  </si>
  <si>
    <t>JP</t>
  </si>
  <si>
    <t>JAPAN</t>
  </si>
  <si>
    <t>JEY</t>
  </si>
  <si>
    <t>JERSEY, CHANNEL ISLANDS</t>
  </si>
  <si>
    <t>JOR</t>
  </si>
  <si>
    <t>JO</t>
  </si>
  <si>
    <t>JORDAN</t>
  </si>
  <si>
    <t>KAZ</t>
  </si>
  <si>
    <t>KZ</t>
  </si>
  <si>
    <t>KAZAKHSTAN</t>
  </si>
  <si>
    <t>KEN</t>
  </si>
  <si>
    <t>KE</t>
  </si>
  <si>
    <t>KENYA</t>
  </si>
  <si>
    <t>KIR</t>
  </si>
  <si>
    <t>KI</t>
  </si>
  <si>
    <t>KIRIBATI</t>
  </si>
  <si>
    <t>PRK</t>
  </si>
  <si>
    <t>KR</t>
  </si>
  <si>
    <t>KOREA, DEM. REP.</t>
  </si>
  <si>
    <t>KOR</t>
  </si>
  <si>
    <t>KP</t>
  </si>
  <si>
    <t>KOREA, REP.</t>
  </si>
  <si>
    <t>KSV</t>
  </si>
  <si>
    <t>KOSOVO</t>
  </si>
  <si>
    <t>KWT</t>
  </si>
  <si>
    <t>KW</t>
  </si>
  <si>
    <t>KUWAIT</t>
  </si>
  <si>
    <t>KGZ</t>
  </si>
  <si>
    <t>KG</t>
  </si>
  <si>
    <t>KYRGYZ REPUBLIC</t>
  </si>
  <si>
    <t>LAO</t>
  </si>
  <si>
    <t>LA</t>
  </si>
  <si>
    <t>LAO PDR</t>
  </si>
  <si>
    <t>LVA</t>
  </si>
  <si>
    <t>LV</t>
  </si>
  <si>
    <t>LATVIA</t>
  </si>
  <si>
    <t>LBN</t>
  </si>
  <si>
    <t>LB</t>
  </si>
  <si>
    <t>LEBANON</t>
  </si>
  <si>
    <t>LSO</t>
  </si>
  <si>
    <t>LS</t>
  </si>
  <si>
    <t>LESOTHO</t>
  </si>
  <si>
    <t>LBR</t>
  </si>
  <si>
    <t>LR</t>
  </si>
  <si>
    <t>LIBERIA</t>
  </si>
  <si>
    <t>LBY</t>
  </si>
  <si>
    <t>LY</t>
  </si>
  <si>
    <t>LIBYA</t>
  </si>
  <si>
    <t>LIE</t>
  </si>
  <si>
    <t>LIECHTENSTEIN</t>
  </si>
  <si>
    <t>LTU</t>
  </si>
  <si>
    <t>LT</t>
  </si>
  <si>
    <t>LITHUANIA</t>
  </si>
  <si>
    <t>LUX</t>
  </si>
  <si>
    <t>LU</t>
  </si>
  <si>
    <t>LUXEMBOURG</t>
  </si>
  <si>
    <t>MAC</t>
  </si>
  <si>
    <t>MO</t>
  </si>
  <si>
    <t>MACAO SAR, CHINA</t>
  </si>
  <si>
    <t>MKD</t>
  </si>
  <si>
    <t>MK</t>
  </si>
  <si>
    <t>MACEDONIA, FYR</t>
  </si>
  <si>
    <t>MDG</t>
  </si>
  <si>
    <t>MG</t>
  </si>
  <si>
    <t>MADAGASCAR</t>
  </si>
  <si>
    <t>MWI</t>
  </si>
  <si>
    <t>MW</t>
  </si>
  <si>
    <t>MALAWI</t>
  </si>
  <si>
    <t>MYS</t>
  </si>
  <si>
    <t>MY</t>
  </si>
  <si>
    <t>MALAYSIA</t>
  </si>
  <si>
    <t>MDV</t>
  </si>
  <si>
    <t>MALDIVES</t>
  </si>
  <si>
    <t>MLI</t>
  </si>
  <si>
    <t>ML</t>
  </si>
  <si>
    <t>MALI</t>
  </si>
  <si>
    <t>MLT</t>
  </si>
  <si>
    <t>MT</t>
  </si>
  <si>
    <t>MALTA</t>
  </si>
  <si>
    <t>MHL</t>
  </si>
  <si>
    <t>MH</t>
  </si>
  <si>
    <t>MARSHALL ISLANDS</t>
  </si>
  <si>
    <t>MTQ</t>
  </si>
  <si>
    <t>MARTINIQUE</t>
  </si>
  <si>
    <t>MRT</t>
  </si>
  <si>
    <t>MR</t>
  </si>
  <si>
    <t>MAURITANIA</t>
  </si>
  <si>
    <t>MUS</t>
  </si>
  <si>
    <t>MU</t>
  </si>
  <si>
    <t>MAURITIUS</t>
  </si>
  <si>
    <t>MEX</t>
  </si>
  <si>
    <t>MX</t>
  </si>
  <si>
    <t>MEXICO</t>
  </si>
  <si>
    <t>FSM</t>
  </si>
  <si>
    <t>FM</t>
  </si>
  <si>
    <t>MICRONESIA, FED. STS.</t>
  </si>
  <si>
    <t>MDA</t>
  </si>
  <si>
    <t>MD</t>
  </si>
  <si>
    <t>MOLDOVA</t>
  </si>
  <si>
    <t>MCO</t>
  </si>
  <si>
    <t>MONACO</t>
  </si>
  <si>
    <t>MNG</t>
  </si>
  <si>
    <t>MN</t>
  </si>
  <si>
    <t>MONGOLIA</t>
  </si>
  <si>
    <t>MNE</t>
  </si>
  <si>
    <t>MONTENEGRO</t>
  </si>
  <si>
    <t>MAR</t>
  </si>
  <si>
    <t>MA</t>
  </si>
  <si>
    <t>MOROCCO</t>
  </si>
  <si>
    <t>MOZ</t>
  </si>
  <si>
    <t>MZ</t>
  </si>
  <si>
    <t>MOZAMBIQUE</t>
  </si>
  <si>
    <t>MMR</t>
  </si>
  <si>
    <t>MYANMAR</t>
  </si>
  <si>
    <t>NAM</t>
  </si>
  <si>
    <t>NA</t>
  </si>
  <si>
    <t>NAMIBIA</t>
  </si>
  <si>
    <t>NRU</t>
  </si>
  <si>
    <t>NAURU</t>
  </si>
  <si>
    <t>NPL</t>
  </si>
  <si>
    <t>NP</t>
  </si>
  <si>
    <t>NEPAL</t>
  </si>
  <si>
    <t>NLD</t>
  </si>
  <si>
    <t>NL</t>
  </si>
  <si>
    <t>NETHERLANDS</t>
  </si>
  <si>
    <t>ANT</t>
  </si>
  <si>
    <t>NETHERLANDS ANTILLES (FORMER)</t>
  </si>
  <si>
    <t>NZL</t>
  </si>
  <si>
    <t>NZ</t>
  </si>
  <si>
    <t>NEW ZEALAND</t>
  </si>
  <si>
    <t>NIC</t>
  </si>
  <si>
    <t>NI</t>
  </si>
  <si>
    <t>NICARAGUA</t>
  </si>
  <si>
    <t>NER</t>
  </si>
  <si>
    <t>NE</t>
  </si>
  <si>
    <t>NIGER</t>
  </si>
  <si>
    <t>NGA</t>
  </si>
  <si>
    <t>NG</t>
  </si>
  <si>
    <t>NIGERIA</t>
  </si>
  <si>
    <t>NIU</t>
  </si>
  <si>
    <t>NIUE</t>
  </si>
  <si>
    <t>NOR</t>
  </si>
  <si>
    <t>NORWAY</t>
  </si>
  <si>
    <t>OMN</t>
  </si>
  <si>
    <t>OM</t>
  </si>
  <si>
    <t>OMAN</t>
  </si>
  <si>
    <t>PAK</t>
  </si>
  <si>
    <t>PK</t>
  </si>
  <si>
    <t>PAKISTAN</t>
  </si>
  <si>
    <t>PLW</t>
  </si>
  <si>
    <t>PW</t>
  </si>
  <si>
    <t>PALAU</t>
  </si>
  <si>
    <t>PAN</t>
  </si>
  <si>
    <t>PA</t>
  </si>
  <si>
    <t>PANAMA</t>
  </si>
  <si>
    <t>PNG</t>
  </si>
  <si>
    <t>PG</t>
  </si>
  <si>
    <t>PAPUA NEW GUINEA</t>
  </si>
  <si>
    <t>PRY</t>
  </si>
  <si>
    <t>PY</t>
  </si>
  <si>
    <t>PARAGUAY</t>
  </si>
  <si>
    <t>PER</t>
  </si>
  <si>
    <t>PE</t>
  </si>
  <si>
    <t>PERU</t>
  </si>
  <si>
    <t>PHL</t>
  </si>
  <si>
    <t>PH</t>
  </si>
  <si>
    <t>PHILIPPINES</t>
  </si>
  <si>
    <t>POL</t>
  </si>
  <si>
    <t>PL</t>
  </si>
  <si>
    <t>POLAND</t>
  </si>
  <si>
    <t>PRT</t>
  </si>
  <si>
    <t>PT</t>
  </si>
  <si>
    <t>PORTUGAL</t>
  </si>
  <si>
    <t>PRI</t>
  </si>
  <si>
    <t>PR</t>
  </si>
  <si>
    <t>PUERTO RICO</t>
  </si>
  <si>
    <t>QAT</t>
  </si>
  <si>
    <t>QA</t>
  </si>
  <si>
    <t>QATAR</t>
  </si>
  <si>
    <t>REU</t>
  </si>
  <si>
    <t>RÉUNION</t>
  </si>
  <si>
    <t>ROM</t>
  </si>
  <si>
    <t>RO</t>
  </si>
  <si>
    <t>ROMANIA</t>
  </si>
  <si>
    <t>RUS</t>
  </si>
  <si>
    <t>RU</t>
  </si>
  <si>
    <t>RUSSIAN FEDERATION</t>
  </si>
  <si>
    <t>RWA</t>
  </si>
  <si>
    <t>RW</t>
  </si>
  <si>
    <t>RWANDA</t>
  </si>
  <si>
    <t>WSM</t>
  </si>
  <si>
    <t>WS</t>
  </si>
  <si>
    <t>SAMOA</t>
  </si>
  <si>
    <t>SMR</t>
  </si>
  <si>
    <t>SAN MARINO</t>
  </si>
  <si>
    <t>STP</t>
  </si>
  <si>
    <t>ST</t>
  </si>
  <si>
    <t>SÃO TOMÉ AND PRINCIPE</t>
  </si>
  <si>
    <t>SAU</t>
  </si>
  <si>
    <t>SA</t>
  </si>
  <si>
    <t>SAUDI ARABIA</t>
  </si>
  <si>
    <t>SEN</t>
  </si>
  <si>
    <t>SN</t>
  </si>
  <si>
    <t>SENEGAL</t>
  </si>
  <si>
    <t>SRB</t>
  </si>
  <si>
    <t>RS</t>
  </si>
  <si>
    <t>SERBIA</t>
  </si>
  <si>
    <t>SYC</t>
  </si>
  <si>
    <t>SC</t>
  </si>
  <si>
    <t>SEYCHELLES</t>
  </si>
  <si>
    <t>SLE</t>
  </si>
  <si>
    <t>SL</t>
  </si>
  <si>
    <t>SIERRA LEONE</t>
  </si>
  <si>
    <t>SGP</t>
  </si>
  <si>
    <t>SG</t>
  </si>
  <si>
    <t>SINGAPORE</t>
  </si>
  <si>
    <t>SVK</t>
  </si>
  <si>
    <t>SK</t>
  </si>
  <si>
    <t>SLOVAK REPUBLIC</t>
  </si>
  <si>
    <t>SVN</t>
  </si>
  <si>
    <t>SLOVENIA</t>
  </si>
  <si>
    <t>SLB</t>
  </si>
  <si>
    <t>SB</t>
  </si>
  <si>
    <t>SOLOMON ISLANDS</t>
  </si>
  <si>
    <t>SOM</t>
  </si>
  <si>
    <t>SO</t>
  </si>
  <si>
    <t>SOMALIA</t>
  </si>
  <si>
    <t>ZAF</t>
  </si>
  <si>
    <t>ZA</t>
  </si>
  <si>
    <t>SOUTH AFRICA</t>
  </si>
  <si>
    <t>SSD</t>
  </si>
  <si>
    <t>SOUTH SUDAN</t>
  </si>
  <si>
    <t>ESP</t>
  </si>
  <si>
    <t>SPAIN</t>
  </si>
  <si>
    <t>LKA</t>
  </si>
  <si>
    <t>LK</t>
  </si>
  <si>
    <t>SRI LANKA</t>
  </si>
  <si>
    <t>KNA</t>
  </si>
  <si>
    <t>KN</t>
  </si>
  <si>
    <t>ST. KITTS AND NEVIS</t>
  </si>
  <si>
    <t>LCA</t>
  </si>
  <si>
    <t>LC</t>
  </si>
  <si>
    <t>ST. LUCIA</t>
  </si>
  <si>
    <t>VCT</t>
  </si>
  <si>
    <t>VC</t>
  </si>
  <si>
    <t>ST. VINCENT AND THE GRENADINES</t>
  </si>
  <si>
    <t>SDN</t>
  </si>
  <si>
    <t>SD</t>
  </si>
  <si>
    <t>SUDAN</t>
  </si>
  <si>
    <t>SUR</t>
  </si>
  <si>
    <t>SR</t>
  </si>
  <si>
    <t>SURINAME</t>
  </si>
  <si>
    <t>SWZ</t>
  </si>
  <si>
    <t>SZ</t>
  </si>
  <si>
    <t>SWAZILAND</t>
  </si>
  <si>
    <t>SWE</t>
  </si>
  <si>
    <t>SE</t>
  </si>
  <si>
    <t>SWEDEN</t>
  </si>
  <si>
    <t>CHE</t>
  </si>
  <si>
    <t>CH</t>
  </si>
  <si>
    <t>SWITZERLAND</t>
  </si>
  <si>
    <t>SYR</t>
  </si>
  <si>
    <t>SY</t>
  </si>
  <si>
    <t>SYRIAN ARAB REPUBLIC</t>
  </si>
  <si>
    <t>TWN</t>
  </si>
  <si>
    <t>TW</t>
  </si>
  <si>
    <t>TAIWAN, CHINA</t>
  </si>
  <si>
    <t>TJK</t>
  </si>
  <si>
    <t>TJ</t>
  </si>
  <si>
    <t>TAJIKISTAN</t>
  </si>
  <si>
    <t>TZA</t>
  </si>
  <si>
    <t>TZ</t>
  </si>
  <si>
    <t>TANZANIA</t>
  </si>
  <si>
    <t>THA</t>
  </si>
  <si>
    <t>TH</t>
  </si>
  <si>
    <t>THAILAND</t>
  </si>
  <si>
    <t>TMP</t>
  </si>
  <si>
    <t>TL</t>
  </si>
  <si>
    <t>TIMOR-LESTE</t>
  </si>
  <si>
    <t>TGO</t>
  </si>
  <si>
    <t>TG</t>
  </si>
  <si>
    <t>TOGO</t>
  </si>
  <si>
    <t>TON</t>
  </si>
  <si>
    <t>TO</t>
  </si>
  <si>
    <t>TONGA</t>
  </si>
  <si>
    <t>TTO</t>
  </si>
  <si>
    <t>TT</t>
  </si>
  <si>
    <t>TRINIDAD AND TOBAGO</t>
  </si>
  <si>
    <t>TUN</t>
  </si>
  <si>
    <t>TN</t>
  </si>
  <si>
    <t>TUNISIA</t>
  </si>
  <si>
    <t>TUR</t>
  </si>
  <si>
    <t>TR</t>
  </si>
  <si>
    <t>TURKEY</t>
  </si>
  <si>
    <t>TKM</t>
  </si>
  <si>
    <t>TM</t>
  </si>
  <si>
    <t>TURKMENISTAN</t>
  </si>
  <si>
    <t>TUV</t>
  </si>
  <si>
    <t>TV</t>
  </si>
  <si>
    <t>TUVALU</t>
  </si>
  <si>
    <t>UGA</t>
  </si>
  <si>
    <t>UG</t>
  </si>
  <si>
    <t>UGANDA</t>
  </si>
  <si>
    <t>UKR</t>
  </si>
  <si>
    <t>UA</t>
  </si>
  <si>
    <t>UKRAINE</t>
  </si>
  <si>
    <t>ARE</t>
  </si>
  <si>
    <t>AE</t>
  </si>
  <si>
    <t>UNITED ARAB EMIRATES</t>
  </si>
  <si>
    <t>GBR</t>
  </si>
  <si>
    <t>GB</t>
  </si>
  <si>
    <t>UNITED KINGDOM</t>
  </si>
  <si>
    <t>USA</t>
  </si>
  <si>
    <t>UNITED STATES</t>
  </si>
  <si>
    <t>URY</t>
  </si>
  <si>
    <t>UY</t>
  </si>
  <si>
    <t>URUGUAY</t>
  </si>
  <si>
    <t>UZB</t>
  </si>
  <si>
    <t>UZ</t>
  </si>
  <si>
    <t>UZBEKISTAN</t>
  </si>
  <si>
    <t>VUT</t>
  </si>
  <si>
    <t>VU</t>
  </si>
  <si>
    <t>VANUATU</t>
  </si>
  <si>
    <t>VEN</t>
  </si>
  <si>
    <t>VE</t>
  </si>
  <si>
    <t>VENEZUELA, RB</t>
  </si>
  <si>
    <t>VNM</t>
  </si>
  <si>
    <t>VN</t>
  </si>
  <si>
    <t>VIETNAM</t>
  </si>
  <si>
    <t>VIR</t>
  </si>
  <si>
    <t>VG</t>
  </si>
  <si>
    <t>VIRGIN ISLANDS (U.S.)</t>
  </si>
  <si>
    <t>WBG</t>
  </si>
  <si>
    <t>WEST BANK AND GAZA</t>
  </si>
  <si>
    <t>YEM</t>
  </si>
  <si>
    <t>YE</t>
  </si>
  <si>
    <t>YEMEN, REP.</t>
  </si>
  <si>
    <t>ZMB</t>
  </si>
  <si>
    <t>ZM</t>
  </si>
  <si>
    <t>ZAMBIA</t>
  </si>
  <si>
    <t>ZWE</t>
  </si>
  <si>
    <t>ZW</t>
  </si>
  <si>
    <t>ZIMBABWE</t>
  </si>
  <si>
    <t>year</t>
  </si>
  <si>
    <t>Country Name</t>
  </si>
  <si>
    <t>Country Code</t>
  </si>
  <si>
    <t>ISO Code</t>
  </si>
  <si>
    <t>GDPGROWTH</t>
  </si>
  <si>
    <t>Aruba</t>
  </si>
  <si>
    <t>Andorra</t>
  </si>
  <si>
    <t>AND</t>
  </si>
  <si>
    <t>Afghanistan</t>
  </si>
  <si>
    <t>Angola</t>
  </si>
  <si>
    <t>Albania</t>
  </si>
  <si>
    <t>Arab World</t>
  </si>
  <si>
    <t>ARB</t>
  </si>
  <si>
    <t>United Arab Emirates</t>
  </si>
  <si>
    <t>Argentina</t>
  </si>
  <si>
    <t>Armenia</t>
  </si>
  <si>
    <t>American Samoa</t>
  </si>
  <si>
    <t>Antigua and Barbuda</t>
  </si>
  <si>
    <t>Australia</t>
  </si>
  <si>
    <t>Austria</t>
  </si>
  <si>
    <t>Azerbaijan</t>
  </si>
  <si>
    <t>Burundi</t>
  </si>
  <si>
    <t>Belgium</t>
  </si>
  <si>
    <t>Benin</t>
  </si>
  <si>
    <t>Burkina Faso</t>
  </si>
  <si>
    <t>Bangladesh</t>
  </si>
  <si>
    <t>Bulgaria</t>
  </si>
  <si>
    <t>Bahrain</t>
  </si>
  <si>
    <t>Bahamas, The</t>
  </si>
  <si>
    <t>Bosnia and Herzegovina</t>
  </si>
  <si>
    <t>Belarus</t>
  </si>
  <si>
    <t>Belize</t>
  </si>
  <si>
    <t>Bermuda</t>
  </si>
  <si>
    <t>Bolivia</t>
  </si>
  <si>
    <t>Brazil</t>
  </si>
  <si>
    <t>Barbados</t>
  </si>
  <si>
    <t>Brunei Darussalam</t>
  </si>
  <si>
    <t>Bhutan</t>
  </si>
  <si>
    <t>Botswana</t>
  </si>
  <si>
    <t>Central African Republic</t>
  </si>
  <si>
    <t>Canada</t>
  </si>
  <si>
    <t>Central Europe and the Baltics</t>
  </si>
  <si>
    <t>CEB</t>
  </si>
  <si>
    <t>Switzerland</t>
  </si>
  <si>
    <t>Channel Islands</t>
  </si>
  <si>
    <t>CHI</t>
  </si>
  <si>
    <t>Chile</t>
  </si>
  <si>
    <t>China</t>
  </si>
  <si>
    <t>Cote d'Ivoire</t>
  </si>
  <si>
    <t>Cameroon</t>
  </si>
  <si>
    <t>Congo, Rep.</t>
  </si>
  <si>
    <t>Comoros</t>
  </si>
  <si>
    <t>Cabo Verde</t>
  </si>
  <si>
    <t>Costa Rica</t>
  </si>
  <si>
    <t>Caribbean small states</t>
  </si>
  <si>
    <t>CSS</t>
  </si>
  <si>
    <t>Cuba</t>
  </si>
  <si>
    <t>Curacao</t>
  </si>
  <si>
    <t>CUW</t>
  </si>
  <si>
    <t>Cayman Islands</t>
  </si>
  <si>
    <t>Cyprus</t>
  </si>
  <si>
    <t>Czech Republic</t>
  </si>
  <si>
    <t>Germany</t>
  </si>
  <si>
    <t>Djibouti</t>
  </si>
  <si>
    <t>Dominica</t>
  </si>
  <si>
    <t>Denmark</t>
  </si>
  <si>
    <t>Dominican Republic</t>
  </si>
  <si>
    <t>Algeria</t>
  </si>
  <si>
    <t>East Asia &amp; Pacific (excluding high income)</t>
  </si>
  <si>
    <t>EAP</t>
  </si>
  <si>
    <t>Early-demographic dividend</t>
  </si>
  <si>
    <t>EAR</t>
  </si>
  <si>
    <t>East Asia &amp; Pacific</t>
  </si>
  <si>
    <t>EAS</t>
  </si>
  <si>
    <t>Europe &amp; Central Asia (excluding high income)</t>
  </si>
  <si>
    <t>ECA</t>
  </si>
  <si>
    <t>Europe &amp; Central Asia</t>
  </si>
  <si>
    <t>ECS</t>
  </si>
  <si>
    <t>Ecuador</t>
  </si>
  <si>
    <t>Egypt, Arab Rep.</t>
  </si>
  <si>
    <t>Euro area</t>
  </si>
  <si>
    <t>EMU</t>
  </si>
  <si>
    <t>Eritrea</t>
  </si>
  <si>
    <t>Spain</t>
  </si>
  <si>
    <t>Estonia</t>
  </si>
  <si>
    <t>Ethiopia</t>
  </si>
  <si>
    <t>European Union</t>
  </si>
  <si>
    <t>EUU</t>
  </si>
  <si>
    <t>Fragile and conflict affected situations</t>
  </si>
  <si>
    <t>FCS</t>
  </si>
  <si>
    <t>Finland</t>
  </si>
  <si>
    <t>Fiji</t>
  </si>
  <si>
    <t>France</t>
  </si>
  <si>
    <t>Faroe Islands</t>
  </si>
  <si>
    <t>FRO</t>
  </si>
  <si>
    <t>Micronesia, Fed. Sts.</t>
  </si>
  <si>
    <t>Gabon</t>
  </si>
  <si>
    <t>United Kingdom</t>
  </si>
  <si>
    <t>Georgia</t>
  </si>
  <si>
    <t>Ghana</t>
  </si>
  <si>
    <t>Gibraltar</t>
  </si>
  <si>
    <t>GIB</t>
  </si>
  <si>
    <t>Guinea</t>
  </si>
  <si>
    <t>Gambia, The</t>
  </si>
  <si>
    <t>Guinea-Bissau</t>
  </si>
  <si>
    <t>Equatorial Guinea</t>
  </si>
  <si>
    <t>Greece</t>
  </si>
  <si>
    <t>Grenada</t>
  </si>
  <si>
    <t>Greenland</t>
  </si>
  <si>
    <t>Guatemala</t>
  </si>
  <si>
    <t>Guam</t>
  </si>
  <si>
    <t>Guyana</t>
  </si>
  <si>
    <t>High income</t>
  </si>
  <si>
    <t>HIC</t>
  </si>
  <si>
    <t>Hong Kong SAR, China</t>
  </si>
  <si>
    <t>Honduras</t>
  </si>
  <si>
    <t>Heavily indebted poor countries (HIPC)</t>
  </si>
  <si>
    <t>HPC</t>
  </si>
  <si>
    <t>Croatia</t>
  </si>
  <si>
    <t>Haiti</t>
  </si>
  <si>
    <t>Hungary</t>
  </si>
  <si>
    <t>IBRD only</t>
  </si>
  <si>
    <t>IBD</t>
  </si>
  <si>
    <t>IDA &amp; IBRD total</t>
  </si>
  <si>
    <t>IBT</t>
  </si>
  <si>
    <t>IDA total</t>
  </si>
  <si>
    <t>IDA</t>
  </si>
  <si>
    <t>IDA blend</t>
  </si>
  <si>
    <t>IDB</t>
  </si>
  <si>
    <t>Indonesia</t>
  </si>
  <si>
    <t>IDA only</t>
  </si>
  <si>
    <t>IDX</t>
  </si>
  <si>
    <t>Isle of Man</t>
  </si>
  <si>
    <t>IMN</t>
  </si>
  <si>
    <t>India</t>
  </si>
  <si>
    <t>Not classified</t>
  </si>
  <si>
    <t>INX</t>
  </si>
  <si>
    <t>Ireland</t>
  </si>
  <si>
    <t>Iran, Islamic Rep.</t>
  </si>
  <si>
    <t>Iraq</t>
  </si>
  <si>
    <t>Iceland</t>
  </si>
  <si>
    <t>Israel</t>
  </si>
  <si>
    <t>Italy</t>
  </si>
  <si>
    <t>Jamaica</t>
  </si>
  <si>
    <t>Jordan</t>
  </si>
  <si>
    <t>Japan</t>
  </si>
  <si>
    <t>Kazakhstan</t>
  </si>
  <si>
    <t>Kenya</t>
  </si>
  <si>
    <t>Kyrgyz Republic</t>
  </si>
  <si>
    <t>Cambodia</t>
  </si>
  <si>
    <t>Kiribati</t>
  </si>
  <si>
    <t>St. Kitts and Nevis</t>
  </si>
  <si>
    <t>Korea, Rep.</t>
  </si>
  <si>
    <t>Kosovo</t>
  </si>
  <si>
    <t>XKX</t>
  </si>
  <si>
    <t>Kuwait</t>
  </si>
  <si>
    <t>Latin America &amp; Caribbean (excluding high income)</t>
  </si>
  <si>
    <t>LAC</t>
  </si>
  <si>
    <t>Lao PDR</t>
  </si>
  <si>
    <t>Lebanon</t>
  </si>
  <si>
    <t>Liberia</t>
  </si>
  <si>
    <t>Libya</t>
  </si>
  <si>
    <t>St. Lucia</t>
  </si>
  <si>
    <t>Latin America &amp; Caribbean</t>
  </si>
  <si>
    <t>LCN</t>
  </si>
  <si>
    <t>Least developed countries: UN classification</t>
  </si>
  <si>
    <t>LDC</t>
  </si>
  <si>
    <t>Low income</t>
  </si>
  <si>
    <t>LIC</t>
  </si>
  <si>
    <t>Liechtenstein</t>
  </si>
  <si>
    <t>Sri Lanka</t>
  </si>
  <si>
    <t>Lower middle income</t>
  </si>
  <si>
    <t>LMC</t>
  </si>
  <si>
    <t>Low &amp; middle income</t>
  </si>
  <si>
    <t>LMY</t>
  </si>
  <si>
    <t>Lesotho</t>
  </si>
  <si>
    <t>Late-demographic dividend</t>
  </si>
  <si>
    <t>LTE</t>
  </si>
  <si>
    <t>Lithuania</t>
  </si>
  <si>
    <t>Luxembourg</t>
  </si>
  <si>
    <t>Latvia</t>
  </si>
  <si>
    <t>Macao SAR, China</t>
  </si>
  <si>
    <t>St. Martin (French part)</t>
  </si>
  <si>
    <t>MAF</t>
  </si>
  <si>
    <t>Morocco</t>
  </si>
  <si>
    <t>Monaco</t>
  </si>
  <si>
    <t>Moldova</t>
  </si>
  <si>
    <t>Madagascar</t>
  </si>
  <si>
    <t>Maldives</t>
  </si>
  <si>
    <t>Middle East &amp; North Africa</t>
  </si>
  <si>
    <t>MEA</t>
  </si>
  <si>
    <t>Mexico</t>
  </si>
  <si>
    <t>Marshall Islands</t>
  </si>
  <si>
    <t>Middle income</t>
  </si>
  <si>
    <t>MIC</t>
  </si>
  <si>
    <t>Macedonia, FYR</t>
  </si>
  <si>
    <t>Mali</t>
  </si>
  <si>
    <t>Malta</t>
  </si>
  <si>
    <t>Myanmar</t>
  </si>
  <si>
    <t>Middle East &amp; North Africa (excluding high income)</t>
  </si>
  <si>
    <t>MNA</t>
  </si>
  <si>
    <t>Montenegro</t>
  </si>
  <si>
    <t>Mongolia</t>
  </si>
  <si>
    <t>Northern Mariana Islands</t>
  </si>
  <si>
    <t>MNP</t>
  </si>
  <si>
    <t>Mozambique</t>
  </si>
  <si>
    <t>Mauritania</t>
  </si>
  <si>
    <t>Mauritius</t>
  </si>
  <si>
    <t>Malawi</t>
  </si>
  <si>
    <t>Malaysia</t>
  </si>
  <si>
    <t>North America</t>
  </si>
  <si>
    <t>NAC</t>
  </si>
  <si>
    <t>Namibia</t>
  </si>
  <si>
    <t>New Caledonia</t>
  </si>
  <si>
    <t>NCL</t>
  </si>
  <si>
    <t>Niger</t>
  </si>
  <si>
    <t>Nigeria</t>
  </si>
  <si>
    <t>Nicaragua</t>
  </si>
  <si>
    <t>Netherlands</t>
  </si>
  <si>
    <t>Norway</t>
  </si>
  <si>
    <t>Nepal</t>
  </si>
  <si>
    <t>Nauru</t>
  </si>
  <si>
    <t>New Zealand</t>
  </si>
  <si>
    <t>OECD members</t>
  </si>
  <si>
    <t>OED</t>
  </si>
  <si>
    <t>Oman</t>
  </si>
  <si>
    <t>Other small states</t>
  </si>
  <si>
    <t>OSS</t>
  </si>
  <si>
    <t>Pakistan</t>
  </si>
  <si>
    <t>Panama</t>
  </si>
  <si>
    <t>Peru</t>
  </si>
  <si>
    <t>Philippines</t>
  </si>
  <si>
    <t>Palau</t>
  </si>
  <si>
    <t>Papua New Guinea</t>
  </si>
  <si>
    <t>Poland</t>
  </si>
  <si>
    <t>Pre-demographic dividend</t>
  </si>
  <si>
    <t>PRE</t>
  </si>
  <si>
    <t>Puerto Rico</t>
  </si>
  <si>
    <t>Korea, Dem. People’s Rep.</t>
  </si>
  <si>
    <t>Portugal</t>
  </si>
  <si>
    <t>Paraguay</t>
  </si>
  <si>
    <t>Pacific island small states</t>
  </si>
  <si>
    <t>PSS</t>
  </si>
  <si>
    <t>Post-demographic dividend</t>
  </si>
  <si>
    <t>PST</t>
  </si>
  <si>
    <t>French Polynesia</t>
  </si>
  <si>
    <t>PYF</t>
  </si>
  <si>
    <t>Qatar</t>
  </si>
  <si>
    <t>Romania</t>
  </si>
  <si>
    <t>ROU</t>
  </si>
  <si>
    <t>Russian Federation</t>
  </si>
  <si>
    <t>Rwanda</t>
  </si>
  <si>
    <t>South Asia</t>
  </si>
  <si>
    <t>SAS</t>
  </si>
  <si>
    <t>Saudi Arabia</t>
  </si>
  <si>
    <t>Sudan</t>
  </si>
  <si>
    <t>Senegal</t>
  </si>
  <si>
    <t>Singapore</t>
  </si>
  <si>
    <t>Solomon Islands</t>
  </si>
  <si>
    <t>Sierra Leone</t>
  </si>
  <si>
    <t>El Salvador</t>
  </si>
  <si>
    <t>San Marino</t>
  </si>
  <si>
    <t>Somalia</t>
  </si>
  <si>
    <t>Serbia</t>
  </si>
  <si>
    <t>Sub-Saharan Africa (excluding high income)</t>
  </si>
  <si>
    <t>SSA</t>
  </si>
  <si>
    <t>South Sudan</t>
  </si>
  <si>
    <t>Sub-Saharan Africa</t>
  </si>
  <si>
    <t>SSF</t>
  </si>
  <si>
    <t>Small states</t>
  </si>
  <si>
    <t>SST</t>
  </si>
  <si>
    <t>Sao Tome and Principe</t>
  </si>
  <si>
    <t>Suriname</t>
  </si>
  <si>
    <t>Slovak Republic</t>
  </si>
  <si>
    <t>Slovenia</t>
  </si>
  <si>
    <t>Sweden</t>
  </si>
  <si>
    <t>Swaziland</t>
  </si>
  <si>
    <t>Sint Maarten (Dutch part)</t>
  </si>
  <si>
    <t>SXM</t>
  </si>
  <si>
    <t>Seychelles</t>
  </si>
  <si>
    <t>Syrian Arab Republic</t>
  </si>
  <si>
    <t>Turks and Caicos Islands</t>
  </si>
  <si>
    <t>TCA</t>
  </si>
  <si>
    <t>Chad</t>
  </si>
  <si>
    <t>East Asia &amp; Pacific (IDA &amp; IBRD countries)</t>
  </si>
  <si>
    <t>TEA</t>
  </si>
  <si>
    <t>Europe &amp; Central Asia (IDA &amp; IBRD countries)</t>
  </si>
  <si>
    <t>TEC</t>
  </si>
  <si>
    <t>Togo</t>
  </si>
  <si>
    <t>Thailand</t>
  </si>
  <si>
    <t>Tajikistan</t>
  </si>
  <si>
    <t>Turkmenistan</t>
  </si>
  <si>
    <t>Latin America &amp; the Caribbean (IDA &amp; IBRD countries)</t>
  </si>
  <si>
    <t>TLA</t>
  </si>
  <si>
    <t>Middle East &amp; North Africa (IDA &amp; IBRD countries)</t>
  </si>
  <si>
    <t>TMN</t>
  </si>
  <si>
    <t>Timor-Leste</t>
  </si>
  <si>
    <t>TLS</t>
  </si>
  <si>
    <t>Tonga</t>
  </si>
  <si>
    <t>South Asia (IDA &amp; IBRD)</t>
  </si>
  <si>
    <t>TSA</t>
  </si>
  <si>
    <t>Sub-Saharan Africa (IDA &amp; IBRD countries)</t>
  </si>
  <si>
    <t>TSS</t>
  </si>
  <si>
    <t>Trinidad and Tobago</t>
  </si>
  <si>
    <t>Tunisia</t>
  </si>
  <si>
    <t>Turkey</t>
  </si>
  <si>
    <t>Tuvalu</t>
  </si>
  <si>
    <t>Tanzania</t>
  </si>
  <si>
    <t>Uganda</t>
  </si>
  <si>
    <t>Ukraine</t>
  </si>
  <si>
    <t>Upper middle income</t>
  </si>
  <si>
    <t>UMC</t>
  </si>
  <si>
    <t>Uruguay</t>
  </si>
  <si>
    <t>United States</t>
  </si>
  <si>
    <t>Uzbekistan</t>
  </si>
  <si>
    <t>St. Vincent and the Grenadines</t>
  </si>
  <si>
    <t>Venezuela, RB</t>
  </si>
  <si>
    <t>British Virgin Islands</t>
  </si>
  <si>
    <t>VGB</t>
  </si>
  <si>
    <t>Virgin Islands (U.S.)</t>
  </si>
  <si>
    <t>Vietnam</t>
  </si>
  <si>
    <t>Vanuatu</t>
  </si>
  <si>
    <t>West Bank and Gaza</t>
  </si>
  <si>
    <t>PSE</t>
  </si>
  <si>
    <t>World</t>
  </si>
  <si>
    <t>WLD</t>
  </si>
  <si>
    <t>Samoa</t>
  </si>
  <si>
    <t>Yemen, Rep.</t>
  </si>
  <si>
    <t>South Africa</t>
  </si>
  <si>
    <t>Congo, Dem. Rep.</t>
  </si>
  <si>
    <t>COD</t>
  </si>
  <si>
    <t>Zambia</t>
  </si>
  <si>
    <t>Zimbabwe</t>
  </si>
  <si>
    <t>ISO code</t>
  </si>
  <si>
    <t>RATING_SECT_NEW</t>
  </si>
  <si>
    <t>Ratio Code</t>
  </si>
  <si>
    <t>Bucket Number</t>
  </si>
  <si>
    <t>Lower limit</t>
  </si>
  <si>
    <t>Upper limit</t>
  </si>
  <si>
    <r>
      <t>WOE</t>
    </r>
    <r>
      <rPr>
        <b/>
        <sz val="8"/>
        <color indexed="9"/>
        <rFont val="Calibri"/>
        <family val="2"/>
      </rPr>
      <t>1</t>
    </r>
  </si>
  <si>
    <t>Bucket Mapping</t>
  </si>
  <si>
    <r>
      <rPr>
        <sz val="11"/>
        <color indexed="8"/>
        <rFont val="Tahoma"/>
        <family val="2"/>
      </rPr>
      <t>∞</t>
    </r>
  </si>
  <si>
    <r>
      <t>-</t>
    </r>
    <r>
      <rPr>
        <sz val="11"/>
        <color indexed="8"/>
        <rFont val="Tahoma"/>
        <family val="2"/>
      </rPr>
      <t>∞</t>
    </r>
  </si>
  <si>
    <r>
      <t>WOE</t>
    </r>
    <r>
      <rPr>
        <b/>
        <sz val="8"/>
        <color indexed="9"/>
        <rFont val="Calibri"/>
        <family val="2"/>
      </rPr>
      <t>2</t>
    </r>
  </si>
  <si>
    <r>
      <t>WOE</t>
    </r>
    <r>
      <rPr>
        <b/>
        <sz val="8"/>
        <color indexed="9"/>
        <rFont val="Calibri"/>
        <family val="2"/>
      </rPr>
      <t>3</t>
    </r>
  </si>
  <si>
    <t>Ratio</t>
  </si>
  <si>
    <t>Beta</t>
  </si>
  <si>
    <t>Intercept</t>
  </si>
  <si>
    <t>β0</t>
  </si>
  <si>
    <t>β1</t>
  </si>
  <si>
    <t>β2</t>
  </si>
  <si>
    <t>β3</t>
  </si>
  <si>
    <t>Alimentación, Bebidas y Tabacos</t>
  </si>
  <si>
    <t>β4</t>
  </si>
  <si>
    <r>
      <t>WOE</t>
    </r>
    <r>
      <rPr>
        <b/>
        <sz val="8"/>
        <color indexed="9"/>
        <rFont val="Calibri"/>
        <family val="2"/>
      </rPr>
      <t>4</t>
    </r>
  </si>
  <si>
    <t>β5</t>
  </si>
  <si>
    <t>β6</t>
  </si>
  <si>
    <t>β7</t>
  </si>
  <si>
    <t>Bebidas y Tabaco</t>
  </si>
  <si>
    <t>β8</t>
  </si>
  <si>
    <t>β9</t>
  </si>
  <si>
    <r>
      <t>WOE</t>
    </r>
    <r>
      <rPr>
        <b/>
        <sz val="8"/>
        <color indexed="9"/>
        <rFont val="Calibri"/>
        <family val="2"/>
      </rPr>
      <t>5</t>
    </r>
  </si>
  <si>
    <t>β10</t>
  </si>
  <si>
    <t>β11</t>
  </si>
  <si>
    <t>β12</t>
  </si>
  <si>
    <r>
      <t>WOE</t>
    </r>
    <r>
      <rPr>
        <b/>
        <sz val="8"/>
        <color indexed="9"/>
        <rFont val="Calibri"/>
        <family val="2"/>
      </rPr>
      <t>6</t>
    </r>
  </si>
  <si>
    <r>
      <t>WOE</t>
    </r>
    <r>
      <rPr>
        <b/>
        <sz val="8"/>
        <color indexed="9"/>
        <rFont val="Calibri"/>
        <family val="2"/>
      </rPr>
      <t>7</t>
    </r>
  </si>
  <si>
    <r>
      <t>WOE</t>
    </r>
    <r>
      <rPr>
        <b/>
        <sz val="8"/>
        <color indexed="9"/>
        <rFont val="Calibri"/>
        <family val="2"/>
      </rPr>
      <t>8</t>
    </r>
  </si>
  <si>
    <r>
      <t>WOE</t>
    </r>
    <r>
      <rPr>
        <b/>
        <sz val="8"/>
        <color indexed="9"/>
        <rFont val="Calibri"/>
        <family val="2"/>
      </rPr>
      <t>9</t>
    </r>
  </si>
  <si>
    <r>
      <t>WOE</t>
    </r>
    <r>
      <rPr>
        <b/>
        <sz val="8"/>
        <color indexed="9"/>
        <rFont val="Calibri"/>
        <family val="2"/>
      </rPr>
      <t>10</t>
    </r>
  </si>
  <si>
    <r>
      <t>WOE</t>
    </r>
    <r>
      <rPr>
        <b/>
        <sz val="8"/>
        <color indexed="9"/>
        <rFont val="Calibri"/>
        <family val="2"/>
      </rPr>
      <t>11</t>
    </r>
  </si>
  <si>
    <r>
      <t>WOE</t>
    </r>
    <r>
      <rPr>
        <b/>
        <sz val="8"/>
        <color indexed="9"/>
        <rFont val="Calibri"/>
        <family val="2"/>
      </rPr>
      <t>12</t>
    </r>
  </si>
  <si>
    <t xml:space="preserve"> --</t>
  </si>
  <si>
    <t xml:space="preserve"> -</t>
  </si>
  <si>
    <t xml:space="preserve"> =</t>
  </si>
  <si>
    <t xml:space="preserve"> ++</t>
  </si>
  <si>
    <t xml:space="preserve"> +</t>
  </si>
  <si>
    <t>Qualitative Information</t>
  </si>
  <si>
    <t>a</t>
  </si>
  <si>
    <t>b</t>
  </si>
  <si>
    <t>c</t>
  </si>
  <si>
    <t>SECTOR</t>
  </si>
  <si>
    <t>FORMATO COMPARABLES</t>
  </si>
  <si>
    <t>Unidades</t>
  </si>
  <si>
    <t xml:space="preserve">TRM </t>
  </si>
  <si>
    <t>Empresa 2</t>
  </si>
  <si>
    <t>Empresa 3</t>
  </si>
  <si>
    <t>Empresa 4</t>
  </si>
  <si>
    <t>Empresa 5</t>
  </si>
  <si>
    <t>Empresa 6</t>
  </si>
  <si>
    <t>Empresa 7</t>
  </si>
  <si>
    <t>Empresa 8</t>
  </si>
  <si>
    <t>Rating Calificadora</t>
  </si>
  <si>
    <t>Flujo de Caja Operativo</t>
  </si>
  <si>
    <t>Deuda Financiera Bruta</t>
  </si>
  <si>
    <t>Caja y Activos Líquidos</t>
  </si>
  <si>
    <t>Deuda Financiera Neta</t>
  </si>
  <si>
    <t>Apalancamiento (Exigible / RP) (x)</t>
  </si>
  <si>
    <t>Capitalización (RP / Activo Total) (%)</t>
  </si>
  <si>
    <t>DFB / EBITDA (x)</t>
  </si>
  <si>
    <t>DFN / EBITDA (x)</t>
  </si>
  <si>
    <t>DFB / EBIT (x)</t>
  </si>
  <si>
    <t>DFN / EBIT (x)</t>
  </si>
  <si>
    <t>Ingreso (Var%)</t>
  </si>
  <si>
    <t>Costo Neto (%)</t>
  </si>
  <si>
    <t>Gasto Neto (%)</t>
  </si>
  <si>
    <t>Dividendos (% lay Out)</t>
  </si>
  <si>
    <t>Market Cap</t>
  </si>
  <si>
    <t>EV</t>
  </si>
  <si>
    <t>EV / EBITDA</t>
  </si>
  <si>
    <t>PER (x)</t>
  </si>
  <si>
    <t>CDS 5 años</t>
  </si>
  <si>
    <t>BRL</t>
  </si>
  <si>
    <t>Otros Ingresos Operativos</t>
  </si>
  <si>
    <t>Otros Ingresos / Egresos (%)</t>
  </si>
  <si>
    <t>Gasto Depreciación año</t>
  </si>
  <si>
    <t>BRL M</t>
  </si>
  <si>
    <t>BRL MM</t>
  </si>
  <si>
    <t>CFO</t>
  </si>
  <si>
    <t>Nombre</t>
  </si>
  <si>
    <t>Igual</t>
  </si>
  <si>
    <t>Soporte</t>
  </si>
  <si>
    <t>Comfort Suave / Verbal</t>
  </si>
  <si>
    <t>Comfort Media  / Verbal</t>
  </si>
  <si>
    <t>Comfort Media  / Acuerdo Marco</t>
  </si>
  <si>
    <t>Comfort Dura  / Cross Default / Cash Pooling</t>
  </si>
  <si>
    <t>% Apoyo</t>
  </si>
  <si>
    <t>fecha aprobaciòn acta</t>
  </si>
  <si>
    <t>Decisión</t>
  </si>
  <si>
    <t>APROBADO</t>
  </si>
  <si>
    <t>RECHAZADO</t>
  </si>
  <si>
    <t>FICHA REVISIÓN S.C.A.N - ADMISIÓN DE RIESGOS</t>
  </si>
  <si>
    <t>Ana Maria Rodriguez</t>
  </si>
  <si>
    <t>GESTOR SEGUIMIENTO:</t>
  </si>
  <si>
    <t>DARIO TORRES Z</t>
  </si>
  <si>
    <t>RESPONSABLES DE LA GESTIÓN:</t>
  </si>
  <si>
    <t>RATING ANTERIOR</t>
  </si>
  <si>
    <t>Normal</t>
  </si>
  <si>
    <t>NUEVO ESTATUS:</t>
  </si>
  <si>
    <t>3. Proactivo</t>
  </si>
  <si>
    <t>POLITICA ALTO NIVEL</t>
  </si>
  <si>
    <t>3.1. Suspensa</t>
  </si>
  <si>
    <t>POLITICA DESARROLLADA</t>
  </si>
  <si>
    <t>3.1.1. Suspensa Individual</t>
  </si>
  <si>
    <t>PERIODICIDAD</t>
  </si>
  <si>
    <t>VIGENCIA</t>
  </si>
  <si>
    <t xml:space="preserve">Manuelita </t>
  </si>
  <si>
    <t xml:space="preserve">Garantias </t>
  </si>
  <si>
    <t>Inversiones Manuelita</t>
  </si>
  <si>
    <t>Presidente Ejecutivo</t>
  </si>
  <si>
    <t>CRO Regional Andina</t>
  </si>
  <si>
    <t>Gerente Riesgo de Crédito</t>
  </si>
  <si>
    <t>Gerente de Riesgo de Mercado, Liquidez y Solv.</t>
  </si>
  <si>
    <t>Vicepresidente Comercial</t>
  </si>
  <si>
    <t>Gerente Juridico</t>
  </si>
  <si>
    <t>Posición de mercado</t>
  </si>
  <si>
    <t>Composición accionaria y administradores</t>
  </si>
  <si>
    <t>Acceso al credito</t>
  </si>
  <si>
    <t>ver estado de resultados</t>
  </si>
  <si>
    <t>Flujo de caja ver resumen cuadros</t>
  </si>
  <si>
    <t>Situación general del cliente</t>
  </si>
  <si>
    <t>ESTATUS SCAN</t>
  </si>
  <si>
    <t>POLITICA DE ALTO NIVEL</t>
  </si>
  <si>
    <t>OPINIÓN CREDITICIA Y PLANES DE ACCIÓN</t>
  </si>
  <si>
    <t xml:space="preserve">COMENTARIOS FRECUENTES DE SEGUIMIENTO </t>
  </si>
  <si>
    <t>OBSERVACIÓN</t>
  </si>
  <si>
    <t>Niveles de Seguimiento</t>
  </si>
  <si>
    <t>Responsable</t>
  </si>
  <si>
    <t>Políticas Alto Nivel</t>
  </si>
  <si>
    <t>Políticas Desarrolladas</t>
  </si>
  <si>
    <t>Periodicidad</t>
  </si>
  <si>
    <t>Vigencia</t>
  </si>
  <si>
    <t>0. No atender</t>
  </si>
  <si>
    <t>Ges Comercial y Ges Seguimiento</t>
  </si>
  <si>
    <t>0.0. Bloquear y salir</t>
  </si>
  <si>
    <t>0.0.1. Cliente en Seguimiento Especailizado</t>
  </si>
  <si>
    <t>Trimestral (CR) Anual (SR)</t>
  </si>
  <si>
    <t>1. Especializado</t>
  </si>
  <si>
    <t>Ges Comercial y Ges Recuperaciones</t>
  </si>
  <si>
    <t>1.0. Reducir Morosidad y Provisión</t>
  </si>
  <si>
    <t>0.0.2. Cliente en Seguimiento Intensivo</t>
  </si>
  <si>
    <t>2. Intensivo</t>
  </si>
  <si>
    <t>2.1. Salir-Extinguir</t>
  </si>
  <si>
    <t>0.0.3. Resto de clientes</t>
  </si>
  <si>
    <t>2.2. Reducir</t>
  </si>
  <si>
    <t>1.0.0. Reducir Pérdidas</t>
  </si>
  <si>
    <t>Hasta cumplimiento del objetivo</t>
  </si>
  <si>
    <t>4. Ordinario</t>
  </si>
  <si>
    <t>Ges Comercial y Ges Crédito</t>
  </si>
  <si>
    <t>2.1.0. Salir</t>
  </si>
  <si>
    <t>3.2. Afianzar</t>
  </si>
  <si>
    <t>2.2.1. Reducir Todos los Riesgos</t>
  </si>
  <si>
    <t>3.3. Ajustar riesgo</t>
  </si>
  <si>
    <t>2.2.2. Reducir Riesgos Financieros</t>
  </si>
  <si>
    <t>3.4. Mantener</t>
  </si>
  <si>
    <t>3 meses</t>
  </si>
  <si>
    <t>4.0. Atender con normalidad</t>
  </si>
  <si>
    <t>3.1.2. Suspensa Colectiva</t>
  </si>
  <si>
    <t>3.2.1. Tomar nuevas garantías</t>
  </si>
  <si>
    <t>6 meses</t>
  </si>
  <si>
    <t>3.2.2. Documentar correctamente los riesgos</t>
  </si>
  <si>
    <t>3.3.1. Ajustar Todos los Riesgos</t>
  </si>
  <si>
    <t>12 meses / 
Hasta cumplimiento del objetivo</t>
  </si>
  <si>
    <t>3.3.2. Ajustar Riesgos Financieros</t>
  </si>
  <si>
    <t>3.3.3. Ajustar Riesgos Financieros LP</t>
  </si>
  <si>
    <t>3.4.0. Mantener</t>
  </si>
  <si>
    <t>12 meses</t>
  </si>
  <si>
    <t>4.0.1. No incrementar límite</t>
  </si>
  <si>
    <t>4.0.2. Atender hasta apetito de riesgo</t>
  </si>
  <si>
    <t>Construcción, Concesiones, Inmobiliario</t>
  </si>
  <si>
    <t>Servicios Financieros</t>
  </si>
  <si>
    <t>Transporte</t>
  </si>
  <si>
    <t>Petróleo y Gas</t>
  </si>
  <si>
    <t>Automotriz</t>
  </si>
  <si>
    <t>Servicios</t>
  </si>
  <si>
    <t>Azúcar, Confitería, Chocolatería</t>
  </si>
  <si>
    <t>Maquinaria y Equipo Eléctrico</t>
  </si>
  <si>
    <t>Químicos</t>
  </si>
  <si>
    <t>Farmacéutico, Medicamentos</t>
  </si>
  <si>
    <t>Pulpa, Papel e Industria Gráfica</t>
  </si>
  <si>
    <t>Siderurgia</t>
  </si>
  <si>
    <t>Alimentos y Bebidas</t>
  </si>
  <si>
    <t>Salud</t>
  </si>
  <si>
    <t>Plástico</t>
  </si>
  <si>
    <t>Textil, Confección</t>
  </si>
  <si>
    <t>Servicios Públicos</t>
  </si>
  <si>
    <t>Teleco y T.I.</t>
  </si>
  <si>
    <t>Café y Té</t>
  </si>
  <si>
    <t>Distribución de combustibles</t>
  </si>
  <si>
    <t>Quimicos sector agro</t>
  </si>
  <si>
    <t>Petroquímica</t>
  </si>
  <si>
    <t>Oleaginosas, Aceites, Grasas</t>
  </si>
  <si>
    <t>Calzado</t>
  </si>
  <si>
    <t>Avícola</t>
  </si>
  <si>
    <t xml:space="preserve">Alimentos Concentrados </t>
  </si>
  <si>
    <t>2.- TABLA DE EQUIVALENCIA ENTRE RATING DE AGENCIAS Y RATING INTERNO</t>
  </si>
  <si>
    <t xml:space="preserve">GRUPO:   </t>
  </si>
  <si>
    <t>BOGOTA</t>
  </si>
  <si>
    <t>A2</t>
  </si>
  <si>
    <t>A3</t>
  </si>
  <si>
    <t>A-</t>
  </si>
  <si>
    <t>Baa1</t>
  </si>
  <si>
    <t>BBB+</t>
  </si>
  <si>
    <t>Pág</t>
  </si>
  <si>
    <t>Energía</t>
  </si>
  <si>
    <t>Logo</t>
  </si>
  <si>
    <t>Nombre analista</t>
  </si>
  <si>
    <t>Descripción compañía</t>
  </si>
</sst>
</file>

<file path=xl/styles.xml><?xml version="1.0" encoding="utf-8"?>
<styleSheet xmlns="http://schemas.openxmlformats.org/spreadsheetml/2006/main" xmlns:mc="http://schemas.openxmlformats.org/markup-compatibility/2006" xmlns:x14ac="http://schemas.microsoft.com/office/spreadsheetml/2009/9/ac" mc:Ignorable="x14ac">
  <numFmts count="48">
    <numFmt numFmtId="164" formatCode="_(* #,##0_);_(* \(#,##0\);_(* &quot;-&quot;_);_(@_)"/>
    <numFmt numFmtId="165" formatCode="_(* #,##0.00_);_(* \(#,##0.00\);_(* &quot;-&quot;??_);_(@_)"/>
    <numFmt numFmtId="166" formatCode="_-* #,##0.00\ _€_-;\-* #,##0.00\ _€_-;_-* &quot;-&quot;??\ _€_-;_-@_-"/>
    <numFmt numFmtId="167" formatCode="_-* #,##0\ _P_t_s_-;\-* #,##0\ _P_t_s_-;_-* &quot;-&quot;\ _P_t_s_-;_-@_-"/>
    <numFmt numFmtId="168" formatCode="_-* #,##0.00\ _P_t_s_-;\-* #,##0.00\ _P_t_s_-;_-* &quot;-&quot;??\ _P_t_s_-;_-@_-"/>
    <numFmt numFmtId="169" formatCode="0.0%"/>
    <numFmt numFmtId="170" formatCode="mmmm\ d\,\ yyyy"/>
    <numFmt numFmtId="171" formatCode="0.0"/>
    <numFmt numFmtId="172" formatCode="0.000"/>
    <numFmt numFmtId="173" formatCode="#,##0.0"/>
    <numFmt numFmtId="174" formatCode="0.0_);[Red]\(0.0\)"/>
    <numFmt numFmtId="175" formatCode="mmm\-yyyy"/>
    <numFmt numFmtId="176" formatCode="#,##0.0_);[Red]\(#,##0.0\)"/>
    <numFmt numFmtId="177" formatCode="General_)"/>
    <numFmt numFmtId="178" formatCode="[$$-240A]\ #,##0"/>
    <numFmt numFmtId="179" formatCode="yyyy"/>
    <numFmt numFmtId="180" formatCode="_(* #,##0.0_);_(* \(#,##0.0\);_(* &quot;-&quot;_);_(@_)"/>
    <numFmt numFmtId="181" formatCode="_-* ###0&quot;E&quot;_-;\-* ###0\ &quot;E&quot;_-;_-* &quot;-&quot;\ &quot;E&quot;_-;_-@_-"/>
    <numFmt numFmtId="182" formatCode="0.0&quot;x&quot;"/>
    <numFmt numFmtId="183" formatCode="#,##0.0_);\(#,##0.0\)"/>
    <numFmt numFmtId="184" formatCode="0;0;"/>
    <numFmt numFmtId="185" formatCode="_-* #,##0.0\ _P_t_s_-;\-* #,##0.0\ _P_t_s_-;_-* &quot;-&quot;\ _P_t_s_-;_-@_-"/>
    <numFmt numFmtId="186" formatCode="_-* #,##0\ _P_t_s_-;\-* #,##0\ _P_t_s_-;_-* &quot;-&quot;??\ _P_t_s_-;_-@_-"/>
    <numFmt numFmtId="187" formatCode="mmmm\-yy"/>
    <numFmt numFmtId="188" formatCode="dd/mm/yy;@"/>
    <numFmt numFmtId="189" formatCode="_(* #,##0.000_);_(* \(#,##0.000\);_(* &quot;-&quot;??_);_(@_)"/>
    <numFmt numFmtId="190" formatCode="_(* #,##0.0_);_(* \(#,##0.0\);_(* &quot;-&quot;??_);_(@_)"/>
    <numFmt numFmtId="191" formatCode="#,##0.0\x"/>
    <numFmt numFmtId="192" formatCode="0.000%"/>
    <numFmt numFmtId="193" formatCode="_-* #,##0.0\ _P_t_s_-;\-* #,##0.0\ _P_t_s_-;_-* &quot;-&quot;??\ _P_t_s_-;_-@_-"/>
    <numFmt numFmtId="194" formatCode="#,##0.000"/>
    <numFmt numFmtId="195" formatCode="#,##0.0000000"/>
    <numFmt numFmtId="196" formatCode="&quot;$&quot;\ #,##0"/>
    <numFmt numFmtId="197" formatCode="[$USD]\ #,##0.0"/>
    <numFmt numFmtId="198" formatCode="dd\-mm\-yy;@"/>
    <numFmt numFmtId="199" formatCode="[$-C0A]d\-mmm\-yy;@"/>
    <numFmt numFmtId="200" formatCode="#,##0.0000"/>
    <numFmt numFmtId="201" formatCode="#,##0.00000"/>
    <numFmt numFmtId="202" formatCode="mmm\-yyyy\ &quot;E&quot;"/>
    <numFmt numFmtId="203" formatCode="yyyy\ &quot;E&quot;"/>
    <numFmt numFmtId="204" formatCode="#,##0.0\ \x"/>
    <numFmt numFmtId="205" formatCode="#,##0\ &quot;días&quot;"/>
    <numFmt numFmtId="206" formatCode="0.00000"/>
    <numFmt numFmtId="207" formatCode="0.0000"/>
    <numFmt numFmtId="208" formatCode="[$-C0A]mmm\-yy;@"/>
    <numFmt numFmtId="209" formatCode="#,##0.00\ \x"/>
    <numFmt numFmtId="210" formatCode="mmm/yyyy"/>
    <numFmt numFmtId="211" formatCode="dd\ &quot;de&quot;\ mmmm\ &quot;de&quot;\ yyyy"/>
  </numFmts>
  <fonts count="193" x14ac:knownFonts="1">
    <font>
      <sz val="9"/>
      <name val="Tahoma"/>
    </font>
    <font>
      <sz val="11"/>
      <color theme="1"/>
      <name val="Calibri"/>
      <family val="2"/>
      <scheme val="minor"/>
    </font>
    <font>
      <sz val="11"/>
      <color theme="1"/>
      <name val="Calibri"/>
      <family val="2"/>
      <scheme val="minor"/>
    </font>
    <font>
      <sz val="11"/>
      <color theme="1"/>
      <name val="Calibri"/>
      <family val="2"/>
      <scheme val="minor"/>
    </font>
    <font>
      <sz val="9"/>
      <name val="Tahoma"/>
      <family val="2"/>
    </font>
    <font>
      <sz val="8"/>
      <name val="Tahoma"/>
      <family val="2"/>
    </font>
    <font>
      <b/>
      <sz val="10"/>
      <color indexed="10"/>
      <name val="Tahoma"/>
      <family val="2"/>
    </font>
    <font>
      <sz val="10"/>
      <name val="Tahoma"/>
      <family val="2"/>
    </font>
    <font>
      <sz val="10"/>
      <name val="Tahoma"/>
      <family val="2"/>
    </font>
    <font>
      <b/>
      <sz val="8"/>
      <name val="Tahoma"/>
      <family val="2"/>
    </font>
    <font>
      <b/>
      <i/>
      <sz val="8"/>
      <name val="Tahoma"/>
      <family val="2"/>
    </font>
    <font>
      <b/>
      <sz val="12"/>
      <name val="Tahoma"/>
      <family val="2"/>
    </font>
    <font>
      <b/>
      <sz val="9"/>
      <name val="Tahoma"/>
      <family val="2"/>
    </font>
    <font>
      <sz val="8"/>
      <color indexed="10"/>
      <name val="Tahoma"/>
      <family val="2"/>
    </font>
    <font>
      <b/>
      <sz val="8"/>
      <color indexed="8"/>
      <name val="Tahoma"/>
      <family val="2"/>
    </font>
    <font>
      <sz val="9"/>
      <name val="Tahoma"/>
      <family val="2"/>
    </font>
    <font>
      <sz val="8"/>
      <color indexed="8"/>
      <name val="Tahoma"/>
      <family val="2"/>
    </font>
    <font>
      <b/>
      <sz val="8"/>
      <color indexed="10"/>
      <name val="Tahoma"/>
      <family val="2"/>
    </font>
    <font>
      <sz val="14"/>
      <color indexed="10"/>
      <name val="Tahoma"/>
      <family val="2"/>
    </font>
    <font>
      <b/>
      <sz val="10"/>
      <name val="Tahoma"/>
      <family val="2"/>
    </font>
    <font>
      <sz val="8"/>
      <color indexed="81"/>
      <name val="Tahoma"/>
      <family val="2"/>
    </font>
    <font>
      <b/>
      <sz val="8"/>
      <color indexed="81"/>
      <name val="Tahoma"/>
      <family val="2"/>
    </font>
    <font>
      <sz val="10"/>
      <color indexed="18"/>
      <name val="Tahoma"/>
      <family val="2"/>
    </font>
    <font>
      <b/>
      <sz val="10"/>
      <color indexed="18"/>
      <name val="Tahoma"/>
      <family val="2"/>
    </font>
    <font>
      <b/>
      <u/>
      <sz val="10"/>
      <color indexed="18"/>
      <name val="Tahoma"/>
      <family val="2"/>
    </font>
    <font>
      <b/>
      <sz val="11"/>
      <color indexed="18"/>
      <name val="Tahoma"/>
      <family val="2"/>
    </font>
    <font>
      <sz val="9"/>
      <color indexed="18"/>
      <name val="Tahoma"/>
      <family val="2"/>
    </font>
    <font>
      <sz val="10"/>
      <color indexed="14"/>
      <name val="Tahoma"/>
      <family val="2"/>
    </font>
    <font>
      <b/>
      <i/>
      <sz val="10"/>
      <color indexed="18"/>
      <name val="Tahoma"/>
      <family val="2"/>
    </font>
    <font>
      <b/>
      <sz val="10"/>
      <color indexed="9"/>
      <name val="Tahoma"/>
      <family val="2"/>
    </font>
    <font>
      <b/>
      <sz val="14"/>
      <name val="Tahoma"/>
      <family val="2"/>
    </font>
    <font>
      <b/>
      <u/>
      <sz val="10"/>
      <name val="Tahoma"/>
      <family val="2"/>
    </font>
    <font>
      <u/>
      <sz val="10"/>
      <name val="Tahoma"/>
      <family val="2"/>
    </font>
    <font>
      <sz val="10"/>
      <name val="Arial"/>
      <family val="2"/>
    </font>
    <font>
      <sz val="12"/>
      <name val="Helv"/>
    </font>
    <font>
      <b/>
      <sz val="14"/>
      <name val="Arial"/>
      <family val="2"/>
    </font>
    <font>
      <b/>
      <sz val="10"/>
      <name val="Arial"/>
      <family val="2"/>
    </font>
    <font>
      <sz val="10"/>
      <name val="Arial"/>
      <family val="2"/>
    </font>
    <font>
      <b/>
      <sz val="8"/>
      <name val="Arial"/>
      <family val="2"/>
    </font>
    <font>
      <b/>
      <sz val="8"/>
      <name val="Times New Roman"/>
      <family val="1"/>
    </font>
    <font>
      <b/>
      <sz val="10"/>
      <name val="Times New Roman"/>
      <family val="1"/>
    </font>
    <font>
      <i/>
      <sz val="8"/>
      <name val="Tahoma"/>
      <family val="2"/>
    </font>
    <font>
      <sz val="7.5"/>
      <name val="Tahoma"/>
      <family val="2"/>
    </font>
    <font>
      <sz val="8"/>
      <color indexed="10"/>
      <name val="Arial"/>
      <family val="2"/>
    </font>
    <font>
      <sz val="8"/>
      <name val="Arial"/>
      <family val="2"/>
    </font>
    <font>
      <b/>
      <sz val="8"/>
      <color indexed="10"/>
      <name val="Arial"/>
      <family val="2"/>
    </font>
    <font>
      <b/>
      <sz val="7"/>
      <name val="Arial"/>
      <family val="2"/>
    </font>
    <font>
      <b/>
      <sz val="15"/>
      <name val="Tahoma"/>
      <family val="2"/>
    </font>
    <font>
      <sz val="10"/>
      <color indexed="9"/>
      <name val="Tahoma"/>
      <family val="2"/>
    </font>
    <font>
      <b/>
      <sz val="9"/>
      <color indexed="18"/>
      <name val="Tahoma"/>
      <family val="2"/>
    </font>
    <font>
      <b/>
      <sz val="8"/>
      <color indexed="9"/>
      <name val="Tahoma"/>
      <family val="2"/>
    </font>
    <font>
      <sz val="8"/>
      <color indexed="9"/>
      <name val="Tahoma"/>
      <family val="2"/>
    </font>
    <font>
      <b/>
      <sz val="10"/>
      <name val="Tms Rmn"/>
    </font>
    <font>
      <sz val="10"/>
      <name val="Tms Rmn"/>
    </font>
    <font>
      <b/>
      <sz val="11"/>
      <name val="Arial"/>
      <family val="2"/>
    </font>
    <font>
      <sz val="10"/>
      <color indexed="16"/>
      <name val="Tms Rmn"/>
    </font>
    <font>
      <sz val="11"/>
      <name val="Times New Roman"/>
      <family val="1"/>
    </font>
    <font>
      <sz val="12"/>
      <name val="Times New Roman"/>
      <family val="1"/>
    </font>
    <font>
      <b/>
      <sz val="7"/>
      <name val="Tahoma"/>
      <family val="2"/>
    </font>
    <font>
      <sz val="7"/>
      <color indexed="81"/>
      <name val="Tahoma"/>
      <family val="2"/>
    </font>
    <font>
      <sz val="5"/>
      <name val="Arial"/>
      <family val="2"/>
    </font>
    <font>
      <b/>
      <sz val="9"/>
      <name val="Arial"/>
      <family val="2"/>
    </font>
    <font>
      <sz val="7"/>
      <name val="Tahoma"/>
      <family val="2"/>
    </font>
    <font>
      <b/>
      <sz val="8"/>
      <color theme="0"/>
      <name val="Tahoma"/>
      <family val="2"/>
    </font>
    <font>
      <b/>
      <sz val="8"/>
      <color theme="0" tint="-0.499984740745262"/>
      <name val="Arial"/>
      <family val="2"/>
    </font>
    <font>
      <sz val="8"/>
      <color theme="1"/>
      <name val="Arial"/>
      <family val="2"/>
    </font>
    <font>
      <b/>
      <sz val="14"/>
      <color rgb="FFFF0000"/>
      <name val="Arial"/>
      <family val="2"/>
    </font>
    <font>
      <b/>
      <sz val="8"/>
      <color theme="1"/>
      <name val="Arial"/>
      <family val="2"/>
    </font>
    <font>
      <sz val="14"/>
      <color theme="1"/>
      <name val="Arial"/>
      <family val="2"/>
    </font>
    <font>
      <sz val="8"/>
      <color theme="1"/>
      <name val="Calibri"/>
      <family val="2"/>
    </font>
    <font>
      <b/>
      <sz val="10"/>
      <color theme="0" tint="-0.499984740745262"/>
      <name val="Arial"/>
      <family val="2"/>
    </font>
    <font>
      <sz val="9"/>
      <color theme="1"/>
      <name val="Arial"/>
      <family val="2"/>
    </font>
    <font>
      <b/>
      <sz val="8"/>
      <color theme="1" tint="0.34998626667073579"/>
      <name val="Arial"/>
      <family val="2"/>
    </font>
    <font>
      <b/>
      <sz val="9"/>
      <color theme="1"/>
      <name val="Arial"/>
      <family val="2"/>
    </font>
    <font>
      <b/>
      <sz val="12"/>
      <color theme="1"/>
      <name val="Arial"/>
      <family val="2"/>
    </font>
    <font>
      <b/>
      <sz val="20"/>
      <color theme="1"/>
      <name val="Arial"/>
      <family val="2"/>
    </font>
    <font>
      <b/>
      <sz val="16"/>
      <color theme="1"/>
      <name val="Arial"/>
      <family val="2"/>
    </font>
    <font>
      <sz val="7"/>
      <color theme="1"/>
      <name val="Arial"/>
      <family val="2"/>
    </font>
    <font>
      <b/>
      <sz val="7"/>
      <color rgb="FFFF0000"/>
      <name val="Arial"/>
      <family val="2"/>
    </font>
    <font>
      <b/>
      <sz val="6"/>
      <color theme="1"/>
      <name val="Arial"/>
      <family val="2"/>
    </font>
    <font>
      <b/>
      <sz val="7"/>
      <color theme="0"/>
      <name val="Tahoma"/>
      <family val="2"/>
    </font>
    <font>
      <b/>
      <sz val="14"/>
      <color theme="1"/>
      <name val="Arial"/>
      <family val="2"/>
    </font>
    <font>
      <b/>
      <sz val="7"/>
      <color theme="1"/>
      <name val="Arial"/>
      <family val="2"/>
    </font>
    <font>
      <b/>
      <sz val="11"/>
      <name val="Tahoma"/>
      <family val="2"/>
    </font>
    <font>
      <sz val="11"/>
      <name val="Tahoma"/>
      <family val="2"/>
    </font>
    <font>
      <sz val="14"/>
      <name val="Tahoma"/>
      <family val="2"/>
    </font>
    <font>
      <b/>
      <sz val="9"/>
      <color theme="0"/>
      <name val="Tahoma"/>
      <family val="2"/>
    </font>
    <font>
      <sz val="9"/>
      <color theme="0"/>
      <name val="Tahoma"/>
      <family val="2"/>
    </font>
    <font>
      <b/>
      <sz val="9"/>
      <color theme="1"/>
      <name val="Tahoma"/>
      <family val="2"/>
    </font>
    <font>
      <sz val="9"/>
      <color theme="1"/>
      <name val="Tahoma"/>
      <family val="2"/>
    </font>
    <font>
      <b/>
      <sz val="15"/>
      <name val="Arial"/>
      <family val="2"/>
    </font>
    <font>
      <sz val="8"/>
      <color theme="0"/>
      <name val="Arial"/>
      <family val="2"/>
    </font>
    <font>
      <sz val="9"/>
      <name val="Arial"/>
      <family val="2"/>
    </font>
    <font>
      <i/>
      <sz val="8"/>
      <name val="Arial"/>
      <family val="2"/>
    </font>
    <font>
      <sz val="10"/>
      <color indexed="18"/>
      <name val="Arial"/>
      <family val="2"/>
    </font>
    <font>
      <b/>
      <sz val="10"/>
      <color indexed="18"/>
      <name val="Arial"/>
      <family val="2"/>
    </font>
    <font>
      <b/>
      <sz val="10"/>
      <color indexed="10"/>
      <name val="Arial"/>
      <family val="2"/>
    </font>
    <font>
      <b/>
      <u/>
      <sz val="10"/>
      <color indexed="18"/>
      <name val="Arial"/>
      <family val="2"/>
    </font>
    <font>
      <b/>
      <sz val="11"/>
      <color indexed="18"/>
      <name val="Arial"/>
      <family val="2"/>
    </font>
    <font>
      <sz val="9"/>
      <color indexed="18"/>
      <name val="Arial"/>
      <family val="2"/>
    </font>
    <font>
      <sz val="10"/>
      <color indexed="14"/>
      <name val="Arial"/>
      <family val="2"/>
    </font>
    <font>
      <b/>
      <i/>
      <sz val="10"/>
      <color indexed="18"/>
      <name val="Arial"/>
      <family val="2"/>
    </font>
    <font>
      <b/>
      <sz val="9"/>
      <color indexed="18"/>
      <name val="Arial"/>
      <family val="2"/>
    </font>
    <font>
      <b/>
      <sz val="10"/>
      <color indexed="9"/>
      <name val="Arial"/>
      <family val="2"/>
    </font>
    <font>
      <b/>
      <sz val="8"/>
      <color rgb="FF595959"/>
      <name val="Arial"/>
      <family val="2"/>
    </font>
    <font>
      <sz val="8.5"/>
      <color indexed="18"/>
      <name val="Arial"/>
      <family val="2"/>
    </font>
    <font>
      <b/>
      <sz val="8.5"/>
      <color indexed="18"/>
      <name val="Arial"/>
      <family val="2"/>
    </font>
    <font>
      <sz val="10"/>
      <color theme="1"/>
      <name val="Arial"/>
      <family val="2"/>
    </font>
    <font>
      <b/>
      <sz val="10"/>
      <color theme="1"/>
      <name val="Arial"/>
      <family val="2"/>
    </font>
    <font>
      <sz val="8.5"/>
      <color theme="1"/>
      <name val="Arial"/>
      <family val="2"/>
    </font>
    <font>
      <b/>
      <sz val="8.5"/>
      <color theme="1"/>
      <name val="Arial"/>
      <family val="2"/>
    </font>
    <font>
      <sz val="8.5"/>
      <name val="Arial"/>
      <family val="2"/>
    </font>
    <font>
      <b/>
      <sz val="8.5"/>
      <name val="Arial"/>
      <family val="2"/>
    </font>
    <font>
      <b/>
      <sz val="8"/>
      <color theme="0"/>
      <name val="Arial"/>
      <family val="2"/>
    </font>
    <font>
      <b/>
      <sz val="8"/>
      <color indexed="10"/>
      <name val="Calibri"/>
      <family val="2"/>
      <scheme val="minor"/>
    </font>
    <font>
      <sz val="8"/>
      <name val="Calibri"/>
      <family val="2"/>
      <scheme val="minor"/>
    </font>
    <font>
      <b/>
      <sz val="8"/>
      <color indexed="18"/>
      <name val="Calibri"/>
      <family val="2"/>
      <scheme val="minor"/>
    </font>
    <font>
      <sz val="8"/>
      <color indexed="56"/>
      <name val="Calibri"/>
      <family val="2"/>
      <scheme val="minor"/>
    </font>
    <font>
      <b/>
      <sz val="8"/>
      <color indexed="56"/>
      <name val="Calibri"/>
      <family val="2"/>
      <scheme val="minor"/>
    </font>
    <font>
      <b/>
      <u/>
      <sz val="8"/>
      <color indexed="10"/>
      <name val="Calibri"/>
      <family val="2"/>
      <scheme val="minor"/>
    </font>
    <font>
      <b/>
      <i/>
      <sz val="8"/>
      <name val="Arial"/>
      <family val="2"/>
    </font>
    <font>
      <b/>
      <sz val="8"/>
      <color indexed="8"/>
      <name val="Arial"/>
      <family val="2"/>
    </font>
    <font>
      <sz val="8"/>
      <color indexed="8"/>
      <name val="Arial"/>
      <family val="2"/>
    </font>
    <font>
      <sz val="8"/>
      <color indexed="9"/>
      <name val="Arial"/>
      <family val="2"/>
    </font>
    <font>
      <sz val="7"/>
      <name val="Arial"/>
      <family val="2"/>
    </font>
    <font>
      <sz val="7"/>
      <color indexed="10"/>
      <name val="Arial"/>
      <family val="2"/>
    </font>
    <font>
      <b/>
      <sz val="7"/>
      <color indexed="23"/>
      <name val="Arial"/>
      <family val="2"/>
    </font>
    <font>
      <b/>
      <sz val="7"/>
      <color indexed="8"/>
      <name val="Arial"/>
      <family val="2"/>
    </font>
    <font>
      <b/>
      <sz val="7"/>
      <color indexed="10"/>
      <name val="Arial"/>
      <family val="2"/>
    </font>
    <font>
      <sz val="7"/>
      <color indexed="8"/>
      <name val="Arial"/>
      <family val="2"/>
    </font>
    <font>
      <i/>
      <sz val="8"/>
      <color theme="0"/>
      <name val="Arial"/>
      <family val="2"/>
    </font>
    <font>
      <sz val="9.5"/>
      <name val="Arial"/>
      <family val="2"/>
    </font>
    <font>
      <sz val="9.5"/>
      <color indexed="9"/>
      <name val="Arial"/>
      <family val="2"/>
    </font>
    <font>
      <b/>
      <sz val="9.5"/>
      <name val="Arial"/>
      <family val="2"/>
    </font>
    <font>
      <b/>
      <i/>
      <sz val="9.5"/>
      <name val="Arial"/>
      <family val="2"/>
    </font>
    <font>
      <b/>
      <sz val="9.5"/>
      <color indexed="8"/>
      <name val="Arial"/>
      <family val="2"/>
    </font>
    <font>
      <sz val="9.5"/>
      <color indexed="8"/>
      <name val="Arial"/>
      <family val="2"/>
    </font>
    <font>
      <sz val="9.5"/>
      <color indexed="10"/>
      <name val="Arial"/>
      <family val="2"/>
    </font>
    <font>
      <b/>
      <sz val="9.5"/>
      <color indexed="9"/>
      <name val="Arial"/>
      <family val="2"/>
    </font>
    <font>
      <b/>
      <sz val="9.5"/>
      <color indexed="10"/>
      <name val="Arial"/>
      <family val="2"/>
    </font>
    <font>
      <b/>
      <sz val="8.5"/>
      <color theme="0"/>
      <name val="Arial"/>
      <family val="2"/>
    </font>
    <font>
      <b/>
      <sz val="9"/>
      <color theme="0"/>
      <name val="Arial"/>
      <family val="2"/>
    </font>
    <font>
      <b/>
      <sz val="8.5"/>
      <color rgb="FFFF0000"/>
      <name val="Arial"/>
      <family val="2"/>
    </font>
    <font>
      <b/>
      <sz val="8"/>
      <color rgb="FFFF0000"/>
      <name val="Arial"/>
      <family val="2"/>
    </font>
    <font>
      <sz val="8.5"/>
      <color rgb="FFFF0000"/>
      <name val="Arial"/>
      <family val="2"/>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0"/>
      <color theme="0"/>
      <name val="Arial"/>
      <family val="2"/>
    </font>
    <font>
      <sz val="10"/>
      <color rgb="FF000000"/>
      <name val="Arial"/>
      <family val="2"/>
    </font>
    <font>
      <b/>
      <sz val="8"/>
      <color indexed="9"/>
      <name val="Calibri"/>
      <family val="2"/>
    </font>
    <font>
      <sz val="11"/>
      <color indexed="8"/>
      <name val="Tahoma"/>
      <family val="2"/>
    </font>
    <font>
      <b/>
      <sz val="11"/>
      <color rgb="FFFFFFFF"/>
      <name val="Calibri"/>
      <family val="2"/>
    </font>
    <font>
      <sz val="11"/>
      <color rgb="FF000000"/>
      <name val="Arial"/>
      <family val="2"/>
    </font>
    <font>
      <sz val="8"/>
      <color theme="1"/>
      <name val="Calibri"/>
      <family val="2"/>
      <scheme val="minor"/>
    </font>
    <font>
      <b/>
      <sz val="8"/>
      <color theme="1"/>
      <name val="Calibri"/>
      <family val="2"/>
      <scheme val="minor"/>
    </font>
    <font>
      <b/>
      <sz val="8"/>
      <color rgb="FF002060"/>
      <name val="Calibri"/>
      <family val="2"/>
      <scheme val="minor"/>
    </font>
    <font>
      <b/>
      <sz val="11"/>
      <color theme="1"/>
      <name val="Arial"/>
      <family val="2"/>
    </font>
    <font>
      <b/>
      <sz val="7"/>
      <color theme="0"/>
      <name val="Arial"/>
      <family val="2"/>
    </font>
    <font>
      <b/>
      <sz val="7.5"/>
      <color rgb="FFFF0000"/>
      <name val="Arial"/>
      <family val="2"/>
    </font>
    <font>
      <sz val="7.5"/>
      <name val="Arial"/>
      <family val="2"/>
    </font>
    <font>
      <b/>
      <sz val="7.5"/>
      <color theme="0"/>
      <name val="Arial"/>
      <family val="2"/>
    </font>
    <font>
      <b/>
      <sz val="7.5"/>
      <color rgb="FF002060"/>
      <name val="Arial"/>
      <family val="2"/>
    </font>
    <font>
      <b/>
      <sz val="8"/>
      <color indexed="9"/>
      <name val="Arial"/>
      <family val="2"/>
    </font>
    <font>
      <sz val="7"/>
      <color theme="0"/>
      <name val="Arial"/>
      <family val="2"/>
    </font>
    <font>
      <sz val="11"/>
      <name val="Calibri Light"/>
      <family val="2"/>
    </font>
    <font>
      <sz val="8"/>
      <name val="Calibri Light"/>
      <family val="2"/>
    </font>
    <font>
      <b/>
      <sz val="9"/>
      <color theme="0"/>
      <name val="Calibri Light"/>
      <family val="2"/>
    </font>
    <font>
      <b/>
      <sz val="22"/>
      <name val="Arial"/>
      <family val="2"/>
    </font>
    <font>
      <sz val="9.5"/>
      <color rgb="FFFF0000"/>
      <name val="Arial"/>
      <family val="2"/>
    </font>
    <font>
      <b/>
      <sz val="9.5"/>
      <color theme="0"/>
      <name val="Arial"/>
      <family val="2"/>
    </font>
    <font>
      <sz val="9"/>
      <color rgb="FF000000"/>
      <name val="Tahoma"/>
      <family val="2"/>
    </font>
    <font>
      <u/>
      <sz val="7"/>
      <name val="Arial"/>
      <family val="2"/>
    </font>
    <font>
      <b/>
      <u val="singleAccounting"/>
      <sz val="7"/>
      <name val="Arial"/>
      <family val="2"/>
    </font>
    <font>
      <u val="singleAccounting"/>
      <sz val="7"/>
      <name val="Arial"/>
      <family val="2"/>
    </font>
    <font>
      <sz val="9"/>
      <color indexed="81"/>
      <name val="Tahoma"/>
      <family val="2"/>
    </font>
    <font>
      <b/>
      <sz val="9"/>
      <color indexed="81"/>
      <name val="Tahoma"/>
      <family val="2"/>
    </font>
    <font>
      <sz val="10"/>
      <name val="Verdana"/>
    </font>
    <font>
      <b/>
      <sz val="12"/>
      <color indexed="18"/>
      <name val="Arial"/>
      <family val="2"/>
    </font>
    <font>
      <sz val="32"/>
      <name val="Arial"/>
      <family val="2"/>
    </font>
    <font>
      <sz val="32"/>
      <name val="Verdana"/>
      <family val="2"/>
    </font>
    <font>
      <sz val="38"/>
      <name val="Arial"/>
      <family val="2"/>
    </font>
    <font>
      <b/>
      <sz val="34"/>
      <name val="Arial"/>
      <family val="2"/>
    </font>
    <font>
      <b/>
      <sz val="9"/>
      <color indexed="31"/>
      <name val="Arial"/>
      <family val="2"/>
    </font>
    <font>
      <b/>
      <sz val="12"/>
      <name val="Arial"/>
      <family val="2"/>
    </font>
    <font>
      <b/>
      <sz val="6"/>
      <color indexed="31"/>
      <name val="Arial"/>
      <family val="2"/>
    </font>
    <font>
      <b/>
      <sz val="6.5"/>
      <color indexed="31"/>
      <name val="Arial"/>
      <family val="2"/>
    </font>
    <font>
      <b/>
      <sz val="6.5"/>
      <color indexed="30"/>
      <name val="Arial"/>
      <family val="2"/>
    </font>
    <font>
      <b/>
      <sz val="6.5"/>
      <name val="Arial"/>
      <family val="2"/>
    </font>
    <font>
      <b/>
      <sz val="6.5"/>
      <color indexed="9"/>
      <name val="Arial"/>
      <family val="2"/>
    </font>
    <font>
      <sz val="10"/>
      <color indexed="9"/>
      <name val="Arial"/>
      <family val="2"/>
    </font>
    <font>
      <b/>
      <sz val="6"/>
      <name val="Arial"/>
      <family val="2"/>
    </font>
  </fonts>
  <fills count="38">
    <fill>
      <patternFill patternType="none"/>
    </fill>
    <fill>
      <patternFill patternType="gray125"/>
    </fill>
    <fill>
      <patternFill patternType="gray0625">
        <fgColor indexed="12"/>
      </patternFill>
    </fill>
    <fill>
      <patternFill patternType="solid">
        <fgColor indexed="9"/>
        <bgColor indexed="64"/>
      </patternFill>
    </fill>
    <fill>
      <patternFill patternType="gray0625">
        <fgColor indexed="22"/>
        <bgColor indexed="9"/>
      </patternFill>
    </fill>
    <fill>
      <patternFill patternType="solid">
        <fgColor indexed="22"/>
        <bgColor indexed="64"/>
      </patternFill>
    </fill>
    <fill>
      <patternFill patternType="solid">
        <fgColor indexed="42"/>
        <bgColor indexed="64"/>
      </patternFill>
    </fill>
    <fill>
      <patternFill patternType="solid">
        <fgColor indexed="41"/>
        <bgColor indexed="64"/>
      </patternFill>
    </fill>
    <fill>
      <patternFill patternType="solid">
        <fgColor indexed="47"/>
        <bgColor indexed="64"/>
      </patternFill>
    </fill>
    <fill>
      <patternFill patternType="solid">
        <fgColor indexed="13"/>
        <bgColor indexed="64"/>
      </patternFill>
    </fill>
    <fill>
      <patternFill patternType="solid">
        <fgColor indexed="43"/>
        <bgColor indexed="64"/>
      </patternFill>
    </fill>
    <fill>
      <patternFill patternType="solid">
        <fgColor indexed="26"/>
        <bgColor indexed="64"/>
      </patternFill>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499984740745262"/>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0.89999084444715716"/>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rgb="FFFFFFFF"/>
        <bgColor indexed="64"/>
      </patternFill>
    </fill>
    <fill>
      <patternFill patternType="solid">
        <fgColor rgb="FF00CC00"/>
        <bgColor indexed="64"/>
      </patternFill>
    </fill>
    <fill>
      <patternFill patternType="solid">
        <fgColor rgb="FF8E0000"/>
        <bgColor indexed="64"/>
      </patternFill>
    </fill>
    <fill>
      <patternFill patternType="solid">
        <fgColor rgb="FF0000CC"/>
        <bgColor indexed="64"/>
      </patternFill>
    </fill>
  </fills>
  <borders count="294">
    <border>
      <left/>
      <right/>
      <top/>
      <bottom/>
      <diagonal/>
    </border>
    <border>
      <left style="medium">
        <color indexed="18"/>
      </left>
      <right/>
      <top style="thick">
        <color indexed="18"/>
      </top>
      <bottom/>
      <diagonal/>
    </border>
    <border>
      <left/>
      <right/>
      <top style="thick">
        <color indexed="18"/>
      </top>
      <bottom/>
      <diagonal/>
    </border>
    <border>
      <left/>
      <right style="medium">
        <color indexed="18"/>
      </right>
      <top style="thick">
        <color indexed="18"/>
      </top>
      <bottom/>
      <diagonal/>
    </border>
    <border>
      <left style="medium">
        <color indexed="18"/>
      </left>
      <right/>
      <top/>
      <bottom/>
      <diagonal/>
    </border>
    <border>
      <left/>
      <right style="medium">
        <color indexed="18"/>
      </right>
      <top/>
      <bottom/>
      <diagonal/>
    </border>
    <border>
      <left style="thin">
        <color indexed="18"/>
      </left>
      <right style="thin">
        <color indexed="18"/>
      </right>
      <top style="thin">
        <color indexed="18"/>
      </top>
      <bottom style="thin">
        <color indexed="18"/>
      </bottom>
      <diagonal/>
    </border>
    <border>
      <left style="medium">
        <color indexed="18"/>
      </left>
      <right/>
      <top/>
      <bottom style="medium">
        <color indexed="18"/>
      </bottom>
      <diagonal/>
    </border>
    <border>
      <left/>
      <right/>
      <top/>
      <bottom style="medium">
        <color indexed="18"/>
      </bottom>
      <diagonal/>
    </border>
    <border>
      <left/>
      <right style="medium">
        <color indexed="18"/>
      </right>
      <top/>
      <bottom style="medium">
        <color indexed="18"/>
      </bottom>
      <diagonal/>
    </border>
    <border>
      <left style="thin">
        <color indexed="32"/>
      </left>
      <right style="hair">
        <color indexed="32"/>
      </right>
      <top style="hair">
        <color indexed="32"/>
      </top>
      <bottom style="hair">
        <color indexed="32"/>
      </bottom>
      <diagonal/>
    </border>
    <border>
      <left/>
      <right style="thin">
        <color indexed="32"/>
      </right>
      <top style="hair">
        <color indexed="32"/>
      </top>
      <bottom style="hair">
        <color indexed="32"/>
      </bottom>
      <diagonal/>
    </border>
    <border>
      <left style="thin">
        <color indexed="32"/>
      </left>
      <right style="hair">
        <color indexed="32"/>
      </right>
      <top style="hair">
        <color indexed="32"/>
      </top>
      <bottom/>
      <diagonal/>
    </border>
    <border>
      <left/>
      <right style="thin">
        <color indexed="32"/>
      </right>
      <top style="hair">
        <color indexed="32"/>
      </top>
      <bottom/>
      <diagonal/>
    </border>
    <border>
      <left style="thin">
        <color indexed="32"/>
      </left>
      <right style="hair">
        <color indexed="32"/>
      </right>
      <top style="thin">
        <color indexed="32"/>
      </top>
      <bottom style="thin">
        <color indexed="32"/>
      </bottom>
      <diagonal/>
    </border>
    <border>
      <left/>
      <right style="thin">
        <color indexed="32"/>
      </right>
      <top style="thin">
        <color indexed="32"/>
      </top>
      <bottom style="thin">
        <color indexed="32"/>
      </bottom>
      <diagonal/>
    </border>
    <border>
      <left style="thick">
        <color indexed="12"/>
      </left>
      <right/>
      <top style="thick">
        <color indexed="12"/>
      </top>
      <bottom/>
      <diagonal/>
    </border>
    <border>
      <left/>
      <right/>
      <top style="thick">
        <color indexed="12"/>
      </top>
      <bottom/>
      <diagonal/>
    </border>
    <border>
      <left/>
      <right style="thick">
        <color indexed="12"/>
      </right>
      <top style="thick">
        <color indexed="12"/>
      </top>
      <bottom/>
      <diagonal/>
    </border>
    <border>
      <left style="thick">
        <color indexed="12"/>
      </left>
      <right/>
      <top/>
      <bottom style="thick">
        <color indexed="12"/>
      </bottom>
      <diagonal/>
    </border>
    <border>
      <left/>
      <right/>
      <top/>
      <bottom style="thick">
        <color indexed="12"/>
      </bottom>
      <diagonal/>
    </border>
    <border>
      <left/>
      <right style="thick">
        <color indexed="12"/>
      </right>
      <top/>
      <bottom style="thick">
        <color indexed="12"/>
      </bottom>
      <diagonal/>
    </border>
    <border>
      <left/>
      <right/>
      <top/>
      <bottom style="thin">
        <color indexed="18"/>
      </bottom>
      <diagonal/>
    </border>
    <border>
      <left style="double">
        <color indexed="32"/>
      </left>
      <right style="thin">
        <color indexed="32"/>
      </right>
      <top style="double">
        <color indexed="32"/>
      </top>
      <bottom style="double">
        <color indexed="32"/>
      </bottom>
      <diagonal/>
    </border>
    <border>
      <left style="thin">
        <color indexed="32"/>
      </left>
      <right style="thin">
        <color indexed="32"/>
      </right>
      <top style="double">
        <color indexed="32"/>
      </top>
      <bottom style="double">
        <color indexed="32"/>
      </bottom>
      <diagonal/>
    </border>
    <border>
      <left style="thin">
        <color indexed="32"/>
      </left>
      <right style="double">
        <color indexed="32"/>
      </right>
      <top style="double">
        <color indexed="32"/>
      </top>
      <bottom style="double">
        <color indexed="32"/>
      </bottom>
      <diagonal/>
    </border>
    <border>
      <left style="thin">
        <color indexed="32"/>
      </left>
      <right style="thin">
        <color indexed="32"/>
      </right>
      <top style="double">
        <color indexed="32"/>
      </top>
      <bottom style="hair">
        <color indexed="32"/>
      </bottom>
      <diagonal/>
    </border>
    <border>
      <left style="thin">
        <color indexed="32"/>
      </left>
      <right style="double">
        <color indexed="32"/>
      </right>
      <top style="double">
        <color indexed="32"/>
      </top>
      <bottom style="hair">
        <color indexed="32"/>
      </bottom>
      <diagonal/>
    </border>
    <border>
      <left style="thin">
        <color indexed="32"/>
      </left>
      <right style="thin">
        <color indexed="32"/>
      </right>
      <top style="hair">
        <color indexed="32"/>
      </top>
      <bottom style="hair">
        <color indexed="32"/>
      </bottom>
      <diagonal/>
    </border>
    <border>
      <left style="thin">
        <color indexed="32"/>
      </left>
      <right style="double">
        <color indexed="32"/>
      </right>
      <top style="hair">
        <color indexed="32"/>
      </top>
      <bottom style="hair">
        <color indexed="32"/>
      </bottom>
      <diagonal/>
    </border>
    <border>
      <left style="thin">
        <color indexed="32"/>
      </left>
      <right style="thin">
        <color indexed="32"/>
      </right>
      <top style="hair">
        <color indexed="32"/>
      </top>
      <bottom style="double">
        <color indexed="32"/>
      </bottom>
      <diagonal/>
    </border>
    <border>
      <left style="thin">
        <color indexed="32"/>
      </left>
      <right style="double">
        <color indexed="32"/>
      </right>
      <top style="hair">
        <color indexed="32"/>
      </top>
      <bottom style="double">
        <color indexed="32"/>
      </bottom>
      <diagonal/>
    </border>
    <border>
      <left/>
      <right/>
      <top style="double">
        <color indexed="32"/>
      </top>
      <bottom/>
      <diagonal/>
    </border>
    <border>
      <left style="double">
        <color indexed="32"/>
      </left>
      <right/>
      <top/>
      <bottom style="double">
        <color indexed="32"/>
      </bottom>
      <diagonal/>
    </border>
    <border>
      <left/>
      <right/>
      <top/>
      <bottom style="double">
        <color indexed="3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double">
        <color indexed="64"/>
      </top>
      <bottom style="double">
        <color indexed="64"/>
      </bottom>
      <diagonal/>
    </border>
    <border>
      <left/>
      <right/>
      <top style="double">
        <color indexed="64"/>
      </top>
      <bottom style="double">
        <color indexed="64"/>
      </bottom>
      <diagonal/>
    </border>
    <border>
      <left/>
      <right style="medium">
        <color indexed="64"/>
      </right>
      <top style="double">
        <color indexed="64"/>
      </top>
      <bottom style="double">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32"/>
      </left>
      <right style="thin">
        <color indexed="32"/>
      </right>
      <top style="thin">
        <color indexed="32"/>
      </top>
      <bottom style="thin">
        <color indexed="32"/>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55"/>
      </bottom>
      <diagonal/>
    </border>
    <border>
      <left/>
      <right style="thin">
        <color indexed="55"/>
      </right>
      <top/>
      <bottom style="thin">
        <color indexed="55"/>
      </bottom>
      <diagonal/>
    </border>
    <border>
      <left style="medium">
        <color indexed="32"/>
      </left>
      <right style="medium">
        <color indexed="32"/>
      </right>
      <top style="medium">
        <color indexed="32"/>
      </top>
      <bottom/>
      <diagonal/>
    </border>
    <border>
      <left style="thin">
        <color indexed="32"/>
      </left>
      <right style="hair">
        <color indexed="32"/>
      </right>
      <top style="hair">
        <color indexed="32"/>
      </top>
      <bottom style="medium">
        <color indexed="32"/>
      </bottom>
      <diagonal/>
    </border>
    <border>
      <left/>
      <right style="thin">
        <color indexed="32"/>
      </right>
      <top style="hair">
        <color indexed="32"/>
      </top>
      <bottom style="medium">
        <color indexed="32"/>
      </bottom>
      <diagonal/>
    </border>
    <border>
      <left style="thin">
        <color indexed="32"/>
      </left>
      <right style="hair">
        <color indexed="32"/>
      </right>
      <top/>
      <bottom/>
      <diagonal/>
    </border>
    <border>
      <left style="hair">
        <color indexed="32"/>
      </left>
      <right style="thin">
        <color indexed="32"/>
      </right>
      <top/>
      <bottom/>
      <diagonal/>
    </border>
    <border>
      <left style="thin">
        <color indexed="32"/>
      </left>
      <right style="hair">
        <color indexed="32"/>
      </right>
      <top style="medium">
        <color indexed="32"/>
      </top>
      <bottom style="hair">
        <color indexed="32"/>
      </bottom>
      <diagonal/>
    </border>
    <border>
      <left/>
      <right style="thin">
        <color indexed="32"/>
      </right>
      <top style="medium">
        <color indexed="32"/>
      </top>
      <bottom style="hair">
        <color indexed="32"/>
      </bottom>
      <diagonal/>
    </border>
    <border>
      <left style="medium">
        <color indexed="32"/>
      </left>
      <right style="medium">
        <color indexed="32"/>
      </right>
      <top style="medium">
        <color indexed="32"/>
      </top>
      <bottom style="thin">
        <color indexed="32"/>
      </bottom>
      <diagonal/>
    </border>
    <border>
      <left style="medium">
        <color indexed="32"/>
      </left>
      <right style="medium">
        <color indexed="32"/>
      </right>
      <top style="thin">
        <color indexed="32"/>
      </top>
      <bottom style="medium">
        <color indexed="32"/>
      </bottom>
      <diagonal/>
    </border>
    <border>
      <left style="thin">
        <color indexed="32"/>
      </left>
      <right style="hair">
        <color indexed="32"/>
      </right>
      <top/>
      <bottom style="hair">
        <color indexed="32"/>
      </bottom>
      <diagonal/>
    </border>
    <border>
      <left/>
      <right style="thin">
        <color indexed="32"/>
      </right>
      <top/>
      <bottom style="hair">
        <color indexed="32"/>
      </bottom>
      <diagonal/>
    </border>
    <border>
      <left style="hair">
        <color indexed="32"/>
      </left>
      <right style="medium">
        <color indexed="32"/>
      </right>
      <top style="hair">
        <color indexed="32"/>
      </top>
      <bottom style="hair">
        <color indexed="32"/>
      </bottom>
      <diagonal/>
    </border>
    <border>
      <left style="hair">
        <color indexed="32"/>
      </left>
      <right style="medium">
        <color indexed="32"/>
      </right>
      <top style="hair">
        <color indexed="32"/>
      </top>
      <bottom/>
      <diagonal/>
    </border>
    <border>
      <left style="hair">
        <color indexed="32"/>
      </left>
      <right style="medium">
        <color indexed="32"/>
      </right>
      <top style="hair">
        <color indexed="32"/>
      </top>
      <bottom style="medium">
        <color indexed="32"/>
      </bottom>
      <diagonal/>
    </border>
    <border>
      <left style="hair">
        <color indexed="32"/>
      </left>
      <right style="medium">
        <color indexed="32"/>
      </right>
      <top/>
      <bottom style="hair">
        <color indexed="32"/>
      </bottom>
      <diagonal/>
    </border>
    <border>
      <left style="thin">
        <color indexed="32"/>
      </left>
      <right style="hair">
        <color indexed="32"/>
      </right>
      <top style="medium">
        <color indexed="32"/>
      </top>
      <bottom/>
      <diagonal/>
    </border>
    <border>
      <left/>
      <right style="thin">
        <color indexed="32"/>
      </right>
      <top style="medium">
        <color indexed="32"/>
      </top>
      <bottom/>
      <diagonal/>
    </border>
    <border>
      <left style="hair">
        <color indexed="32"/>
      </left>
      <right style="medium">
        <color indexed="32"/>
      </right>
      <top style="medium">
        <color indexed="32"/>
      </top>
      <bottom/>
      <diagonal/>
    </border>
    <border>
      <left style="hair">
        <color indexed="32"/>
      </left>
      <right style="medium">
        <color indexed="32"/>
      </right>
      <top/>
      <bottom/>
      <diagonal/>
    </border>
    <border>
      <left style="thin">
        <color indexed="32"/>
      </left>
      <right style="hair">
        <color indexed="32"/>
      </right>
      <top/>
      <bottom style="medium">
        <color indexed="32"/>
      </bottom>
      <diagonal/>
    </border>
    <border>
      <left style="hair">
        <color indexed="32"/>
      </left>
      <right style="thin">
        <color indexed="32"/>
      </right>
      <top/>
      <bottom style="medium">
        <color indexed="32"/>
      </bottom>
      <diagonal/>
    </border>
    <border>
      <left style="hair">
        <color indexed="32"/>
      </left>
      <right style="medium">
        <color indexed="32"/>
      </right>
      <top/>
      <bottom style="medium">
        <color indexed="32"/>
      </bottom>
      <diagonal/>
    </border>
    <border>
      <left style="thin">
        <color indexed="32"/>
      </left>
      <right style="hair">
        <color indexed="32"/>
      </right>
      <top style="medium">
        <color indexed="32"/>
      </top>
      <bottom style="medium">
        <color indexed="32"/>
      </bottom>
      <diagonal/>
    </border>
    <border>
      <left/>
      <right style="thin">
        <color indexed="32"/>
      </right>
      <top style="medium">
        <color indexed="32"/>
      </top>
      <bottom style="medium">
        <color indexed="32"/>
      </bottom>
      <diagonal/>
    </border>
    <border>
      <left style="hair">
        <color indexed="32"/>
      </left>
      <right style="medium">
        <color indexed="32"/>
      </right>
      <top style="medium">
        <color indexed="32"/>
      </top>
      <bottom style="medium">
        <color indexed="32"/>
      </bottom>
      <diagonal/>
    </border>
    <border>
      <left/>
      <right style="medium">
        <color indexed="32"/>
      </right>
      <top style="hair">
        <color indexed="32"/>
      </top>
      <bottom style="hair">
        <color indexed="32"/>
      </bottom>
      <diagonal/>
    </border>
    <border>
      <left/>
      <right style="medium">
        <color indexed="32"/>
      </right>
      <top style="medium">
        <color indexed="32"/>
      </top>
      <bottom style="hair">
        <color indexed="32"/>
      </bottom>
      <diagonal/>
    </border>
    <border>
      <left/>
      <right style="medium">
        <color indexed="32"/>
      </right>
      <top style="hair">
        <color indexed="32"/>
      </top>
      <bottom style="medium">
        <color indexed="32"/>
      </bottom>
      <diagonal/>
    </border>
    <border>
      <left/>
      <right style="medium">
        <color indexed="32"/>
      </right>
      <top style="medium">
        <color indexed="32"/>
      </top>
      <bottom style="medium">
        <color indexed="32"/>
      </bottom>
      <diagonal/>
    </border>
    <border>
      <left/>
      <right/>
      <top style="medium">
        <color indexed="18"/>
      </top>
      <bottom/>
      <diagonal/>
    </border>
    <border>
      <left/>
      <right/>
      <top style="medium">
        <color indexed="32"/>
      </top>
      <bottom/>
      <diagonal/>
    </border>
    <border>
      <left style="hair">
        <color indexed="32"/>
      </left>
      <right style="thin">
        <color indexed="32"/>
      </right>
      <top style="medium">
        <color indexed="32"/>
      </top>
      <bottom style="medium">
        <color indexed="32"/>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ck">
        <color indexed="18"/>
      </left>
      <right/>
      <top style="thick">
        <color indexed="18"/>
      </top>
      <bottom/>
      <diagonal/>
    </border>
    <border>
      <left/>
      <right style="thick">
        <color indexed="18"/>
      </right>
      <top style="thick">
        <color indexed="18"/>
      </top>
      <bottom/>
      <diagonal/>
    </border>
    <border>
      <left style="thick">
        <color indexed="18"/>
      </left>
      <right/>
      <top/>
      <bottom/>
      <diagonal/>
    </border>
    <border>
      <left/>
      <right style="thick">
        <color indexed="18"/>
      </right>
      <top/>
      <bottom/>
      <diagonal/>
    </border>
    <border>
      <left style="thick">
        <color indexed="18"/>
      </left>
      <right/>
      <top/>
      <bottom style="thick">
        <color indexed="18"/>
      </bottom>
      <diagonal/>
    </border>
    <border>
      <left/>
      <right/>
      <top/>
      <bottom style="thick">
        <color indexed="18"/>
      </bottom>
      <diagonal/>
    </border>
    <border>
      <left/>
      <right style="thick">
        <color indexed="18"/>
      </right>
      <top/>
      <bottom style="thick">
        <color indexed="18"/>
      </bottom>
      <diagonal/>
    </border>
    <border>
      <left/>
      <right/>
      <top/>
      <bottom style="thin">
        <color indexed="8"/>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right/>
      <top style="double">
        <color indexed="8"/>
      </top>
      <bottom/>
      <diagonal/>
    </border>
    <border>
      <left/>
      <right/>
      <top/>
      <bottom style="double">
        <color indexed="8"/>
      </bottom>
      <diagonal/>
    </border>
    <border>
      <left/>
      <right/>
      <top/>
      <bottom style="double">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medium">
        <color indexed="64"/>
      </left>
      <right style="medium">
        <color indexed="64"/>
      </right>
      <top/>
      <bottom/>
      <diagonal/>
    </border>
    <border>
      <left style="thin">
        <color indexed="64"/>
      </left>
      <right/>
      <top style="thin">
        <color indexed="8"/>
      </top>
      <bottom style="thin">
        <color indexed="8"/>
      </bottom>
      <diagonal/>
    </border>
    <border>
      <left/>
      <right style="thin">
        <color indexed="64"/>
      </right>
      <top style="thin">
        <color indexed="8"/>
      </top>
      <bottom style="thin">
        <color indexed="8"/>
      </bottom>
      <diagonal/>
    </border>
    <border>
      <left/>
      <right/>
      <top style="thin">
        <color indexed="8"/>
      </top>
      <bottom style="thin">
        <color indexed="8"/>
      </bottom>
      <diagonal/>
    </border>
    <border>
      <left/>
      <right/>
      <top style="double">
        <color indexed="8"/>
      </top>
      <bottom style="double">
        <color indexed="8"/>
      </bottom>
      <diagonal/>
    </border>
    <border>
      <left/>
      <right style="thin">
        <color indexed="8"/>
      </right>
      <top style="thin">
        <color indexed="8"/>
      </top>
      <bottom/>
      <diagonal/>
    </border>
    <border>
      <left style="thin">
        <color indexed="8"/>
      </left>
      <right/>
      <top style="thin">
        <color indexed="8"/>
      </top>
      <bottom/>
      <diagonal/>
    </border>
    <border>
      <left style="thin">
        <color indexed="8"/>
      </left>
      <right/>
      <top/>
      <bottom/>
      <diagonal/>
    </border>
    <border>
      <left style="thin">
        <color indexed="8"/>
      </left>
      <right style="thin">
        <color indexed="8"/>
      </right>
      <top style="thin">
        <color indexed="8"/>
      </top>
      <bottom/>
      <diagonal/>
    </border>
    <border>
      <left style="thin">
        <color indexed="8"/>
      </left>
      <right style="thin">
        <color indexed="64"/>
      </right>
      <top style="thin">
        <color indexed="64"/>
      </top>
      <bottom style="thin">
        <color indexed="64"/>
      </bottom>
      <diagonal/>
    </border>
    <border>
      <left style="thin">
        <color indexed="8"/>
      </left>
      <right style="thin">
        <color indexed="8"/>
      </right>
      <top/>
      <bottom style="thin">
        <color indexed="8"/>
      </bottom>
      <diagonal/>
    </border>
    <border>
      <left style="medium">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right style="medium">
        <color indexed="32"/>
      </right>
      <top/>
      <bottom style="hair">
        <color indexed="32"/>
      </bottom>
      <diagonal/>
    </border>
    <border>
      <left style="thick">
        <color indexed="12"/>
      </left>
      <right/>
      <top/>
      <bottom/>
      <diagonal/>
    </border>
    <border>
      <left/>
      <right style="thick">
        <color indexed="12"/>
      </right>
      <top/>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32"/>
      </left>
      <right/>
      <top style="medium">
        <color indexed="32"/>
      </top>
      <bottom style="medium">
        <color indexed="32"/>
      </bottom>
      <diagonal/>
    </border>
    <border>
      <left/>
      <right/>
      <top style="medium">
        <color indexed="32"/>
      </top>
      <bottom style="medium">
        <color indexed="32"/>
      </bottom>
      <diagonal/>
    </border>
    <border>
      <left style="medium">
        <color indexed="32"/>
      </left>
      <right/>
      <top style="hair">
        <color indexed="32"/>
      </top>
      <bottom style="hair">
        <color indexed="32"/>
      </bottom>
      <diagonal/>
    </border>
    <border>
      <left/>
      <right/>
      <top style="hair">
        <color indexed="32"/>
      </top>
      <bottom style="hair">
        <color indexed="32"/>
      </bottom>
      <diagonal/>
    </border>
    <border>
      <left style="medium">
        <color indexed="32"/>
      </left>
      <right/>
      <top/>
      <bottom style="hair">
        <color indexed="32"/>
      </bottom>
      <diagonal/>
    </border>
    <border>
      <left/>
      <right/>
      <top/>
      <bottom style="hair">
        <color indexed="32"/>
      </bottom>
      <diagonal/>
    </border>
    <border>
      <left style="medium">
        <color indexed="32"/>
      </left>
      <right/>
      <top style="hair">
        <color indexed="32"/>
      </top>
      <bottom style="medium">
        <color indexed="32"/>
      </bottom>
      <diagonal/>
    </border>
    <border>
      <left/>
      <right/>
      <top style="hair">
        <color indexed="32"/>
      </top>
      <bottom style="medium">
        <color indexed="32"/>
      </bottom>
      <diagonal/>
    </border>
    <border>
      <left style="double">
        <color indexed="32"/>
      </left>
      <right/>
      <top/>
      <bottom/>
      <diagonal/>
    </border>
    <border>
      <left/>
      <right style="thin">
        <color indexed="32"/>
      </right>
      <top/>
      <bottom/>
      <diagonal/>
    </border>
    <border>
      <left style="medium">
        <color indexed="32"/>
      </left>
      <right/>
      <top style="medium">
        <color indexed="32"/>
      </top>
      <bottom style="hair">
        <color indexed="32"/>
      </bottom>
      <diagonal/>
    </border>
    <border>
      <left/>
      <right/>
      <top style="medium">
        <color indexed="32"/>
      </top>
      <bottom style="hair">
        <color indexed="32"/>
      </bottom>
      <diagonal/>
    </border>
    <border>
      <left style="medium">
        <color indexed="32"/>
      </left>
      <right/>
      <top style="thin">
        <color indexed="32"/>
      </top>
      <bottom style="thin">
        <color indexed="32"/>
      </bottom>
      <diagonal/>
    </border>
    <border>
      <left/>
      <right/>
      <top style="thin">
        <color indexed="32"/>
      </top>
      <bottom style="thin">
        <color indexed="32"/>
      </bottom>
      <diagonal/>
    </border>
    <border>
      <left style="medium">
        <color indexed="32"/>
      </left>
      <right/>
      <top style="hair">
        <color indexed="32"/>
      </top>
      <bottom/>
      <diagonal/>
    </border>
    <border>
      <left/>
      <right/>
      <top style="hair">
        <color indexed="32"/>
      </top>
      <bottom/>
      <diagonal/>
    </border>
    <border>
      <left style="medium">
        <color indexed="32"/>
      </left>
      <right/>
      <top style="medium">
        <color indexed="32"/>
      </top>
      <bottom/>
      <diagonal/>
    </border>
    <border>
      <left style="medium">
        <color indexed="32"/>
      </left>
      <right/>
      <top/>
      <bottom/>
      <diagonal/>
    </border>
    <border>
      <left style="medium">
        <color indexed="32"/>
      </left>
      <right/>
      <top/>
      <bottom style="medium">
        <color indexed="32"/>
      </bottom>
      <diagonal/>
    </border>
    <border>
      <left/>
      <right/>
      <top/>
      <bottom style="medium">
        <color indexed="32"/>
      </bottom>
      <diagonal/>
    </border>
    <border>
      <left/>
      <right style="thin">
        <color indexed="32"/>
      </right>
      <top/>
      <bottom style="medium">
        <color indexed="32"/>
      </bottom>
      <diagonal/>
    </border>
    <border>
      <left style="thin">
        <color indexed="32"/>
      </left>
      <right/>
      <top style="thin">
        <color indexed="32"/>
      </top>
      <bottom style="thin">
        <color indexed="32"/>
      </bottom>
      <diagonal/>
    </border>
    <border>
      <left/>
      <right style="double">
        <color indexed="32"/>
      </right>
      <top/>
      <bottom/>
      <diagonal/>
    </border>
    <border>
      <left style="double">
        <color indexed="32"/>
      </left>
      <right/>
      <top style="double">
        <color indexed="32"/>
      </top>
      <bottom style="double">
        <color indexed="32"/>
      </bottom>
      <diagonal/>
    </border>
    <border>
      <left/>
      <right/>
      <top style="double">
        <color indexed="32"/>
      </top>
      <bottom style="double">
        <color indexed="32"/>
      </bottom>
      <diagonal/>
    </border>
    <border>
      <left/>
      <right style="double">
        <color indexed="32"/>
      </right>
      <top style="double">
        <color indexed="32"/>
      </top>
      <bottom style="double">
        <color indexed="32"/>
      </bottom>
      <diagonal/>
    </border>
    <border>
      <left/>
      <right/>
      <top style="double">
        <color indexed="32"/>
      </top>
      <bottom style="hair">
        <color indexed="32"/>
      </bottom>
      <diagonal/>
    </border>
    <border>
      <left/>
      <right/>
      <top style="thin">
        <color indexed="55"/>
      </top>
      <bottom/>
      <diagonal/>
    </border>
    <border>
      <left/>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499984740745262"/>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right style="thin">
        <color indexed="64"/>
      </right>
      <top style="medium">
        <color indexed="64"/>
      </top>
      <bottom/>
      <diagonal/>
    </border>
    <border>
      <left style="double">
        <color indexed="32"/>
      </left>
      <right/>
      <top style="double">
        <color indexed="32"/>
      </top>
      <bottom style="hair">
        <color indexed="32"/>
      </bottom>
      <diagonal/>
    </border>
    <border>
      <left/>
      <right style="thin">
        <color indexed="32"/>
      </right>
      <top style="double">
        <color indexed="32"/>
      </top>
      <bottom style="hair">
        <color indexed="32"/>
      </bottom>
      <diagonal/>
    </border>
    <border>
      <left style="double">
        <color indexed="32"/>
      </left>
      <right/>
      <top style="hair">
        <color indexed="32"/>
      </top>
      <bottom style="hair">
        <color indexed="32"/>
      </bottom>
      <diagonal/>
    </border>
    <border>
      <left style="double">
        <color indexed="32"/>
      </left>
      <right/>
      <top style="hair">
        <color indexed="32"/>
      </top>
      <bottom style="double">
        <color indexed="32"/>
      </bottom>
      <diagonal/>
    </border>
    <border>
      <left/>
      <right/>
      <top style="hair">
        <color indexed="32"/>
      </top>
      <bottom style="double">
        <color indexed="32"/>
      </bottom>
      <diagonal/>
    </border>
    <border>
      <left/>
      <right style="thin">
        <color indexed="32"/>
      </right>
      <top style="hair">
        <color indexed="32"/>
      </top>
      <bottom style="double">
        <color indexed="32"/>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medium">
        <color indexed="64"/>
      </left>
      <right style="thin">
        <color indexed="64"/>
      </right>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right/>
      <top/>
      <bottom style="medium">
        <color theme="1" tint="0.499984740745262"/>
      </bottom>
      <diagonal/>
    </border>
    <border>
      <left/>
      <right/>
      <top style="thin">
        <color theme="1" tint="0.499984740745262"/>
      </top>
      <bottom style="medium">
        <color theme="1" tint="0.499984740745262"/>
      </bottom>
      <diagonal/>
    </border>
    <border>
      <left/>
      <right/>
      <top style="medium">
        <color theme="1" tint="0.499984740745262"/>
      </top>
      <bottom style="medium">
        <color theme="1" tint="0.499984740745262"/>
      </bottom>
      <diagonal/>
    </border>
    <border>
      <left/>
      <right/>
      <top style="medium">
        <color theme="1" tint="0.499984740745262"/>
      </top>
      <bottom style="thin">
        <color indexed="55"/>
      </bottom>
      <diagonal/>
    </border>
    <border>
      <left/>
      <right/>
      <top style="medium">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style="thin">
        <color rgb="FFFF0000"/>
      </bottom>
      <diagonal/>
    </border>
    <border>
      <left style="thin">
        <color rgb="FFFF0000"/>
      </left>
      <right style="thin">
        <color rgb="FFFF0000"/>
      </right>
      <top/>
      <bottom/>
      <diagonal/>
    </border>
    <border>
      <left style="medium">
        <color rgb="FFFF0000"/>
      </left>
      <right/>
      <top style="medium">
        <color rgb="FFFF0000"/>
      </top>
      <bottom/>
      <diagonal/>
    </border>
    <border>
      <left style="thin">
        <color rgb="FFFF0000"/>
      </left>
      <right style="thin">
        <color rgb="FFFF0000"/>
      </right>
      <top style="thin">
        <color rgb="FFFF0000"/>
      </top>
      <bottom/>
      <diagonal/>
    </border>
    <border>
      <left style="thin">
        <color rgb="FFFF0000"/>
      </left>
      <right/>
      <top/>
      <bottom/>
      <diagonal/>
    </border>
    <border>
      <left/>
      <right style="thin">
        <color indexed="64"/>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dashed">
        <color theme="1" tint="0.499984740745262"/>
      </bottom>
      <diagonal/>
    </border>
    <border>
      <left style="thin">
        <color theme="1" tint="0.499984740745262"/>
      </left>
      <right style="thin">
        <color theme="1" tint="0.499984740745262"/>
      </right>
      <top style="dashed">
        <color theme="1" tint="0.499984740745262"/>
      </top>
      <bottom style="dashed">
        <color theme="1" tint="0.499984740745262"/>
      </bottom>
      <diagonal/>
    </border>
    <border>
      <left style="thin">
        <color theme="1" tint="0.499984740745262"/>
      </left>
      <right style="thin">
        <color theme="1" tint="0.499984740745262"/>
      </right>
      <top style="dashed">
        <color theme="1" tint="0.499984740745262"/>
      </top>
      <bottom style="thin">
        <color theme="1" tint="0.499984740745262"/>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theme="0" tint="-0.499984740745262"/>
      </left>
      <right style="thin">
        <color theme="0" tint="-0.499984740745262"/>
      </right>
      <top style="thin">
        <color theme="0" tint="-0.499984740745262"/>
      </top>
      <bottom style="thin">
        <color theme="1" tint="0.499984740745262"/>
      </bottom>
      <diagonal/>
    </border>
    <border>
      <left style="thin">
        <color theme="0" tint="-0.499984740745262"/>
      </left>
      <right style="thin">
        <color theme="0" tint="-0.499984740745262"/>
      </right>
      <top style="thin">
        <color theme="1" tint="0.499984740745262"/>
      </top>
      <bottom style="thin">
        <color theme="1" tint="0.499984740745262"/>
      </bottom>
      <diagonal/>
    </border>
    <border>
      <left style="thin">
        <color theme="0" tint="-0.499984740745262"/>
      </left>
      <right style="thin">
        <color theme="0" tint="-0.499984740745262"/>
      </right>
      <top style="thin">
        <color theme="1"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24994659260841701"/>
      </top>
      <bottom style="thin">
        <color theme="0" tint="-0.24994659260841701"/>
      </bottom>
      <diagonal/>
    </border>
    <border>
      <left/>
      <right/>
      <top style="thin">
        <color theme="1" tint="0.499984740745262"/>
      </top>
      <bottom style="thin">
        <color theme="0" tint="-0.24994659260841701"/>
      </bottom>
      <diagonal/>
    </border>
    <border>
      <left/>
      <right/>
      <top style="thin">
        <color theme="0" tint="-0.24994659260841701"/>
      </top>
      <bottom style="thin">
        <color theme="1" tint="0.499984740745262"/>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hair">
        <color indexed="31"/>
      </right>
      <top/>
      <bottom/>
      <diagonal/>
    </border>
    <border>
      <left/>
      <right/>
      <top style="hair">
        <color indexed="31"/>
      </top>
      <bottom/>
      <diagonal/>
    </border>
    <border>
      <left/>
      <right style="hair">
        <color indexed="31"/>
      </right>
      <top style="hair">
        <color indexed="31"/>
      </top>
      <bottom/>
      <diagonal/>
    </border>
    <border>
      <left/>
      <right/>
      <top/>
      <bottom style="hair">
        <color indexed="31"/>
      </bottom>
      <diagonal/>
    </border>
    <border>
      <left/>
      <right style="hair">
        <color indexed="31"/>
      </right>
      <top/>
      <bottom style="hair">
        <color indexed="31"/>
      </bottom>
      <diagonal/>
    </border>
    <border>
      <left style="medium">
        <color indexed="31"/>
      </left>
      <right/>
      <top/>
      <bottom/>
      <diagonal/>
    </border>
    <border>
      <left/>
      <right style="medium">
        <color indexed="31"/>
      </right>
      <top/>
      <bottom/>
      <diagonal/>
    </border>
    <border>
      <left style="thin">
        <color indexed="55"/>
      </left>
      <right/>
      <top/>
      <bottom/>
      <diagonal/>
    </border>
  </borders>
  <cellStyleXfs count="17">
    <xf numFmtId="0" fontId="0" fillId="0" borderId="0" applyNumberFormat="0" applyFill="0" applyBorder="0" applyAlignment="0" applyProtection="0"/>
    <xf numFmtId="168" fontId="4" fillId="0" borderId="0" applyFont="0" applyFill="0" applyBorder="0" applyAlignment="0" applyProtection="0"/>
    <xf numFmtId="167" fontId="4" fillId="0" borderId="0" applyFont="0" applyFill="0" applyBorder="0" applyAlignment="0" applyProtection="0"/>
    <xf numFmtId="0" fontId="4" fillId="0" borderId="0" applyNumberFormat="0" applyFill="0" applyBorder="0" applyAlignment="0" applyProtection="0"/>
    <xf numFmtId="0" fontId="33" fillId="0" borderId="0"/>
    <xf numFmtId="0" fontId="7" fillId="0" borderId="0"/>
    <xf numFmtId="3" fontId="33" fillId="0" borderId="0" applyFont="0" applyFill="0" applyBorder="0" applyAlignment="0" applyProtection="0"/>
    <xf numFmtId="0" fontId="33" fillId="0" borderId="0"/>
    <xf numFmtId="177" fontId="34" fillId="0" borderId="0"/>
    <xf numFmtId="0" fontId="33" fillId="0" borderId="0"/>
    <xf numFmtId="9" fontId="4" fillId="0" borderId="0" applyFont="0" applyFill="0" applyBorder="0" applyAlignment="0" applyProtection="0"/>
    <xf numFmtId="0" fontId="3" fillId="0" borderId="0"/>
    <xf numFmtId="0" fontId="2" fillId="0" borderId="0"/>
    <xf numFmtId="9" fontId="2" fillId="0" borderId="0" applyFont="0" applyFill="0" applyBorder="0" applyAlignment="0" applyProtection="0"/>
    <xf numFmtId="0" fontId="2" fillId="0" borderId="0"/>
    <xf numFmtId="166" fontId="2" fillId="0" borderId="0" applyFont="0" applyFill="0" applyBorder="0" applyAlignment="0" applyProtection="0"/>
    <xf numFmtId="0" fontId="178" fillId="0" borderId="0"/>
  </cellStyleXfs>
  <cellXfs count="3596">
    <xf numFmtId="0" fontId="0" fillId="0" borderId="0" xfId="0"/>
    <xf numFmtId="0" fontId="22" fillId="0" borderId="0" xfId="0" applyFont="1" applyProtection="1"/>
    <xf numFmtId="3" fontId="22" fillId="0" borderId="0" xfId="0" applyNumberFormat="1" applyFont="1" applyAlignment="1" applyProtection="1">
      <alignment vertical="top"/>
    </xf>
    <xf numFmtId="169" fontId="22" fillId="0" borderId="0" xfId="0" applyNumberFormat="1" applyFont="1" applyAlignment="1" applyProtection="1">
      <alignment vertical="top"/>
    </xf>
    <xf numFmtId="0" fontId="22" fillId="0" borderId="0" xfId="0" applyFont="1"/>
    <xf numFmtId="0" fontId="23" fillId="0" borderId="0" xfId="0" applyFont="1" applyAlignment="1" applyProtection="1">
      <alignment horizontal="right"/>
    </xf>
    <xf numFmtId="0" fontId="23" fillId="0" borderId="0" xfId="0" applyFont="1" applyAlignment="1" applyProtection="1">
      <alignment horizontal="left"/>
    </xf>
    <xf numFmtId="0" fontId="23" fillId="0" borderId="0" xfId="0" applyFont="1" applyBorder="1" applyProtection="1"/>
    <xf numFmtId="0" fontId="23" fillId="0" borderId="0" xfId="0" applyFont="1"/>
    <xf numFmtId="3" fontId="23" fillId="0" borderId="0" xfId="0" applyNumberFormat="1" applyFont="1" applyProtection="1"/>
    <xf numFmtId="169" fontId="23" fillId="0" borderId="0" xfId="0" applyNumberFormat="1" applyFont="1" applyProtection="1"/>
    <xf numFmtId="0" fontId="23" fillId="0" borderId="0" xfId="0" applyFont="1" applyProtection="1"/>
    <xf numFmtId="38" fontId="22" fillId="0" borderId="10" xfId="0" applyNumberFormat="1" applyFont="1" applyBorder="1" applyAlignment="1" applyProtection="1">
      <alignment vertical="top"/>
      <protection locked="0"/>
    </xf>
    <xf numFmtId="169" fontId="22" fillId="0" borderId="11" xfId="0" applyNumberFormat="1" applyFont="1" applyBorder="1" applyAlignment="1" applyProtection="1">
      <alignment vertical="top"/>
    </xf>
    <xf numFmtId="38" fontId="22" fillId="0" borderId="12" xfId="0" applyNumberFormat="1" applyFont="1" applyBorder="1" applyAlignment="1" applyProtection="1">
      <alignment vertical="top"/>
      <protection locked="0"/>
    </xf>
    <xf numFmtId="169" fontId="22" fillId="0" borderId="13" xfId="0" applyNumberFormat="1" applyFont="1" applyBorder="1" applyAlignment="1" applyProtection="1">
      <alignment vertical="top"/>
    </xf>
    <xf numFmtId="38" fontId="23" fillId="0" borderId="14" xfId="0" applyNumberFormat="1" applyFont="1" applyBorder="1" applyAlignment="1" applyProtection="1">
      <alignment vertical="top"/>
    </xf>
    <xf numFmtId="169" fontId="23" fillId="0" borderId="15" xfId="0" applyNumberFormat="1" applyFont="1" applyBorder="1" applyAlignment="1" applyProtection="1">
      <alignment vertical="top"/>
    </xf>
    <xf numFmtId="0" fontId="22" fillId="0" borderId="0" xfId="0" applyFont="1" applyBorder="1"/>
    <xf numFmtId="0" fontId="22" fillId="0" borderId="0" xfId="0" applyFont="1" applyBorder="1" applyProtection="1">
      <protection locked="0"/>
    </xf>
    <xf numFmtId="0" fontId="24" fillId="0" borderId="0" xfId="0" applyFont="1" applyBorder="1" applyProtection="1">
      <protection locked="0"/>
    </xf>
    <xf numFmtId="40" fontId="23" fillId="0" borderId="0" xfId="0" applyNumberFormat="1" applyFont="1" applyBorder="1" applyProtection="1">
      <protection locked="0"/>
    </xf>
    <xf numFmtId="169" fontId="22" fillId="0" borderId="0" xfId="0" applyNumberFormat="1" applyFont="1" applyBorder="1" applyAlignment="1" applyProtection="1">
      <alignment vertical="top"/>
      <protection locked="0"/>
    </xf>
    <xf numFmtId="3" fontId="22" fillId="0" borderId="0" xfId="0" applyNumberFormat="1" applyFont="1" applyBorder="1" applyAlignment="1" applyProtection="1">
      <alignment vertical="top"/>
      <protection locked="0"/>
    </xf>
    <xf numFmtId="0" fontId="22" fillId="0" borderId="0" xfId="0" applyFont="1" applyProtection="1">
      <protection locked="0"/>
    </xf>
    <xf numFmtId="0" fontId="0" fillId="0" borderId="16" xfId="0" applyBorder="1" applyProtection="1">
      <protection locked="0"/>
    </xf>
    <xf numFmtId="0" fontId="0" fillId="0" borderId="17" xfId="0" applyBorder="1" applyProtection="1">
      <protection locked="0"/>
    </xf>
    <xf numFmtId="0" fontId="0" fillId="0" borderId="19" xfId="0" applyBorder="1" applyProtection="1">
      <protection locked="0"/>
    </xf>
    <xf numFmtId="0" fontId="0" fillId="0" borderId="20" xfId="0" applyBorder="1" applyProtection="1">
      <protection locked="0"/>
    </xf>
    <xf numFmtId="169" fontId="22" fillId="0" borderId="0" xfId="0" applyNumberFormat="1" applyFont="1" applyAlignment="1">
      <alignment vertical="top"/>
    </xf>
    <xf numFmtId="3" fontId="22" fillId="0" borderId="0" xfId="0" applyNumberFormat="1" applyFont="1" applyAlignment="1">
      <alignment vertical="top"/>
    </xf>
    <xf numFmtId="3" fontId="22" fillId="0" borderId="0" xfId="0" applyNumberFormat="1" applyFont="1" applyBorder="1" applyAlignment="1">
      <alignment vertical="top"/>
    </xf>
    <xf numFmtId="169" fontId="22" fillId="0" borderId="0" xfId="0" applyNumberFormat="1" applyFont="1" applyBorder="1" applyAlignment="1">
      <alignment vertical="top"/>
    </xf>
    <xf numFmtId="0" fontId="23" fillId="0" borderId="0" xfId="0" applyFont="1" applyAlignment="1">
      <alignment horizontal="right"/>
    </xf>
    <xf numFmtId="0" fontId="23" fillId="0" borderId="0" xfId="0" applyFont="1" applyAlignment="1">
      <alignment horizontal="left"/>
    </xf>
    <xf numFmtId="0" fontId="6" fillId="0" borderId="22" xfId="0" applyFont="1" applyBorder="1" applyAlignment="1">
      <alignment horizontal="left"/>
    </xf>
    <xf numFmtId="0" fontId="23" fillId="0" borderId="0" xfId="0" applyFont="1" applyBorder="1"/>
    <xf numFmtId="0" fontId="6" fillId="0" borderId="22" xfId="0" applyFont="1" applyBorder="1" applyAlignment="1">
      <alignment horizontal="center"/>
    </xf>
    <xf numFmtId="169" fontId="23" fillId="0" borderId="0" xfId="0" applyNumberFormat="1" applyFont="1"/>
    <xf numFmtId="3" fontId="23" fillId="0" borderId="0" xfId="0" applyNumberFormat="1" applyFont="1"/>
    <xf numFmtId="0" fontId="6" fillId="0" borderId="0" xfId="0" applyFont="1" applyBorder="1" applyAlignment="1">
      <alignment horizontal="left"/>
    </xf>
    <xf numFmtId="38" fontId="22" fillId="0" borderId="10" xfId="0" applyNumberFormat="1" applyFont="1" applyBorder="1" applyAlignment="1" applyProtection="1">
      <alignment horizontal="right" vertical="top"/>
      <protection locked="0"/>
    </xf>
    <xf numFmtId="169" fontId="22" fillId="0" borderId="11" xfId="0" applyNumberFormat="1" applyFont="1" applyBorder="1" applyAlignment="1">
      <alignment horizontal="right" vertical="top"/>
    </xf>
    <xf numFmtId="38" fontId="22" fillId="0" borderId="12" xfId="0" applyNumberFormat="1" applyFont="1" applyBorder="1" applyAlignment="1" applyProtection="1">
      <alignment horizontal="right" vertical="top"/>
      <protection locked="0"/>
    </xf>
    <xf numFmtId="169" fontId="22" fillId="0" borderId="13" xfId="0" applyNumberFormat="1" applyFont="1" applyBorder="1" applyAlignment="1">
      <alignment horizontal="right" vertical="top"/>
    </xf>
    <xf numFmtId="38" fontId="27" fillId="0" borderId="12" xfId="0" applyNumberFormat="1" applyFont="1" applyBorder="1" applyAlignment="1" applyProtection="1">
      <alignment horizontal="right" vertical="top"/>
    </xf>
    <xf numFmtId="0" fontId="28" fillId="0" borderId="0" xfId="0" applyFont="1" applyBorder="1" applyAlignment="1">
      <alignment horizontal="justify" vertical="top" wrapText="1"/>
    </xf>
    <xf numFmtId="173" fontId="28" fillId="0" borderId="0" xfId="0" applyNumberFormat="1" applyFont="1" applyBorder="1" applyAlignment="1">
      <alignment horizontal="center" vertical="top"/>
    </xf>
    <xf numFmtId="0" fontId="24" fillId="0" borderId="0" xfId="0" applyFont="1" applyBorder="1"/>
    <xf numFmtId="40" fontId="23" fillId="0" borderId="0" xfId="0" applyNumberFormat="1" applyFont="1" applyBorder="1"/>
    <xf numFmtId="0" fontId="0" fillId="0" borderId="18" xfId="0" applyBorder="1" applyProtection="1">
      <protection locked="0"/>
    </xf>
    <xf numFmtId="0" fontId="0" fillId="0" borderId="21" xfId="0" applyBorder="1" applyProtection="1">
      <protection locked="0"/>
    </xf>
    <xf numFmtId="169" fontId="22" fillId="0" borderId="11" xfId="0" applyNumberFormat="1" applyFont="1" applyBorder="1" applyAlignment="1">
      <alignment vertical="top"/>
    </xf>
    <xf numFmtId="0" fontId="22" fillId="0" borderId="0" xfId="0" applyFont="1" applyAlignment="1">
      <alignment horizontal="right"/>
    </xf>
    <xf numFmtId="169" fontId="23" fillId="0" borderId="11" xfId="0" applyNumberFormat="1" applyFont="1" applyBorder="1" applyAlignment="1">
      <alignment vertical="top"/>
    </xf>
    <xf numFmtId="38" fontId="23" fillId="0" borderId="10" xfId="0" applyNumberFormat="1" applyFont="1" applyBorder="1" applyAlignment="1">
      <alignment vertical="top"/>
    </xf>
    <xf numFmtId="0" fontId="23" fillId="0" borderId="0" xfId="0" applyFont="1" applyBorder="1" applyAlignment="1">
      <alignment horizontal="right"/>
    </xf>
    <xf numFmtId="15" fontId="23" fillId="0" borderId="23" xfId="0" applyNumberFormat="1" applyFont="1" applyBorder="1" applyAlignment="1">
      <alignment horizontal="center"/>
    </xf>
    <xf numFmtId="15" fontId="23" fillId="0" borderId="24" xfId="0" applyNumberFormat="1" applyFont="1" applyBorder="1" applyAlignment="1">
      <alignment horizontal="center"/>
    </xf>
    <xf numFmtId="15" fontId="23" fillId="0" borderId="25" xfId="0" applyNumberFormat="1" applyFont="1" applyBorder="1" applyAlignment="1">
      <alignment horizontal="center"/>
    </xf>
    <xf numFmtId="15" fontId="23" fillId="0" borderId="0" xfId="0" applyNumberFormat="1" applyFont="1" applyBorder="1" applyAlignment="1">
      <alignment horizontal="center"/>
    </xf>
    <xf numFmtId="3" fontId="29" fillId="0" borderId="0" xfId="0" applyNumberFormat="1" applyFont="1" applyBorder="1" applyAlignment="1">
      <alignment horizontal="center"/>
    </xf>
    <xf numFmtId="169" fontId="22" fillId="0" borderId="26" xfId="10" applyNumberFormat="1" applyFont="1" applyBorder="1" applyAlignment="1">
      <alignment horizontal="center"/>
    </xf>
    <xf numFmtId="169" fontId="22" fillId="0" borderId="27" xfId="10" applyNumberFormat="1" applyFont="1" applyBorder="1" applyAlignment="1">
      <alignment horizontal="center"/>
    </xf>
    <xf numFmtId="173" fontId="22" fillId="0" borderId="28" xfId="10" applyNumberFormat="1" applyFont="1" applyBorder="1" applyAlignment="1">
      <alignment horizontal="center"/>
    </xf>
    <xf numFmtId="173" fontId="22" fillId="0" borderId="29" xfId="10" applyNumberFormat="1" applyFont="1" applyBorder="1" applyAlignment="1">
      <alignment horizontal="center"/>
    </xf>
    <xf numFmtId="169" fontId="22" fillId="0" borderId="28" xfId="10" applyNumberFormat="1" applyFont="1" applyBorder="1" applyAlignment="1">
      <alignment horizontal="center"/>
    </xf>
    <xf numFmtId="169" fontId="22" fillId="0" borderId="29" xfId="10" applyNumberFormat="1" applyFont="1" applyBorder="1" applyAlignment="1">
      <alignment horizontal="center"/>
    </xf>
    <xf numFmtId="169" fontId="22" fillId="0" borderId="30" xfId="10" applyNumberFormat="1" applyFont="1" applyBorder="1" applyAlignment="1">
      <alignment horizontal="center"/>
    </xf>
    <xf numFmtId="169" fontId="22" fillId="0" borderId="31" xfId="10" applyNumberFormat="1" applyFont="1" applyBorder="1" applyAlignment="1">
      <alignment horizontal="center"/>
    </xf>
    <xf numFmtId="174" fontId="22" fillId="0" borderId="28" xfId="10" applyNumberFormat="1" applyFont="1" applyBorder="1" applyAlignment="1">
      <alignment horizontal="center"/>
    </xf>
    <xf numFmtId="173" fontId="22" fillId="0" borderId="30" xfId="10" applyNumberFormat="1" applyFont="1" applyBorder="1" applyAlignment="1">
      <alignment horizontal="center"/>
    </xf>
    <xf numFmtId="173" fontId="22" fillId="0" borderId="31" xfId="10" applyNumberFormat="1" applyFont="1" applyBorder="1" applyAlignment="1">
      <alignment horizontal="center"/>
    </xf>
    <xf numFmtId="3" fontId="24" fillId="0" borderId="0" xfId="0" applyNumberFormat="1" applyFont="1" applyBorder="1" applyAlignment="1">
      <alignment horizontal="center"/>
    </xf>
    <xf numFmtId="3" fontId="22" fillId="0" borderId="0" xfId="0" applyNumberFormat="1" applyFont="1" applyBorder="1" applyAlignment="1">
      <alignment horizontal="center"/>
    </xf>
    <xf numFmtId="38" fontId="22" fillId="0" borderId="26" xfId="0" applyNumberFormat="1" applyFont="1" applyBorder="1" applyAlignment="1">
      <alignment horizontal="center"/>
    </xf>
    <xf numFmtId="38" fontId="22" fillId="0" borderId="27" xfId="0" applyNumberFormat="1" applyFont="1" applyBorder="1" applyAlignment="1">
      <alignment horizontal="center"/>
    </xf>
    <xf numFmtId="38" fontId="22" fillId="0" borderId="28" xfId="0" applyNumberFormat="1" applyFont="1" applyBorder="1" applyAlignment="1">
      <alignment horizontal="center"/>
    </xf>
    <xf numFmtId="38" fontId="22" fillId="0" borderId="29" xfId="0" applyNumberFormat="1" applyFont="1" applyBorder="1" applyAlignment="1">
      <alignment horizontal="center"/>
    </xf>
    <xf numFmtId="3" fontId="22" fillId="0" borderId="28" xfId="0" applyNumberFormat="1" applyFont="1" applyBorder="1" applyAlignment="1">
      <alignment horizontal="center"/>
    </xf>
    <xf numFmtId="3" fontId="22" fillId="0" borderId="29" xfId="0" applyNumberFormat="1" applyFont="1" applyBorder="1" applyAlignment="1">
      <alignment horizontal="center"/>
    </xf>
    <xf numFmtId="0" fontId="22" fillId="0" borderId="32" xfId="0" applyFont="1" applyBorder="1"/>
    <xf numFmtId="15" fontId="23" fillId="0" borderId="33" xfId="0" applyNumberFormat="1" applyFont="1" applyBorder="1" applyAlignment="1">
      <alignment horizontal="center"/>
    </xf>
    <xf numFmtId="15" fontId="23" fillId="0" borderId="34" xfId="0" applyNumberFormat="1" applyFont="1" applyBorder="1" applyAlignment="1">
      <alignment horizontal="center"/>
    </xf>
    <xf numFmtId="173" fontId="22" fillId="0" borderId="28" xfId="0" applyNumberFormat="1" applyFont="1" applyBorder="1" applyAlignment="1">
      <alignment horizontal="center"/>
    </xf>
    <xf numFmtId="173" fontId="22" fillId="0" borderId="29" xfId="0" applyNumberFormat="1" applyFont="1" applyBorder="1" applyAlignment="1">
      <alignment horizontal="center"/>
    </xf>
    <xf numFmtId="9" fontId="22" fillId="0" borderId="28" xfId="10" applyFont="1" applyBorder="1" applyAlignment="1">
      <alignment horizontal="center"/>
    </xf>
    <xf numFmtId="9" fontId="22" fillId="0" borderId="29" xfId="10" applyFont="1" applyBorder="1" applyAlignment="1">
      <alignment horizontal="center"/>
    </xf>
    <xf numFmtId="173" fontId="22" fillId="0" borderId="0" xfId="0" applyNumberFormat="1" applyFont="1" applyBorder="1" applyAlignment="1">
      <alignment horizontal="center"/>
    </xf>
    <xf numFmtId="173" fontId="22" fillId="0" borderId="30" xfId="0" applyNumberFormat="1" applyFont="1" applyBorder="1" applyAlignment="1">
      <alignment horizontal="center"/>
    </xf>
    <xf numFmtId="173" fontId="22" fillId="0" borderId="31" xfId="0" applyNumberFormat="1" applyFont="1" applyBorder="1" applyAlignment="1">
      <alignment horizontal="center"/>
    </xf>
    <xf numFmtId="0" fontId="8" fillId="0" borderId="35" xfId="5" applyFont="1" applyBorder="1"/>
    <xf numFmtId="0" fontId="8" fillId="0" borderId="36" xfId="5" applyFont="1" applyBorder="1"/>
    <xf numFmtId="0" fontId="8" fillId="0" borderId="37" xfId="5" applyFont="1" applyBorder="1"/>
    <xf numFmtId="0" fontId="8" fillId="0" borderId="0" xfId="5" applyFont="1" applyFill="1"/>
    <xf numFmtId="0" fontId="8" fillId="0" borderId="38" xfId="5" applyFont="1" applyBorder="1"/>
    <xf numFmtId="0" fontId="8" fillId="0" borderId="0" xfId="5" applyFont="1" applyBorder="1"/>
    <xf numFmtId="0" fontId="8" fillId="0" borderId="39" xfId="5" applyFont="1" applyBorder="1"/>
    <xf numFmtId="0" fontId="30" fillId="3" borderId="38" xfId="5" applyFont="1" applyFill="1" applyBorder="1" applyAlignment="1"/>
    <xf numFmtId="0" fontId="30" fillId="4" borderId="0" xfId="5" applyFont="1" applyFill="1" applyBorder="1" applyAlignment="1">
      <alignment horizontal="centerContinuous"/>
    </xf>
    <xf numFmtId="0" fontId="8" fillId="4" borderId="0" xfId="5" applyFont="1" applyFill="1" applyBorder="1" applyAlignment="1">
      <alignment horizontal="centerContinuous"/>
    </xf>
    <xf numFmtId="0" fontId="8" fillId="3" borderId="39" xfId="5" applyFont="1" applyFill="1" applyBorder="1"/>
    <xf numFmtId="0" fontId="8" fillId="3" borderId="38" xfId="5" applyFont="1" applyFill="1" applyBorder="1"/>
    <xf numFmtId="0" fontId="8" fillId="3" borderId="0" xfId="5" applyFont="1" applyFill="1" applyBorder="1"/>
    <xf numFmtId="0" fontId="31" fillId="3" borderId="38" xfId="5" applyFont="1" applyFill="1" applyBorder="1"/>
    <xf numFmtId="0" fontId="19" fillId="3" borderId="0" xfId="5" applyFont="1" applyFill="1" applyBorder="1" applyAlignment="1">
      <alignment horizontal="right"/>
    </xf>
    <xf numFmtId="14" fontId="19" fillId="3" borderId="0" xfId="5" applyNumberFormat="1" applyFont="1" applyFill="1" applyBorder="1" applyAlignment="1">
      <alignment horizontal="left"/>
    </xf>
    <xf numFmtId="0" fontId="8" fillId="0" borderId="0" xfId="5" applyFont="1"/>
    <xf numFmtId="4" fontId="8" fillId="3" borderId="0" xfId="5" applyNumberFormat="1" applyFont="1" applyFill="1" applyBorder="1" applyAlignment="1">
      <alignment horizontal="center"/>
    </xf>
    <xf numFmtId="0" fontId="5" fillId="3" borderId="38" xfId="5" applyFont="1" applyFill="1" applyBorder="1"/>
    <xf numFmtId="0" fontId="19" fillId="5" borderId="40" xfId="5" applyFont="1" applyFill="1" applyBorder="1" applyAlignment="1">
      <alignment vertical="top" wrapText="1"/>
    </xf>
    <xf numFmtId="0" fontId="19" fillId="5" borderId="41" xfId="5" applyFont="1" applyFill="1" applyBorder="1" applyAlignment="1">
      <alignment horizontal="center" vertical="top" wrapText="1"/>
    </xf>
    <xf numFmtId="0" fontId="19" fillId="5" borderId="42" xfId="5" applyFont="1" applyFill="1" applyBorder="1" applyAlignment="1">
      <alignment vertical="top" wrapText="1"/>
    </xf>
    <xf numFmtId="0" fontId="19" fillId="0" borderId="0" xfId="5" applyFont="1" applyFill="1" applyAlignment="1">
      <alignment vertical="top" wrapText="1"/>
    </xf>
    <xf numFmtId="0" fontId="19" fillId="0" borderId="38" xfId="5" applyFont="1" applyFill="1" applyBorder="1" applyAlignment="1">
      <alignment vertical="top" wrapText="1"/>
    </xf>
    <xf numFmtId="0" fontId="8" fillId="0" borderId="0" xfId="5" applyFont="1" applyFill="1" applyBorder="1" applyAlignment="1">
      <alignment horizontal="center" vertical="top" wrapText="1"/>
    </xf>
    <xf numFmtId="14" fontId="8" fillId="0" borderId="0" xfId="5" applyNumberFormat="1" applyFont="1" applyFill="1" applyBorder="1" applyAlignment="1">
      <alignment horizontal="center" vertical="top" wrapText="1"/>
    </xf>
    <xf numFmtId="3" fontId="8" fillId="0" borderId="0" xfId="5" applyNumberFormat="1" applyFont="1" applyFill="1" applyBorder="1" applyAlignment="1">
      <alignment horizontal="center" vertical="top" wrapText="1"/>
    </xf>
    <xf numFmtId="10" fontId="8" fillId="0" borderId="0" xfId="5" applyNumberFormat="1" applyFont="1" applyFill="1" applyBorder="1" applyAlignment="1">
      <alignment horizontal="center" vertical="top" wrapText="1"/>
    </xf>
    <xf numFmtId="0" fontId="8" fillId="0" borderId="39" xfId="5" applyFont="1" applyFill="1" applyBorder="1" applyAlignment="1">
      <alignment vertical="top" wrapText="1"/>
    </xf>
    <xf numFmtId="0" fontId="8" fillId="0" borderId="0" xfId="5" applyFont="1" applyFill="1" applyAlignment="1">
      <alignment vertical="top" wrapText="1"/>
    </xf>
    <xf numFmtId="14" fontId="8" fillId="0" borderId="0" xfId="5" applyNumberFormat="1" applyFont="1" applyFill="1" applyBorder="1" applyAlignment="1">
      <alignment horizontal="center" vertical="top" wrapText="1"/>
    </xf>
    <xf numFmtId="0" fontId="8" fillId="0" borderId="0" xfId="5" applyFont="1" applyFill="1" applyBorder="1" applyAlignment="1">
      <alignment horizontal="left" vertical="top" wrapText="1"/>
    </xf>
    <xf numFmtId="3" fontId="19" fillId="0" borderId="43" xfId="5" applyNumberFormat="1" applyFont="1" applyFill="1" applyBorder="1" applyAlignment="1">
      <alignment horizontal="center" vertical="top" wrapText="1"/>
    </xf>
    <xf numFmtId="3" fontId="19" fillId="0" borderId="44" xfId="5" applyNumberFormat="1" applyFont="1" applyFill="1" applyBorder="1" applyAlignment="1">
      <alignment horizontal="center" vertical="top" wrapText="1"/>
    </xf>
    <xf numFmtId="3" fontId="19" fillId="0" borderId="45" xfId="5" applyNumberFormat="1" applyFont="1" applyFill="1" applyBorder="1" applyAlignment="1">
      <alignment horizontal="center" vertical="top" wrapText="1"/>
    </xf>
    <xf numFmtId="0" fontId="19" fillId="3" borderId="38" xfId="5" applyFont="1" applyFill="1" applyBorder="1" applyAlignment="1">
      <alignment vertical="top" wrapText="1"/>
    </xf>
    <xf numFmtId="0" fontId="8" fillId="3" borderId="38" xfId="5" applyFont="1" applyFill="1" applyBorder="1" applyAlignment="1">
      <alignment vertical="top" wrapText="1"/>
    </xf>
    <xf numFmtId="0" fontId="8" fillId="0" borderId="39" xfId="5" applyFont="1" applyFill="1" applyBorder="1" applyAlignment="1">
      <alignment horizontal="left" vertical="top" wrapText="1"/>
    </xf>
    <xf numFmtId="0" fontId="8" fillId="0" borderId="0" xfId="5" applyFont="1" applyFill="1" applyBorder="1" applyAlignment="1">
      <alignment vertical="top" wrapText="1"/>
    </xf>
    <xf numFmtId="0" fontId="8" fillId="0" borderId="39" xfId="0" applyFont="1" applyFill="1" applyBorder="1" applyAlignment="1">
      <alignment vertical="top" wrapText="1"/>
    </xf>
    <xf numFmtId="3" fontId="19" fillId="0" borderId="0" xfId="5" applyNumberFormat="1" applyFont="1" applyFill="1" applyBorder="1" applyAlignment="1">
      <alignment horizontal="center" vertical="top" wrapText="1"/>
    </xf>
    <xf numFmtId="0" fontId="8" fillId="3" borderId="0" xfId="5" applyFont="1" applyFill="1" applyBorder="1" applyAlignment="1">
      <alignment horizontal="center" vertical="top" wrapText="1"/>
    </xf>
    <xf numFmtId="14" fontId="8" fillId="3" borderId="0" xfId="5" applyNumberFormat="1" applyFont="1" applyFill="1" applyBorder="1" applyAlignment="1">
      <alignment horizontal="center" vertical="top" wrapText="1"/>
    </xf>
    <xf numFmtId="14" fontId="19" fillId="3" borderId="43" xfId="5" applyNumberFormat="1" applyFont="1" applyFill="1" applyBorder="1" applyAlignment="1">
      <alignment horizontal="center" vertical="top" wrapText="1"/>
    </xf>
    <xf numFmtId="3" fontId="19" fillId="3" borderId="44" xfId="5" applyNumberFormat="1" applyFont="1" applyFill="1" applyBorder="1" applyAlignment="1">
      <alignment horizontal="center" vertical="top" wrapText="1"/>
    </xf>
    <xf numFmtId="3" fontId="19" fillId="3" borderId="45" xfId="5" applyNumberFormat="1" applyFont="1" applyFill="1" applyBorder="1" applyAlignment="1">
      <alignment horizontal="center" vertical="top" wrapText="1"/>
    </xf>
    <xf numFmtId="10" fontId="8" fillId="3" borderId="0" xfId="5" applyNumberFormat="1" applyFont="1" applyFill="1" applyBorder="1" applyAlignment="1">
      <alignment horizontal="center" vertical="top" wrapText="1"/>
    </xf>
    <xf numFmtId="0" fontId="8" fillId="3" borderId="39" xfId="5" applyFont="1" applyFill="1" applyBorder="1" applyAlignment="1">
      <alignment vertical="top" wrapText="1"/>
    </xf>
    <xf numFmtId="3" fontId="19" fillId="3" borderId="0" xfId="1" applyNumberFormat="1" applyFont="1" applyFill="1" applyBorder="1"/>
    <xf numFmtId="0" fontId="19" fillId="3" borderId="0" xfId="5" applyFont="1" applyFill="1" applyBorder="1"/>
    <xf numFmtId="0" fontId="8" fillId="5" borderId="46" xfId="5" applyFont="1" applyFill="1" applyBorder="1"/>
    <xf numFmtId="0" fontId="8" fillId="5" borderId="47" xfId="5" applyFont="1" applyFill="1" applyBorder="1"/>
    <xf numFmtId="0" fontId="8" fillId="5" borderId="48" xfId="5" applyFont="1" applyFill="1" applyBorder="1"/>
    <xf numFmtId="0" fontId="8" fillId="3" borderId="49" xfId="5" applyFont="1" applyFill="1" applyBorder="1"/>
    <xf numFmtId="0" fontId="8" fillId="3" borderId="50" xfId="5" applyFont="1" applyFill="1" applyBorder="1"/>
    <xf numFmtId="0" fontId="8" fillId="3" borderId="51" xfId="5" applyFont="1" applyFill="1" applyBorder="1"/>
    <xf numFmtId="0" fontId="8" fillId="0" borderId="0" xfId="5" applyFont="1" applyFill="1" applyBorder="1"/>
    <xf numFmtId="0" fontId="32" fillId="3" borderId="0" xfId="5" applyFont="1" applyFill="1" applyBorder="1"/>
    <xf numFmtId="167" fontId="8" fillId="3" borderId="0" xfId="2" applyFont="1" applyFill="1" applyBorder="1"/>
    <xf numFmtId="0" fontId="19" fillId="3" borderId="52" xfId="5" applyFont="1" applyFill="1" applyBorder="1"/>
    <xf numFmtId="0" fontId="19" fillId="3" borderId="53" xfId="5" applyFont="1" applyFill="1" applyBorder="1" applyAlignment="1">
      <alignment horizontal="center"/>
    </xf>
    <xf numFmtId="0" fontId="19" fillId="3" borderId="53" xfId="5" applyFont="1" applyFill="1" applyBorder="1" applyAlignment="1"/>
    <xf numFmtId="0" fontId="19" fillId="3" borderId="54" xfId="5" applyFont="1" applyFill="1" applyBorder="1"/>
    <xf numFmtId="0" fontId="19" fillId="3" borderId="38" xfId="5" applyFont="1" applyFill="1" applyBorder="1"/>
    <xf numFmtId="0" fontId="19" fillId="3" borderId="0" xfId="5" applyFont="1" applyFill="1" applyBorder="1" applyAlignment="1">
      <alignment horizontal="center"/>
    </xf>
    <xf numFmtId="0" fontId="19" fillId="3" borderId="0" xfId="5" applyFont="1" applyFill="1" applyBorder="1" applyAlignment="1"/>
    <xf numFmtId="3" fontId="8" fillId="3" borderId="0" xfId="5" applyNumberFormat="1" applyFont="1" applyFill="1" applyBorder="1"/>
    <xf numFmtId="0" fontId="19" fillId="3" borderId="39" xfId="5" applyFont="1" applyFill="1" applyBorder="1"/>
    <xf numFmtId="3" fontId="19" fillId="3" borderId="0" xfId="5" applyNumberFormat="1" applyFont="1" applyFill="1" applyBorder="1" applyAlignment="1">
      <alignment horizontal="center" vertical="top" wrapText="1"/>
    </xf>
    <xf numFmtId="3" fontId="19" fillId="3" borderId="0" xfId="5" applyNumberFormat="1" applyFont="1" applyFill="1" applyBorder="1"/>
    <xf numFmtId="3" fontId="19" fillId="0" borderId="0" xfId="5" applyNumberFormat="1" applyFont="1" applyFill="1" applyBorder="1"/>
    <xf numFmtId="14" fontId="19" fillId="3" borderId="0" xfId="5" applyNumberFormat="1" applyFont="1" applyFill="1" applyBorder="1" applyAlignment="1">
      <alignment horizontal="center" vertical="top" wrapText="1"/>
    </xf>
    <xf numFmtId="3" fontId="8" fillId="0" borderId="0" xfId="5" applyNumberFormat="1" applyFont="1" applyFill="1" applyBorder="1"/>
    <xf numFmtId="3" fontId="19" fillId="3" borderId="44" xfId="5" applyNumberFormat="1" applyFont="1" applyFill="1" applyBorder="1"/>
    <xf numFmtId="3" fontId="19" fillId="3" borderId="45" xfId="5" applyNumberFormat="1" applyFont="1" applyFill="1" applyBorder="1"/>
    <xf numFmtId="14" fontId="19" fillId="3" borderId="0" xfId="5" applyNumberFormat="1" applyFont="1" applyFill="1" applyBorder="1" applyAlignment="1">
      <alignment horizontal="center"/>
    </xf>
    <xf numFmtId="0" fontId="19" fillId="0" borderId="55" xfId="5" applyFont="1" applyBorder="1"/>
    <xf numFmtId="0" fontId="8" fillId="0" borderId="56" xfId="5" applyFont="1" applyBorder="1"/>
    <xf numFmtId="3" fontId="8" fillId="0" borderId="56" xfId="5" applyNumberFormat="1" applyFont="1" applyBorder="1"/>
    <xf numFmtId="0" fontId="8" fillId="0" borderId="57" xfId="5" applyFont="1" applyBorder="1"/>
    <xf numFmtId="38" fontId="22" fillId="0" borderId="12" xfId="0" applyNumberFormat="1" applyFont="1" applyFill="1" applyBorder="1" applyAlignment="1" applyProtection="1">
      <alignment horizontal="right" vertical="top"/>
      <protection locked="0"/>
    </xf>
    <xf numFmtId="173" fontId="23" fillId="0" borderId="76" xfId="0" applyNumberFormat="1" applyFont="1" applyFill="1" applyBorder="1" applyAlignment="1">
      <alignment horizontal="center" vertical="top"/>
    </xf>
    <xf numFmtId="173" fontId="28" fillId="0" borderId="0" xfId="0" applyNumberFormat="1" applyFont="1" applyFill="1" applyBorder="1" applyAlignment="1">
      <alignment horizontal="center" vertical="top"/>
    </xf>
    <xf numFmtId="38" fontId="22" fillId="0" borderId="10" xfId="0" applyNumberFormat="1" applyFont="1" applyFill="1" applyBorder="1" applyAlignment="1" applyProtection="1">
      <alignment vertical="top"/>
      <protection locked="0"/>
    </xf>
    <xf numFmtId="0" fontId="5" fillId="0" borderId="0" xfId="0" applyFont="1"/>
    <xf numFmtId="0" fontId="5" fillId="0" borderId="0" xfId="0" applyFont="1" applyBorder="1"/>
    <xf numFmtId="3" fontId="5" fillId="0" borderId="58" xfId="7" applyNumberFormat="1" applyFont="1" applyBorder="1"/>
    <xf numFmtId="3" fontId="5" fillId="0" borderId="58" xfId="7" applyNumberFormat="1" applyFont="1" applyBorder="1" applyAlignment="1">
      <alignment horizontal="center"/>
    </xf>
    <xf numFmtId="173" fontId="5" fillId="0" borderId="58" xfId="7" applyNumberFormat="1" applyFont="1" applyBorder="1" applyAlignment="1">
      <alignment horizontal="center"/>
    </xf>
    <xf numFmtId="169" fontId="5" fillId="0" borderId="58" xfId="10" applyNumberFormat="1" applyFont="1" applyBorder="1"/>
    <xf numFmtId="3" fontId="5" fillId="0" borderId="58" xfId="7" applyNumberFormat="1" applyFont="1" applyFill="1" applyBorder="1" applyAlignment="1">
      <alignment horizontal="right"/>
    </xf>
    <xf numFmtId="10" fontId="5" fillId="0" borderId="58" xfId="10" applyNumberFormat="1" applyFont="1" applyBorder="1" applyAlignment="1">
      <alignment horizontal="center"/>
    </xf>
    <xf numFmtId="3" fontId="5" fillId="0" borderId="0" xfId="7" applyNumberFormat="1" applyFont="1"/>
    <xf numFmtId="176" fontId="5" fillId="0" borderId="58" xfId="7" applyNumberFormat="1" applyFont="1" applyBorder="1"/>
    <xf numFmtId="176" fontId="5" fillId="0" borderId="58" xfId="1" applyNumberFormat="1" applyFont="1" applyBorder="1" applyAlignment="1"/>
    <xf numFmtId="0" fontId="9" fillId="0" borderId="0" xfId="0" applyFont="1"/>
    <xf numFmtId="0" fontId="43" fillId="9" borderId="38" xfId="0" applyFont="1" applyFill="1" applyBorder="1"/>
    <xf numFmtId="0" fontId="43" fillId="9" borderId="55" xfId="0" applyFont="1" applyFill="1" applyBorder="1"/>
    <xf numFmtId="169" fontId="5" fillId="0" borderId="58" xfId="10" applyNumberFormat="1" applyFont="1" applyBorder="1" applyAlignment="1"/>
    <xf numFmtId="0" fontId="5" fillId="0" borderId="0" xfId="0" applyFont="1" applyFill="1" applyBorder="1" applyAlignment="1"/>
    <xf numFmtId="0" fontId="5" fillId="0" borderId="0" xfId="0" applyFont="1" applyFill="1" applyBorder="1" applyAlignment="1">
      <alignment horizontal="center"/>
    </xf>
    <xf numFmtId="0" fontId="9" fillId="0" borderId="0" xfId="0" applyFont="1" applyAlignment="1">
      <alignment horizontal="center"/>
    </xf>
    <xf numFmtId="175" fontId="9" fillId="5" borderId="58" xfId="7" applyNumberFormat="1" applyFont="1" applyFill="1" applyBorder="1" applyAlignment="1">
      <alignment horizontal="center"/>
    </xf>
    <xf numFmtId="0" fontId="5" fillId="0" borderId="67" xfId="0" applyFont="1" applyBorder="1"/>
    <xf numFmtId="3" fontId="9" fillId="5" borderId="58" xfId="7" applyNumberFormat="1" applyFont="1" applyFill="1" applyBorder="1" applyAlignment="1">
      <alignment horizontal="right"/>
    </xf>
    <xf numFmtId="0" fontId="5" fillId="0" borderId="58" xfId="7" applyFont="1" applyFill="1" applyBorder="1"/>
    <xf numFmtId="3" fontId="5" fillId="5" borderId="58" xfId="7" applyNumberFormat="1" applyFont="1" applyFill="1" applyBorder="1" applyAlignment="1">
      <alignment horizontal="center"/>
    </xf>
    <xf numFmtId="3" fontId="41" fillId="0" borderId="67" xfId="7" applyNumberFormat="1" applyFont="1" applyFill="1" applyBorder="1" applyAlignment="1">
      <alignment horizontal="right"/>
    </xf>
    <xf numFmtId="0" fontId="23" fillId="0" borderId="0" xfId="0" applyFont="1" applyBorder="1" applyAlignment="1">
      <alignment horizontal="justify" vertical="top" wrapText="1"/>
    </xf>
    <xf numFmtId="173" fontId="23" fillId="0" borderId="0" xfId="0" applyNumberFormat="1" applyFont="1" applyFill="1" applyBorder="1" applyAlignment="1">
      <alignment horizontal="center" vertical="top"/>
    </xf>
    <xf numFmtId="173" fontId="23" fillId="0" borderId="0" xfId="0" applyNumberFormat="1" applyFont="1" applyBorder="1" applyAlignment="1">
      <alignment horizontal="center" vertical="top"/>
    </xf>
    <xf numFmtId="0" fontId="0" fillId="0" borderId="67" xfId="0" applyBorder="1" applyAlignment="1"/>
    <xf numFmtId="3" fontId="5" fillId="0" borderId="67" xfId="7" applyNumberFormat="1" applyFont="1" applyFill="1" applyBorder="1" applyAlignment="1"/>
    <xf numFmtId="0" fontId="23" fillId="0" borderId="23" xfId="0" applyNumberFormat="1" applyFont="1" applyBorder="1" applyAlignment="1">
      <alignment horizontal="center"/>
    </xf>
    <xf numFmtId="0" fontId="23" fillId="0" borderId="24" xfId="0" applyNumberFormat="1" applyFont="1" applyBorder="1" applyAlignment="1">
      <alignment horizontal="center"/>
    </xf>
    <xf numFmtId="0" fontId="23" fillId="0" borderId="25" xfId="0" applyNumberFormat="1" applyFont="1" applyBorder="1" applyAlignment="1">
      <alignment horizontal="center"/>
    </xf>
    <xf numFmtId="0" fontId="6" fillId="0" borderId="53" xfId="0" applyFont="1" applyBorder="1" applyAlignment="1" applyProtection="1">
      <alignment horizontal="left"/>
    </xf>
    <xf numFmtId="169" fontId="22" fillId="0" borderId="53" xfId="0" applyNumberFormat="1" applyFont="1" applyBorder="1" applyAlignment="1" applyProtection="1">
      <alignment vertical="top"/>
    </xf>
    <xf numFmtId="0" fontId="6" fillId="0" borderId="44" xfId="0" applyFont="1" applyBorder="1" applyAlignment="1" applyProtection="1">
      <alignment horizontal="left"/>
    </xf>
    <xf numFmtId="169" fontId="22" fillId="0" borderId="44" xfId="0" applyNumberFormat="1" applyFont="1" applyBorder="1" applyAlignment="1" applyProtection="1">
      <alignment vertical="top"/>
    </xf>
    <xf numFmtId="3" fontId="22" fillId="0" borderId="44" xfId="0" applyNumberFormat="1" applyFont="1" applyBorder="1" applyAlignment="1" applyProtection="1">
      <alignment vertical="top"/>
    </xf>
    <xf numFmtId="0" fontId="6" fillId="0" borderId="44" xfId="0" applyFont="1" applyBorder="1" applyAlignment="1" applyProtection="1">
      <alignment horizontal="center"/>
    </xf>
    <xf numFmtId="0" fontId="23" fillId="0" borderId="53" xfId="0" applyFont="1" applyBorder="1"/>
    <xf numFmtId="3" fontId="22" fillId="0" borderId="53" xfId="0" applyNumberFormat="1" applyFont="1" applyBorder="1" applyAlignment="1">
      <alignment vertical="top"/>
    </xf>
    <xf numFmtId="169" fontId="22" fillId="0" borderId="53" xfId="0" applyNumberFormat="1" applyFont="1" applyBorder="1" applyAlignment="1">
      <alignment vertical="top"/>
    </xf>
    <xf numFmtId="3" fontId="22" fillId="0" borderId="44" xfId="0" applyNumberFormat="1" applyFont="1" applyBorder="1" applyAlignment="1">
      <alignment vertical="top"/>
    </xf>
    <xf numFmtId="169" fontId="22" fillId="0" borderId="44" xfId="0" applyNumberFormat="1" applyFont="1" applyBorder="1" applyAlignment="1">
      <alignment vertical="top"/>
    </xf>
    <xf numFmtId="169" fontId="22" fillId="0" borderId="0" xfId="0" applyNumberFormat="1" applyFont="1" applyBorder="1" applyAlignment="1" applyProtection="1">
      <alignment vertical="top"/>
    </xf>
    <xf numFmtId="0" fontId="23" fillId="0" borderId="0" xfId="0" applyFont="1" applyBorder="1" applyAlignment="1" applyProtection="1">
      <alignment horizontal="right"/>
    </xf>
    <xf numFmtId="3" fontId="22" fillId="0" borderId="0" xfId="0" applyNumberFormat="1" applyFont="1" applyBorder="1" applyAlignment="1" applyProtection="1">
      <alignment vertical="top"/>
    </xf>
    <xf numFmtId="3" fontId="22" fillId="0" borderId="53" xfId="0" applyNumberFormat="1" applyFont="1" applyBorder="1" applyAlignment="1" applyProtection="1">
      <alignment vertical="top"/>
    </xf>
    <xf numFmtId="3" fontId="23" fillId="0" borderId="110" xfId="0" applyNumberFormat="1" applyFont="1" applyBorder="1" applyAlignment="1" applyProtection="1">
      <alignment horizontal="center"/>
    </xf>
    <xf numFmtId="169" fontId="23" fillId="0" borderId="110" xfId="0" applyNumberFormat="1" applyFont="1" applyBorder="1" applyAlignment="1" applyProtection="1">
      <alignment horizontal="center"/>
    </xf>
    <xf numFmtId="38" fontId="22" fillId="0" borderId="111" xfId="0" applyNumberFormat="1" applyFont="1" applyBorder="1" applyAlignment="1" applyProtection="1">
      <alignment vertical="top"/>
      <protection locked="0"/>
    </xf>
    <xf numFmtId="169" fontId="22" fillId="0" borderId="112" xfId="0" applyNumberFormat="1" applyFont="1" applyBorder="1" applyAlignment="1" applyProtection="1">
      <alignment vertical="top"/>
    </xf>
    <xf numFmtId="38" fontId="23" fillId="5" borderId="113" xfId="0" applyNumberFormat="1" applyFont="1" applyFill="1" applyBorder="1" applyAlignment="1" applyProtection="1">
      <alignment horizontal="right"/>
    </xf>
    <xf numFmtId="169" fontId="23" fillId="5" borderId="114" xfId="0" applyNumberFormat="1" applyFont="1" applyFill="1" applyBorder="1" applyAlignment="1" applyProtection="1">
      <alignment horizontal="right"/>
    </xf>
    <xf numFmtId="38" fontId="22" fillId="0" borderId="115" xfId="0" applyNumberFormat="1" applyFont="1" applyBorder="1" applyAlignment="1" applyProtection="1">
      <alignment vertical="top"/>
      <protection locked="0"/>
    </xf>
    <xf numFmtId="169" fontId="22" fillId="0" borderId="116" xfId="0" applyNumberFormat="1" applyFont="1" applyBorder="1" applyAlignment="1" applyProtection="1">
      <alignment vertical="top"/>
    </xf>
    <xf numFmtId="169" fontId="23" fillId="0" borderId="0" xfId="0" applyNumberFormat="1" applyFont="1" applyBorder="1" applyProtection="1"/>
    <xf numFmtId="3" fontId="25" fillId="0" borderId="117" xfId="0" applyNumberFormat="1" applyFont="1" applyBorder="1" applyAlignment="1" applyProtection="1">
      <alignment horizontal="center"/>
    </xf>
    <xf numFmtId="15" fontId="23" fillId="0" borderId="118" xfId="0" applyNumberFormat="1" applyFont="1" applyBorder="1" applyAlignment="1" applyProtection="1">
      <alignment horizontal="center"/>
      <protection locked="0"/>
    </xf>
    <xf numFmtId="38" fontId="22" fillId="0" borderId="119" xfId="0" applyNumberFormat="1" applyFont="1" applyBorder="1" applyAlignment="1" applyProtection="1">
      <alignment vertical="top"/>
      <protection locked="0"/>
    </xf>
    <xf numFmtId="169" fontId="22" fillId="0" borderId="120" xfId="0" applyNumberFormat="1" applyFont="1" applyBorder="1" applyAlignment="1" applyProtection="1">
      <alignment vertical="top"/>
    </xf>
    <xf numFmtId="169" fontId="22" fillId="0" borderId="121" xfId="0" applyNumberFormat="1" applyFont="1" applyBorder="1" applyAlignment="1">
      <alignment horizontal="right" vertical="top"/>
    </xf>
    <xf numFmtId="169" fontId="22" fillId="0" borderId="122" xfId="0" applyNumberFormat="1" applyFont="1" applyBorder="1" applyAlignment="1">
      <alignment horizontal="right" vertical="top"/>
    </xf>
    <xf numFmtId="38" fontId="22" fillId="0" borderId="111" xfId="0" applyNumberFormat="1" applyFont="1" applyBorder="1" applyAlignment="1" applyProtection="1">
      <alignment horizontal="right" vertical="top"/>
      <protection locked="0"/>
    </xf>
    <xf numFmtId="169" fontId="22" fillId="0" borderId="112" xfId="0" applyNumberFormat="1" applyFont="1" applyBorder="1" applyAlignment="1">
      <alignment horizontal="right" vertical="top"/>
    </xf>
    <xf numFmtId="169" fontId="22" fillId="0" borderId="123" xfId="0" applyNumberFormat="1" applyFont="1" applyBorder="1" applyAlignment="1">
      <alignment horizontal="right" vertical="top"/>
    </xf>
    <xf numFmtId="38" fontId="22" fillId="0" borderId="119" xfId="0" applyNumberFormat="1" applyFont="1" applyBorder="1" applyAlignment="1" applyProtection="1">
      <alignment horizontal="right" vertical="top"/>
      <protection locked="0"/>
    </xf>
    <xf numFmtId="169" fontId="22" fillId="0" borderId="120" xfId="0" applyNumberFormat="1" applyFont="1" applyBorder="1" applyAlignment="1">
      <alignment horizontal="right" vertical="top"/>
    </xf>
    <xf numFmtId="169" fontId="22" fillId="0" borderId="124" xfId="0" applyNumberFormat="1" applyFont="1" applyBorder="1" applyAlignment="1">
      <alignment horizontal="right" vertical="top"/>
    </xf>
    <xf numFmtId="38" fontId="23" fillId="5" borderId="113" xfId="0" applyNumberFormat="1" applyFont="1" applyFill="1" applyBorder="1" applyAlignment="1">
      <alignment horizontal="right" vertical="top"/>
    </xf>
    <xf numFmtId="169" fontId="23" fillId="5" borderId="114" xfId="0" applyNumberFormat="1" applyFont="1" applyFill="1" applyBorder="1" applyAlignment="1">
      <alignment horizontal="right" vertical="top"/>
    </xf>
    <xf numFmtId="38" fontId="22" fillId="0" borderId="125" xfId="0" applyNumberFormat="1" applyFont="1" applyBorder="1" applyAlignment="1" applyProtection="1">
      <alignment horizontal="right" vertical="top"/>
      <protection locked="0"/>
    </xf>
    <xf numFmtId="169" fontId="22" fillId="0" borderId="126" xfId="0" applyNumberFormat="1" applyFont="1" applyBorder="1" applyAlignment="1">
      <alignment horizontal="right" vertical="top"/>
    </xf>
    <xf numFmtId="169" fontId="22" fillId="0" borderId="127" xfId="0" applyNumberFormat="1" applyFont="1" applyBorder="1" applyAlignment="1">
      <alignment horizontal="right" vertical="top"/>
    </xf>
    <xf numFmtId="3" fontId="22" fillId="0" borderId="0" xfId="0" applyNumberFormat="1" applyFont="1" applyFill="1" applyBorder="1" applyAlignment="1">
      <alignment vertical="top"/>
    </xf>
    <xf numFmtId="169" fontId="23" fillId="5" borderId="128" xfId="0" applyNumberFormat="1" applyFont="1" applyFill="1" applyBorder="1" applyAlignment="1">
      <alignment horizontal="right" vertical="top"/>
    </xf>
    <xf numFmtId="38" fontId="27" fillId="0" borderId="111" xfId="0" applyNumberFormat="1" applyFont="1" applyBorder="1" applyAlignment="1" applyProtection="1">
      <alignment horizontal="right" vertical="top"/>
    </xf>
    <xf numFmtId="38" fontId="23" fillId="5" borderId="129" xfId="0" applyNumberFormat="1" applyFont="1" applyFill="1" applyBorder="1" applyAlignment="1">
      <alignment horizontal="right" vertical="top"/>
    </xf>
    <xf numFmtId="169" fontId="23" fillId="5" borderId="130" xfId="0" applyNumberFormat="1" applyFont="1" applyFill="1" applyBorder="1" applyAlignment="1">
      <alignment horizontal="right" vertical="top"/>
    </xf>
    <xf numFmtId="169" fontId="23" fillId="5" borderId="131" xfId="0" applyNumberFormat="1" applyFont="1" applyFill="1" applyBorder="1" applyAlignment="1">
      <alignment horizontal="right" vertical="top"/>
    </xf>
    <xf numFmtId="38" fontId="22" fillId="0" borderId="132" xfId="0" applyNumberFormat="1" applyFont="1" applyBorder="1" applyAlignment="1">
      <alignment horizontal="right" vertical="top"/>
    </xf>
    <xf numFmtId="169" fontId="22" fillId="0" borderId="133" xfId="0" applyNumberFormat="1" applyFont="1" applyBorder="1" applyAlignment="1">
      <alignment horizontal="right" vertical="top"/>
    </xf>
    <xf numFmtId="38" fontId="22" fillId="0" borderId="132" xfId="0" applyNumberFormat="1" applyFont="1" applyFill="1" applyBorder="1" applyAlignment="1" applyProtection="1">
      <alignment horizontal="right" vertical="top"/>
      <protection locked="0"/>
    </xf>
    <xf numFmtId="169" fontId="22" fillId="0" borderId="134" xfId="0" applyNumberFormat="1" applyFont="1" applyBorder="1" applyAlignment="1">
      <alignment horizontal="right" vertical="top"/>
    </xf>
    <xf numFmtId="169" fontId="22" fillId="0" borderId="135" xfId="0" applyNumberFormat="1" applyFont="1" applyBorder="1" applyAlignment="1">
      <alignment vertical="top"/>
    </xf>
    <xf numFmtId="169" fontId="23" fillId="0" borderId="135" xfId="0" applyNumberFormat="1" applyFont="1" applyBorder="1" applyAlignment="1">
      <alignment vertical="top"/>
    </xf>
    <xf numFmtId="169" fontId="22" fillId="0" borderId="116" xfId="0" applyNumberFormat="1" applyFont="1" applyBorder="1" applyAlignment="1">
      <alignment vertical="top"/>
    </xf>
    <xf numFmtId="169" fontId="22" fillId="0" borderId="136" xfId="0" applyNumberFormat="1" applyFont="1" applyBorder="1" applyAlignment="1">
      <alignment vertical="top"/>
    </xf>
    <xf numFmtId="169" fontId="22" fillId="0" borderId="112" xfId="0" applyNumberFormat="1" applyFont="1" applyBorder="1" applyAlignment="1">
      <alignment vertical="top"/>
    </xf>
    <xf numFmtId="169" fontId="22" fillId="0" borderId="137" xfId="0" applyNumberFormat="1" applyFont="1" applyBorder="1" applyAlignment="1">
      <alignment vertical="top"/>
    </xf>
    <xf numFmtId="38" fontId="23" fillId="0" borderId="111" xfId="0" applyNumberFormat="1" applyFont="1" applyBorder="1" applyAlignment="1" applyProtection="1">
      <alignment vertical="top"/>
      <protection locked="0"/>
    </xf>
    <xf numFmtId="169" fontId="23" fillId="0" borderId="112" xfId="0" applyNumberFormat="1" applyFont="1" applyBorder="1" applyAlignment="1">
      <alignment vertical="top"/>
    </xf>
    <xf numFmtId="169" fontId="23" fillId="0" borderId="137" xfId="0" applyNumberFormat="1" applyFont="1" applyBorder="1" applyAlignment="1">
      <alignment vertical="top"/>
    </xf>
    <xf numFmtId="38" fontId="22" fillId="0" borderId="132" xfId="0" applyNumberFormat="1" applyFont="1" applyFill="1" applyBorder="1" applyAlignment="1" applyProtection="1">
      <alignment vertical="top"/>
      <protection locked="0"/>
    </xf>
    <xf numFmtId="169" fontId="22" fillId="0" borderId="133" xfId="0" applyNumberFormat="1" applyFont="1" applyBorder="1" applyAlignment="1">
      <alignment vertical="top"/>
    </xf>
    <xf numFmtId="38" fontId="22" fillId="0" borderId="132" xfId="0" applyNumberFormat="1" applyFont="1" applyBorder="1" applyAlignment="1" applyProtection="1">
      <alignment vertical="top"/>
      <protection locked="0"/>
    </xf>
    <xf numFmtId="169" fontId="22" fillId="0" borderId="138" xfId="0" applyNumberFormat="1" applyFont="1" applyBorder="1" applyAlignment="1">
      <alignment vertical="top"/>
    </xf>
    <xf numFmtId="0" fontId="22" fillId="0" borderId="71" xfId="0" applyFont="1" applyBorder="1"/>
    <xf numFmtId="169" fontId="22" fillId="0" borderId="140" xfId="0" applyNumberFormat="1" applyFont="1" applyBorder="1" applyAlignment="1">
      <alignment vertical="top"/>
    </xf>
    <xf numFmtId="38" fontId="22" fillId="0" borderId="0" xfId="0" applyNumberFormat="1" applyFont="1" applyBorder="1" applyAlignment="1" applyProtection="1">
      <alignment vertical="top"/>
    </xf>
    <xf numFmtId="38" fontId="23" fillId="5" borderId="132" xfId="0" applyNumberFormat="1" applyFont="1" applyFill="1" applyBorder="1" applyAlignment="1" applyProtection="1">
      <alignment horizontal="right"/>
    </xf>
    <xf numFmtId="169" fontId="23" fillId="5" borderId="141" xfId="0" applyNumberFormat="1" applyFont="1" applyFill="1" applyBorder="1" applyAlignment="1" applyProtection="1">
      <alignment horizontal="right"/>
    </xf>
    <xf numFmtId="169" fontId="5" fillId="0" borderId="58" xfId="10" applyNumberFormat="1" applyFont="1" applyBorder="1" applyAlignment="1">
      <alignment horizontal="right"/>
    </xf>
    <xf numFmtId="0" fontId="14" fillId="0" borderId="38" xfId="0" applyFont="1" applyBorder="1" applyAlignment="1" applyProtection="1">
      <alignment vertical="center"/>
    </xf>
    <xf numFmtId="0" fontId="14" fillId="0" borderId="0" xfId="0" applyFont="1" applyBorder="1" applyAlignment="1" applyProtection="1">
      <alignment vertical="center"/>
    </xf>
    <xf numFmtId="0" fontId="8" fillId="0" borderId="0" xfId="0" applyFont="1" applyAlignment="1" applyProtection="1">
      <alignment vertical="center"/>
      <protection locked="0"/>
    </xf>
    <xf numFmtId="0" fontId="6" fillId="0" borderId="53" xfId="0" applyFont="1" applyBorder="1" applyAlignment="1">
      <alignment horizontal="left"/>
    </xf>
    <xf numFmtId="0" fontId="6" fillId="0" borderId="44" xfId="0" applyFont="1" applyBorder="1" applyAlignment="1">
      <alignment horizontal="left"/>
    </xf>
    <xf numFmtId="3" fontId="23" fillId="6" borderId="132" xfId="0" applyNumberFormat="1" applyFont="1" applyFill="1" applyBorder="1" applyAlignment="1" applyProtection="1">
      <alignment horizontal="center"/>
    </xf>
    <xf numFmtId="9" fontId="23" fillId="6" borderId="141" xfId="0" applyNumberFormat="1" applyFont="1" applyFill="1" applyBorder="1" applyAlignment="1" applyProtection="1">
      <alignment horizontal="center"/>
    </xf>
    <xf numFmtId="10" fontId="44" fillId="0" borderId="143" xfId="0" applyNumberFormat="1" applyFont="1" applyBorder="1" applyAlignment="1">
      <alignment horizontal="right" vertical="center" wrapText="1"/>
    </xf>
    <xf numFmtId="10" fontId="44" fillId="0" borderId="109" xfId="0" applyNumberFormat="1" applyFont="1" applyBorder="1" applyAlignment="1">
      <alignment horizontal="right" vertical="center" wrapText="1"/>
    </xf>
    <xf numFmtId="0" fontId="5" fillId="0" borderId="0" xfId="0" applyFont="1" applyBorder="1" applyAlignment="1" applyProtection="1">
      <alignment vertical="center"/>
      <protection locked="0"/>
    </xf>
    <xf numFmtId="0" fontId="33" fillId="0" borderId="0" xfId="0" applyFont="1" applyAlignment="1">
      <alignment vertical="center"/>
    </xf>
    <xf numFmtId="0" fontId="44" fillId="0" borderId="0" xfId="0" applyFont="1"/>
    <xf numFmtId="0" fontId="44" fillId="0" borderId="0" xfId="0" applyFont="1" applyBorder="1"/>
    <xf numFmtId="0" fontId="8" fillId="0" borderId="35" xfId="0" applyFont="1" applyBorder="1" applyAlignment="1" applyProtection="1">
      <alignment vertical="center"/>
      <protection locked="0"/>
    </xf>
    <xf numFmtId="0" fontId="8" fillId="0" borderId="36" xfId="0" applyFont="1" applyBorder="1" applyAlignment="1" applyProtection="1">
      <alignment vertical="center"/>
      <protection locked="0"/>
    </xf>
    <xf numFmtId="0" fontId="8" fillId="0" borderId="37" xfId="0" applyFont="1" applyBorder="1" applyAlignment="1" applyProtection="1">
      <alignment vertical="center"/>
      <protection locked="0"/>
    </xf>
    <xf numFmtId="0" fontId="48" fillId="0" borderId="0" xfId="0" applyFont="1" applyAlignment="1" applyProtection="1">
      <alignment vertical="center"/>
      <protection locked="0"/>
    </xf>
    <xf numFmtId="0" fontId="8" fillId="0" borderId="38" xfId="0" applyFont="1" applyBorder="1" applyAlignment="1" applyProtection="1">
      <alignment vertical="center"/>
      <protection locked="0"/>
    </xf>
    <xf numFmtId="0" fontId="8" fillId="0" borderId="0" xfId="0" applyFont="1" applyBorder="1" applyAlignment="1" applyProtection="1">
      <alignment vertical="center"/>
      <protection locked="0"/>
    </xf>
    <xf numFmtId="0" fontId="9" fillId="0" borderId="0" xfId="0" applyFont="1" applyBorder="1" applyAlignment="1" applyProtection="1">
      <alignment vertical="center"/>
    </xf>
    <xf numFmtId="0" fontId="9" fillId="0" borderId="0" xfId="0" applyFont="1" applyBorder="1" applyAlignment="1" applyProtection="1">
      <alignment horizontal="right" vertical="center"/>
    </xf>
    <xf numFmtId="0" fontId="9" fillId="0" borderId="39" xfId="0" applyFont="1" applyBorder="1" applyAlignment="1" applyProtection="1">
      <alignment horizontal="center" vertical="center"/>
      <protection locked="0"/>
    </xf>
    <xf numFmtId="0" fontId="5" fillId="0" borderId="38" xfId="0" applyFont="1" applyBorder="1" applyAlignment="1" applyProtection="1">
      <alignment vertical="center"/>
      <protection locked="0"/>
    </xf>
    <xf numFmtId="0" fontId="9" fillId="0" borderId="0" xfId="0" applyFont="1" applyFill="1" applyBorder="1" applyAlignment="1" applyProtection="1">
      <alignment vertical="center"/>
    </xf>
    <xf numFmtId="0" fontId="5" fillId="0" borderId="0" xfId="0" applyFont="1" applyFill="1" applyBorder="1" applyAlignment="1" applyProtection="1">
      <alignment vertical="center"/>
      <protection locked="0"/>
    </xf>
    <xf numFmtId="0" fontId="9" fillId="0" borderId="0" xfId="0" applyFont="1" applyFill="1" applyBorder="1" applyAlignment="1" applyProtection="1">
      <alignment vertical="center"/>
      <protection locked="0"/>
    </xf>
    <xf numFmtId="170" fontId="5" fillId="0" borderId="0" xfId="0" applyNumberFormat="1" applyFont="1" applyFill="1" applyBorder="1" applyAlignment="1" applyProtection="1">
      <alignment vertical="center"/>
      <protection locked="0"/>
    </xf>
    <xf numFmtId="0" fontId="8" fillId="0" borderId="39" xfId="0" applyFont="1" applyBorder="1" applyAlignment="1" applyProtection="1">
      <alignment vertical="center"/>
      <protection locked="0"/>
    </xf>
    <xf numFmtId="0" fontId="10" fillId="0" borderId="52" xfId="0" applyFont="1" applyBorder="1" applyAlignment="1" applyProtection="1">
      <alignment vertical="center"/>
      <protection locked="0"/>
    </xf>
    <xf numFmtId="0" fontId="5" fillId="0" borderId="53" xfId="0" applyFont="1" applyBorder="1" applyAlignment="1" applyProtection="1">
      <alignment vertical="center"/>
      <protection locked="0"/>
    </xf>
    <xf numFmtId="0" fontId="9" fillId="0" borderId="53" xfId="0" applyFont="1" applyFill="1" applyBorder="1" applyAlignment="1" applyProtection="1">
      <alignment vertical="center"/>
      <protection locked="0"/>
    </xf>
    <xf numFmtId="170" fontId="5" fillId="0" borderId="53" xfId="0" applyNumberFormat="1" applyFont="1" applyFill="1" applyBorder="1" applyAlignment="1" applyProtection="1">
      <alignment horizontal="left" vertical="center"/>
      <protection locked="0"/>
    </xf>
    <xf numFmtId="0" fontId="5" fillId="0" borderId="53" xfId="0" applyFont="1" applyFill="1" applyBorder="1" applyAlignment="1" applyProtection="1">
      <alignment vertical="center"/>
      <protection locked="0"/>
    </xf>
    <xf numFmtId="170" fontId="5" fillId="0" borderId="53" xfId="0" applyNumberFormat="1" applyFont="1" applyBorder="1" applyAlignment="1" applyProtection="1">
      <alignment vertical="center"/>
      <protection locked="0"/>
    </xf>
    <xf numFmtId="0" fontId="9" fillId="0" borderId="38" xfId="0" applyFont="1" applyBorder="1" applyAlignment="1" applyProtection="1">
      <alignment vertical="center"/>
    </xf>
    <xf numFmtId="0" fontId="5" fillId="0" borderId="0" xfId="0" applyFont="1" applyBorder="1" applyAlignment="1" applyProtection="1">
      <alignment vertical="center"/>
    </xf>
    <xf numFmtId="0" fontId="9" fillId="0" borderId="0" xfId="0" applyFont="1" applyBorder="1" applyAlignment="1" applyProtection="1">
      <alignment vertical="center"/>
      <protection locked="0"/>
    </xf>
    <xf numFmtId="0" fontId="13" fillId="0" borderId="0" xfId="0" applyFont="1" applyBorder="1" applyAlignment="1" applyProtection="1">
      <alignment vertical="center"/>
    </xf>
    <xf numFmtId="0" fontId="13" fillId="0" borderId="67" xfId="0" applyFont="1" applyBorder="1" applyAlignment="1" applyProtection="1">
      <alignment vertical="center"/>
    </xf>
    <xf numFmtId="0" fontId="5" fillId="0" borderId="0" xfId="0" applyFont="1" applyFill="1" applyBorder="1" applyAlignment="1" applyProtection="1">
      <alignment horizontal="center" vertical="center"/>
    </xf>
    <xf numFmtId="0" fontId="13" fillId="0" borderId="0" xfId="0" applyFont="1" applyBorder="1" applyAlignment="1" applyProtection="1">
      <alignment vertical="center"/>
      <protection locked="0"/>
    </xf>
    <xf numFmtId="0" fontId="14" fillId="0" borderId="0" xfId="0" applyFont="1" applyBorder="1" applyAlignment="1" applyProtection="1">
      <alignment vertical="center"/>
      <protection locked="0"/>
    </xf>
    <xf numFmtId="0" fontId="14" fillId="0" borderId="39" xfId="0" applyFont="1" applyBorder="1" applyAlignment="1" applyProtection="1">
      <alignment vertical="center"/>
    </xf>
    <xf numFmtId="171" fontId="14" fillId="0" borderId="39" xfId="0" applyNumberFormat="1" applyFont="1" applyBorder="1" applyAlignment="1" applyProtection="1">
      <alignment horizontal="center" vertical="center"/>
      <protection locked="0"/>
    </xf>
    <xf numFmtId="171" fontId="14" fillId="0" borderId="0" xfId="0" applyNumberFormat="1" applyFont="1" applyBorder="1" applyAlignment="1" applyProtection="1">
      <alignment horizontal="center" vertical="center"/>
      <protection locked="0"/>
    </xf>
    <xf numFmtId="10" fontId="14" fillId="0" borderId="39" xfId="10" applyNumberFormat="1" applyFont="1" applyBorder="1" applyAlignment="1" applyProtection="1">
      <alignment horizontal="center" vertical="center"/>
      <protection locked="0"/>
    </xf>
    <xf numFmtId="0" fontId="13" fillId="3" borderId="38" xfId="0" applyFont="1" applyFill="1" applyBorder="1" applyAlignment="1" applyProtection="1">
      <alignment vertical="center"/>
    </xf>
    <xf numFmtId="0" fontId="5" fillId="0" borderId="0" xfId="0" applyFont="1" applyBorder="1" applyAlignment="1" applyProtection="1">
      <alignment horizontal="left" vertical="center"/>
      <protection locked="0"/>
    </xf>
    <xf numFmtId="0" fontId="16" fillId="0" borderId="0" xfId="0" applyFont="1" applyBorder="1" applyAlignment="1" applyProtection="1">
      <alignment vertical="center"/>
    </xf>
    <xf numFmtId="10" fontId="14" fillId="0" borderId="39" xfId="0" applyNumberFormat="1" applyFont="1" applyBorder="1" applyAlignment="1" applyProtection="1">
      <alignment horizontal="center" vertical="center"/>
      <protection locked="0"/>
    </xf>
    <xf numFmtId="0" fontId="9" fillId="0" borderId="155" xfId="0" applyFont="1" applyBorder="1" applyAlignment="1" applyProtection="1">
      <alignment vertical="center"/>
    </xf>
    <xf numFmtId="0" fontId="9" fillId="0" borderId="44" xfId="0" applyFont="1" applyBorder="1" applyAlignment="1" applyProtection="1">
      <alignment vertical="center"/>
    </xf>
    <xf numFmtId="0" fontId="9" fillId="0" borderId="44" xfId="0" applyFont="1" applyBorder="1" applyAlignment="1" applyProtection="1">
      <alignment vertical="center"/>
      <protection locked="0"/>
    </xf>
    <xf numFmtId="0" fontId="8" fillId="0" borderId="44" xfId="0" applyFont="1" applyBorder="1" applyAlignment="1" applyProtection="1">
      <alignment vertical="center"/>
      <protection locked="0"/>
    </xf>
    <xf numFmtId="0" fontId="8" fillId="0" borderId="156" xfId="0" applyFont="1" applyBorder="1" applyAlignment="1" applyProtection="1">
      <alignment vertical="center"/>
      <protection locked="0"/>
    </xf>
    <xf numFmtId="0" fontId="5" fillId="0" borderId="38" xfId="0" applyFont="1" applyBorder="1" applyAlignment="1" applyProtection="1">
      <alignment vertical="center"/>
    </xf>
    <xf numFmtId="0" fontId="9" fillId="0" borderId="0" xfId="0" applyFont="1" applyBorder="1" applyAlignment="1" applyProtection="1">
      <alignment horizontal="center" vertical="center"/>
    </xf>
    <xf numFmtId="3" fontId="16" fillId="0" borderId="0" xfId="0" applyNumberFormat="1" applyFont="1" applyBorder="1" applyAlignment="1" applyProtection="1">
      <alignment horizontal="center" vertical="center"/>
    </xf>
    <xf numFmtId="3" fontId="5" fillId="0" borderId="0" xfId="0" applyNumberFormat="1" applyFont="1" applyBorder="1" applyAlignment="1" applyProtection="1">
      <alignment horizontal="center" vertical="center"/>
    </xf>
    <xf numFmtId="38" fontId="5" fillId="0" borderId="0" xfId="0" applyNumberFormat="1" applyFont="1" applyBorder="1" applyAlignment="1" applyProtection="1">
      <alignment horizontal="right" vertical="center"/>
    </xf>
    <xf numFmtId="0" fontId="8" fillId="0" borderId="0" xfId="0" applyFont="1" applyBorder="1" applyAlignment="1" applyProtection="1">
      <alignment vertical="center"/>
    </xf>
    <xf numFmtId="0" fontId="5" fillId="0" borderId="155" xfId="0" applyFont="1" applyBorder="1" applyAlignment="1" applyProtection="1">
      <alignment vertical="center"/>
    </xf>
    <xf numFmtId="0" fontId="5" fillId="0" borderId="44" xfId="0" applyFont="1" applyBorder="1" applyAlignment="1" applyProtection="1">
      <alignment vertical="center"/>
    </xf>
    <xf numFmtId="14" fontId="9" fillId="0" borderId="0" xfId="0" applyNumberFormat="1" applyFont="1" applyBorder="1" applyAlignment="1" applyProtection="1">
      <alignment horizontal="left" vertical="center"/>
    </xf>
    <xf numFmtId="0" fontId="5" fillId="0" borderId="0" xfId="0" applyFont="1" applyBorder="1" applyAlignment="1" applyProtection="1">
      <alignment horizontal="center" vertical="center"/>
    </xf>
    <xf numFmtId="14" fontId="9" fillId="0" borderId="38" xfId="0" applyNumberFormat="1" applyFont="1" applyBorder="1" applyAlignment="1" applyProtection="1">
      <alignment vertical="center"/>
      <protection locked="0"/>
    </xf>
    <xf numFmtId="3" fontId="9" fillId="0" borderId="0" xfId="0" applyNumberFormat="1" applyFont="1" applyBorder="1" applyAlignment="1" applyProtection="1">
      <alignment horizontal="center" vertical="center"/>
      <protection locked="0"/>
    </xf>
    <xf numFmtId="0" fontId="9" fillId="0" borderId="0" xfId="0" applyFont="1" applyBorder="1" applyAlignment="1" applyProtection="1">
      <alignment horizontal="center" vertical="center"/>
      <protection locked="0"/>
    </xf>
    <xf numFmtId="3" fontId="5" fillId="0" borderId="38" xfId="0" applyNumberFormat="1" applyFont="1" applyBorder="1" applyAlignment="1" applyProtection="1">
      <alignment vertical="center"/>
      <protection locked="0"/>
    </xf>
    <xf numFmtId="38" fontId="5" fillId="0" borderId="0" xfId="0" applyNumberFormat="1" applyFont="1" applyFill="1" applyBorder="1" applyAlignment="1" applyProtection="1">
      <alignment horizontal="right" vertical="center"/>
    </xf>
    <xf numFmtId="0" fontId="8" fillId="0" borderId="44" xfId="0" applyFont="1" applyBorder="1" applyAlignment="1" applyProtection="1">
      <alignment vertical="center"/>
    </xf>
    <xf numFmtId="0" fontId="8" fillId="0" borderId="156" xfId="0" applyFont="1" applyBorder="1" applyAlignment="1" applyProtection="1">
      <alignment vertical="center"/>
    </xf>
    <xf numFmtId="17" fontId="5" fillId="0" borderId="0" xfId="0" applyNumberFormat="1" applyFont="1" applyBorder="1" applyAlignment="1" applyProtection="1">
      <alignment horizontal="center" vertical="center"/>
    </xf>
    <xf numFmtId="17" fontId="5" fillId="0" borderId="39" xfId="0" applyNumberFormat="1" applyFont="1" applyBorder="1" applyAlignment="1" applyProtection="1">
      <alignment horizontal="center" vertical="center"/>
    </xf>
    <xf numFmtId="173" fontId="5" fillId="0" borderId="0" xfId="0" applyNumberFormat="1" applyFont="1" applyBorder="1" applyAlignment="1" applyProtection="1">
      <alignment horizontal="center" vertical="center"/>
      <protection locked="0"/>
    </xf>
    <xf numFmtId="173" fontId="5" fillId="0" borderId="39" xfId="0" applyNumberFormat="1" applyFont="1" applyBorder="1" applyAlignment="1" applyProtection="1">
      <alignment horizontal="center" vertical="center"/>
      <protection locked="0"/>
    </xf>
    <xf numFmtId="3" fontId="9" fillId="0" borderId="0" xfId="0" applyNumberFormat="1" applyFont="1" applyBorder="1" applyAlignment="1" applyProtection="1">
      <alignment horizontal="center" vertical="center"/>
    </xf>
    <xf numFmtId="3" fontId="8" fillId="0" borderId="0" xfId="0" applyNumberFormat="1" applyFont="1" applyBorder="1" applyAlignment="1" applyProtection="1">
      <alignment horizontal="center" vertical="center"/>
      <protection locked="0"/>
    </xf>
    <xf numFmtId="0" fontId="8" fillId="0" borderId="0" xfId="0" applyFont="1" applyBorder="1" applyAlignment="1" applyProtection="1">
      <alignment horizontal="center" vertical="center"/>
      <protection locked="0"/>
    </xf>
    <xf numFmtId="0" fontId="8" fillId="0" borderId="39" xfId="0" applyFont="1" applyBorder="1" applyAlignment="1" applyProtection="1">
      <alignment horizontal="center" vertical="center"/>
      <protection locked="0"/>
    </xf>
    <xf numFmtId="0" fontId="8" fillId="0" borderId="39" xfId="0" applyFont="1" applyBorder="1" applyAlignment="1" applyProtection="1">
      <alignment vertical="center"/>
    </xf>
    <xf numFmtId="0" fontId="9" fillId="0" borderId="38" xfId="0" applyFont="1" applyBorder="1" applyAlignment="1" applyProtection="1">
      <alignment horizontal="center" vertical="center"/>
    </xf>
    <xf numFmtId="0" fontId="13" fillId="0" borderId="155" xfId="0" applyFont="1" applyBorder="1" applyAlignment="1" applyProtection="1">
      <alignment vertical="center"/>
    </xf>
    <xf numFmtId="0" fontId="5" fillId="0" borderId="44" xfId="0" applyFont="1" applyBorder="1" applyAlignment="1" applyProtection="1">
      <alignment vertical="center"/>
      <protection locked="0"/>
    </xf>
    <xf numFmtId="3" fontId="5" fillId="0" borderId="44" xfId="0" applyNumberFormat="1" applyFont="1" applyBorder="1" applyAlignment="1" applyProtection="1">
      <alignment vertical="center"/>
    </xf>
    <xf numFmtId="0" fontId="13" fillId="0" borderId="44" xfId="0" applyFont="1" applyBorder="1" applyAlignment="1" applyProtection="1">
      <alignment vertical="center"/>
    </xf>
    <xf numFmtId="14" fontId="5" fillId="0" borderId="44" xfId="0" applyNumberFormat="1" applyFont="1" applyBorder="1" applyAlignment="1" applyProtection="1">
      <alignment horizontal="left" vertical="center"/>
      <protection locked="0"/>
    </xf>
    <xf numFmtId="0" fontId="13" fillId="0" borderId="44" xfId="0" applyFont="1" applyBorder="1" applyAlignment="1" applyProtection="1">
      <alignment vertical="center"/>
      <protection locked="0"/>
    </xf>
    <xf numFmtId="3" fontId="5" fillId="0" borderId="44" xfId="0" applyNumberFormat="1" applyFont="1" applyBorder="1" applyAlignment="1" applyProtection="1">
      <alignment vertical="center"/>
      <protection locked="0"/>
    </xf>
    <xf numFmtId="0" fontId="5" fillId="0" borderId="156" xfId="0" applyFont="1" applyBorder="1" applyAlignment="1" applyProtection="1">
      <alignment vertical="center"/>
      <protection locked="0"/>
    </xf>
    <xf numFmtId="0" fontId="17" fillId="0" borderId="155" xfId="0" applyFont="1" applyBorder="1" applyAlignment="1" applyProtection="1">
      <alignment vertical="center"/>
    </xf>
    <xf numFmtId="3" fontId="9" fillId="0" borderId="44" xfId="0" applyNumberFormat="1" applyFont="1" applyBorder="1" applyAlignment="1" applyProtection="1">
      <alignment vertical="center"/>
    </xf>
    <xf numFmtId="14" fontId="13" fillId="0" borderId="44" xfId="0" applyNumberFormat="1" applyFont="1" applyBorder="1" applyAlignment="1" applyProtection="1">
      <alignment vertical="center"/>
      <protection locked="0"/>
    </xf>
    <xf numFmtId="0" fontId="5" fillId="0" borderId="38" xfId="0" applyFont="1" applyBorder="1" applyAlignment="1" applyProtection="1">
      <alignment horizontal="left" vertical="center"/>
      <protection locked="0"/>
    </xf>
    <xf numFmtId="3" fontId="5" fillId="0" borderId="0" xfId="0" applyNumberFormat="1" applyFont="1" applyBorder="1" applyAlignment="1" applyProtection="1">
      <alignment vertical="center"/>
      <protection locked="0"/>
    </xf>
    <xf numFmtId="0" fontId="18" fillId="0" borderId="0" xfId="0" applyFont="1" applyBorder="1" applyAlignment="1" applyProtection="1">
      <alignment vertical="center"/>
    </xf>
    <xf numFmtId="10" fontId="5" fillId="0" borderId="0" xfId="0" applyNumberFormat="1" applyFont="1" applyBorder="1" applyAlignment="1" applyProtection="1">
      <alignment vertical="center"/>
      <protection locked="0"/>
    </xf>
    <xf numFmtId="0" fontId="5" fillId="0" borderId="39" xfId="0" applyFont="1" applyBorder="1" applyAlignment="1" applyProtection="1">
      <alignment vertical="center"/>
      <protection locked="0"/>
    </xf>
    <xf numFmtId="0" fontId="5" fillId="0" borderId="0" xfId="0" applyFont="1" applyAlignment="1" applyProtection="1">
      <alignment vertical="center"/>
      <protection locked="0"/>
    </xf>
    <xf numFmtId="0" fontId="9" fillId="0" borderId="39" xfId="0" applyFont="1" applyBorder="1" applyAlignment="1" applyProtection="1">
      <alignment vertical="center"/>
    </xf>
    <xf numFmtId="0" fontId="9" fillId="0" borderId="38" xfId="0" applyFont="1" applyBorder="1" applyAlignment="1" applyProtection="1">
      <alignment horizontal="left" vertical="center"/>
    </xf>
    <xf numFmtId="0" fontId="13" fillId="0" borderId="155" xfId="0" applyFont="1" applyBorder="1" applyAlignment="1" applyProtection="1">
      <alignment horizontal="left" vertical="center"/>
    </xf>
    <xf numFmtId="3" fontId="5" fillId="0" borderId="44" xfId="0" applyNumberFormat="1" applyFont="1" applyBorder="1" applyAlignment="1" applyProtection="1">
      <alignment horizontal="center" vertical="center"/>
    </xf>
    <xf numFmtId="0" fontId="13" fillId="0" borderId="44" xfId="0" applyFont="1" applyBorder="1" applyAlignment="1" applyProtection="1">
      <alignment horizontal="right" vertical="center"/>
    </xf>
    <xf numFmtId="0" fontId="5" fillId="0" borderId="38" xfId="0" applyFont="1" applyBorder="1" applyAlignment="1" applyProtection="1">
      <alignment horizontal="left" vertical="center"/>
    </xf>
    <xf numFmtId="0" fontId="17" fillId="0" borderId="155" xfId="0" applyFont="1" applyBorder="1" applyAlignment="1" applyProtection="1">
      <alignment horizontal="left" vertical="center"/>
    </xf>
    <xf numFmtId="0" fontId="5" fillId="0" borderId="67" xfId="0" applyFont="1" applyBorder="1" applyAlignment="1" applyProtection="1">
      <alignment vertical="center"/>
    </xf>
    <xf numFmtId="0" fontId="8" fillId="0" borderId="67" xfId="0" applyFont="1" applyBorder="1" applyAlignment="1" applyProtection="1">
      <alignment vertical="center"/>
    </xf>
    <xf numFmtId="0" fontId="8" fillId="0" borderId="157" xfId="0" applyFont="1" applyBorder="1" applyAlignment="1" applyProtection="1">
      <alignment vertical="center"/>
    </xf>
    <xf numFmtId="0" fontId="8" fillId="0" borderId="38" xfId="0" applyFont="1" applyBorder="1" applyAlignment="1" applyProtection="1">
      <alignment vertical="center"/>
    </xf>
    <xf numFmtId="0" fontId="42" fillId="0" borderId="38" xfId="0" applyFont="1" applyBorder="1" applyAlignment="1" applyProtection="1">
      <alignment vertical="center"/>
    </xf>
    <xf numFmtId="0" fontId="19" fillId="0" borderId="38" xfId="0" applyFont="1" applyBorder="1" applyAlignment="1" applyProtection="1">
      <alignment vertical="center"/>
    </xf>
    <xf numFmtId="0" fontId="8" fillId="0" borderId="0" xfId="0" applyFont="1" applyBorder="1" applyAlignment="1" applyProtection="1">
      <alignment horizontal="left" vertical="center" indent="1"/>
    </xf>
    <xf numFmtId="0" fontId="8" fillId="0" borderId="55" xfId="0" applyFont="1" applyBorder="1" applyAlignment="1" applyProtection="1">
      <alignment vertical="center"/>
    </xf>
    <xf numFmtId="0" fontId="8" fillId="0" borderId="56" xfId="0" applyFont="1" applyBorder="1" applyAlignment="1" applyProtection="1">
      <alignment vertical="center"/>
    </xf>
    <xf numFmtId="0" fontId="8" fillId="0" borderId="57" xfId="0" applyFont="1" applyBorder="1" applyAlignment="1" applyProtection="1">
      <alignment vertical="center"/>
    </xf>
    <xf numFmtId="0" fontId="19" fillId="5" borderId="105" xfId="0" applyFont="1" applyFill="1" applyBorder="1" applyAlignment="1" applyProtection="1">
      <alignment vertical="center"/>
    </xf>
    <xf numFmtId="0" fontId="8" fillId="0" borderId="158" xfId="0" applyFont="1" applyBorder="1" applyAlignment="1" applyProtection="1">
      <alignment vertical="center"/>
      <protection locked="0"/>
    </xf>
    <xf numFmtId="0" fontId="8" fillId="0" borderId="67" xfId="0" applyFont="1" applyBorder="1" applyAlignment="1" applyProtection="1">
      <alignment vertical="center"/>
      <protection locked="0"/>
    </xf>
    <xf numFmtId="0" fontId="8" fillId="0" borderId="157" xfId="0" applyFont="1" applyBorder="1" applyAlignment="1" applyProtection="1">
      <alignment vertical="center"/>
      <protection locked="0"/>
    </xf>
    <xf numFmtId="0" fontId="8" fillId="0" borderId="52" xfId="0" applyFont="1" applyBorder="1" applyAlignment="1" applyProtection="1">
      <alignment vertical="center"/>
      <protection locked="0"/>
    </xf>
    <xf numFmtId="0" fontId="8" fillId="0" borderId="53" xfId="0" applyFont="1" applyBorder="1" applyAlignment="1" applyProtection="1">
      <alignment vertical="center"/>
      <protection locked="0"/>
    </xf>
    <xf numFmtId="0" fontId="8" fillId="0" borderId="54" xfId="0" applyFont="1" applyBorder="1" applyAlignment="1" applyProtection="1">
      <alignment vertical="center"/>
      <protection locked="0"/>
    </xf>
    <xf numFmtId="0" fontId="19" fillId="5" borderId="155" xfId="0" applyFont="1" applyFill="1" applyBorder="1" applyAlignment="1" applyProtection="1">
      <alignment vertical="center"/>
    </xf>
    <xf numFmtId="0" fontId="19" fillId="5" borderId="44" xfId="0" applyFont="1" applyFill="1" applyBorder="1" applyAlignment="1" applyProtection="1">
      <alignment vertical="center"/>
    </xf>
    <xf numFmtId="0" fontId="19" fillId="5" borderId="67" xfId="0" applyFont="1" applyFill="1" applyBorder="1" applyAlignment="1" applyProtection="1">
      <alignment vertical="center"/>
    </xf>
    <xf numFmtId="0" fontId="19" fillId="5" borderId="157" xfId="0" applyFont="1" applyFill="1" applyBorder="1" applyAlignment="1" applyProtection="1">
      <alignment vertical="center"/>
    </xf>
    <xf numFmtId="167" fontId="9" fillId="3" borderId="39" xfId="2" applyFont="1" applyFill="1" applyBorder="1" applyAlignment="1" applyProtection="1">
      <alignment horizontal="center" vertical="center" wrapText="1"/>
      <protection locked="0"/>
    </xf>
    <xf numFmtId="14" fontId="9" fillId="3" borderId="39" xfId="2" applyNumberFormat="1" applyFont="1" applyFill="1" applyBorder="1" applyAlignment="1" applyProtection="1">
      <alignment horizontal="center" vertical="center" wrapText="1"/>
      <protection locked="0"/>
    </xf>
    <xf numFmtId="0" fontId="5" fillId="3" borderId="0" xfId="0" applyFont="1" applyFill="1" applyBorder="1" applyAlignment="1">
      <alignment vertical="center"/>
    </xf>
    <xf numFmtId="167" fontId="5" fillId="3" borderId="0" xfId="2" applyFont="1" applyFill="1" applyBorder="1" applyAlignment="1" applyProtection="1">
      <alignment vertical="center"/>
      <protection locked="0"/>
    </xf>
    <xf numFmtId="0" fontId="5" fillId="3" borderId="0" xfId="0" applyFont="1" applyFill="1" applyBorder="1" applyAlignment="1" applyProtection="1">
      <alignment vertical="center"/>
    </xf>
    <xf numFmtId="167" fontId="5" fillId="3" borderId="39" xfId="2" applyFont="1" applyFill="1" applyBorder="1" applyAlignment="1" applyProtection="1">
      <alignment vertical="center"/>
      <protection locked="0"/>
    </xf>
    <xf numFmtId="0" fontId="10" fillId="3" borderId="0" xfId="0" applyFont="1" applyFill="1" applyBorder="1" applyAlignment="1" applyProtection="1">
      <alignment vertical="center"/>
    </xf>
    <xf numFmtId="167" fontId="10" fillId="3" borderId="0" xfId="2" applyFont="1" applyFill="1" applyBorder="1" applyAlignment="1" applyProtection="1">
      <alignment vertical="center"/>
    </xf>
    <xf numFmtId="167" fontId="9" fillId="3" borderId="56" xfId="2" applyFont="1" applyFill="1" applyBorder="1" applyAlignment="1" applyProtection="1">
      <alignment vertical="center"/>
      <protection locked="0"/>
    </xf>
    <xf numFmtId="167" fontId="9" fillId="3" borderId="57" xfId="2" applyFont="1" applyFill="1" applyBorder="1" applyAlignment="1" applyProtection="1">
      <alignment vertical="center"/>
      <protection locked="0"/>
    </xf>
    <xf numFmtId="164" fontId="9" fillId="0" borderId="0" xfId="0" applyNumberFormat="1" applyFont="1" applyBorder="1" applyAlignment="1" applyProtection="1">
      <alignment horizontal="center" vertical="center"/>
      <protection locked="0"/>
    </xf>
    <xf numFmtId="14" fontId="9" fillId="0" borderId="66" xfId="0" applyNumberFormat="1" applyFont="1" applyBorder="1" applyAlignment="1" applyProtection="1">
      <alignment horizontal="center" vertical="center"/>
      <protection locked="0"/>
    </xf>
    <xf numFmtId="0" fontId="5" fillId="10" borderId="84" xfId="0" applyFont="1" applyFill="1" applyBorder="1" applyAlignment="1" applyProtection="1">
      <alignment horizontal="center" vertical="center"/>
      <protection locked="0"/>
    </xf>
    <xf numFmtId="164" fontId="5" fillId="0" borderId="0" xfId="0" applyNumberFormat="1" applyFont="1" applyBorder="1" applyAlignment="1" applyProtection="1">
      <alignment vertical="center"/>
      <protection locked="0"/>
    </xf>
    <xf numFmtId="164" fontId="5" fillId="0" borderId="66" xfId="0" applyNumberFormat="1" applyFont="1" applyBorder="1" applyAlignment="1" applyProtection="1">
      <alignment vertical="center"/>
      <protection locked="0"/>
    </xf>
    <xf numFmtId="0" fontId="5" fillId="10" borderId="77" xfId="0" applyFont="1" applyFill="1" applyBorder="1" applyAlignment="1" applyProtection="1">
      <alignment vertical="center"/>
      <protection locked="0"/>
    </xf>
    <xf numFmtId="10" fontId="5" fillId="10" borderId="62" xfId="10" applyNumberFormat="1" applyFont="1" applyFill="1" applyBorder="1" applyAlignment="1" applyProtection="1">
      <alignment vertical="center"/>
      <protection locked="0"/>
    </xf>
    <xf numFmtId="0" fontId="8" fillId="0" borderId="55" xfId="0" applyFont="1" applyBorder="1" applyAlignment="1" applyProtection="1">
      <alignment vertical="center"/>
      <protection locked="0"/>
    </xf>
    <xf numFmtId="0" fontId="8" fillId="0" borderId="56" xfId="0" applyFont="1" applyBorder="1" applyAlignment="1" applyProtection="1">
      <alignment vertical="center"/>
      <protection locked="0"/>
    </xf>
    <xf numFmtId="0" fontId="8" fillId="0" borderId="57" xfId="0" applyFont="1" applyBorder="1" applyAlignment="1" applyProtection="1">
      <alignment vertical="center"/>
      <protection locked="0"/>
    </xf>
    <xf numFmtId="0" fontId="12" fillId="8" borderId="58" xfId="0" applyFont="1" applyFill="1" applyBorder="1" applyAlignment="1" applyProtection="1"/>
    <xf numFmtId="0" fontId="15" fillId="8" borderId="58" xfId="0" applyFont="1" applyFill="1" applyBorder="1" applyProtection="1"/>
    <xf numFmtId="0" fontId="12" fillId="6" borderId="58" xfId="0" applyFont="1" applyFill="1" applyBorder="1" applyAlignment="1" applyProtection="1"/>
    <xf numFmtId="14" fontId="14" fillId="0" borderId="39" xfId="0" applyNumberFormat="1" applyFont="1" applyBorder="1" applyAlignment="1" applyProtection="1">
      <alignment horizontal="center" vertical="center"/>
      <protection locked="0"/>
    </xf>
    <xf numFmtId="175" fontId="5" fillId="0" borderId="0" xfId="0" applyNumberFormat="1" applyFont="1" applyBorder="1" applyAlignment="1" applyProtection="1">
      <alignment horizontal="left" vertical="center"/>
      <protection locked="0"/>
    </xf>
    <xf numFmtId="0" fontId="16" fillId="0" borderId="0" xfId="0" applyFont="1" applyBorder="1" applyAlignment="1" applyProtection="1">
      <alignment vertical="center"/>
      <protection locked="0"/>
    </xf>
    <xf numFmtId="178" fontId="9" fillId="0" borderId="0" xfId="0" applyNumberFormat="1" applyFont="1" applyBorder="1" applyAlignment="1" applyProtection="1">
      <alignment horizontal="right" vertical="center"/>
      <protection locked="0"/>
    </xf>
    <xf numFmtId="3" fontId="5" fillId="0" borderId="0" xfId="0" applyNumberFormat="1" applyFont="1" applyFill="1" applyBorder="1" applyAlignment="1" applyProtection="1">
      <alignment vertical="center"/>
    </xf>
    <xf numFmtId="0" fontId="6" fillId="0" borderId="0" xfId="0" applyFont="1" applyBorder="1" applyAlignment="1" applyProtection="1">
      <alignment horizontal="center"/>
    </xf>
    <xf numFmtId="0" fontId="6" fillId="0" borderId="0" xfId="0" applyFont="1" applyBorder="1" applyAlignment="1">
      <alignment horizontal="center"/>
    </xf>
    <xf numFmtId="177" fontId="52" fillId="11" borderId="159" xfId="8" applyFont="1" applyFill="1" applyBorder="1" applyAlignment="1" applyProtection="1">
      <alignment horizontal="left"/>
    </xf>
    <xf numFmtId="177" fontId="52" fillId="11" borderId="159" xfId="8" applyFont="1" applyFill="1" applyBorder="1" applyAlignment="1" applyProtection="1">
      <alignment horizontal="left"/>
      <protection locked="0"/>
    </xf>
    <xf numFmtId="177" fontId="52" fillId="11" borderId="159" xfId="8" applyFont="1" applyFill="1" applyBorder="1" applyProtection="1"/>
    <xf numFmtId="0" fontId="52" fillId="11" borderId="159" xfId="0" applyFont="1" applyFill="1" applyBorder="1" applyProtection="1"/>
    <xf numFmtId="177" fontId="53" fillId="11" borderId="159" xfId="8" applyFont="1" applyFill="1" applyBorder="1" applyProtection="1"/>
    <xf numFmtId="177" fontId="34" fillId="0" borderId="0" xfId="8"/>
    <xf numFmtId="177" fontId="52" fillId="11" borderId="0" xfId="8" applyFont="1" applyFill="1" applyAlignment="1" applyProtection="1">
      <alignment horizontal="left"/>
    </xf>
    <xf numFmtId="177" fontId="52" fillId="11" borderId="0" xfId="8" applyFont="1" applyFill="1" applyBorder="1" applyAlignment="1" applyProtection="1">
      <alignment horizontal="left"/>
      <protection locked="0"/>
    </xf>
    <xf numFmtId="177" fontId="52" fillId="11" borderId="0" xfId="8" applyFont="1" applyFill="1" applyProtection="1"/>
    <xf numFmtId="0" fontId="52" fillId="11" borderId="0" xfId="0" applyFont="1" applyFill="1" applyProtection="1"/>
    <xf numFmtId="177" fontId="53" fillId="11" borderId="0" xfId="8" applyFont="1" applyFill="1" applyProtection="1"/>
    <xf numFmtId="177" fontId="52" fillId="11" borderId="0" xfId="8" applyFont="1" applyFill="1" applyAlignment="1" applyProtection="1">
      <alignment horizontal="left"/>
      <protection locked="0"/>
    </xf>
    <xf numFmtId="177" fontId="52" fillId="11" borderId="160" xfId="8" applyFont="1" applyFill="1" applyBorder="1" applyAlignment="1" applyProtection="1">
      <alignment horizontal="left"/>
    </xf>
    <xf numFmtId="177" fontId="52" fillId="11" borderId="161" xfId="8" applyFont="1" applyFill="1" applyBorder="1" applyAlignment="1" applyProtection="1">
      <alignment horizontal="left"/>
      <protection locked="0"/>
    </xf>
    <xf numFmtId="177" fontId="52" fillId="11" borderId="160" xfId="8" applyFont="1" applyFill="1" applyBorder="1" applyProtection="1"/>
    <xf numFmtId="177" fontId="52" fillId="11" borderId="160" xfId="8" quotePrefix="1" applyFont="1" applyFill="1" applyBorder="1" applyAlignment="1" applyProtection="1">
      <alignment horizontal="left"/>
    </xf>
    <xf numFmtId="177" fontId="52" fillId="11" borderId="160" xfId="8" applyFont="1" applyFill="1" applyBorder="1" applyAlignment="1" applyProtection="1">
      <alignment horizontal="right"/>
    </xf>
    <xf numFmtId="177" fontId="53" fillId="11" borderId="160" xfId="8" applyFont="1" applyFill="1" applyBorder="1" applyProtection="1"/>
    <xf numFmtId="0" fontId="53" fillId="0" borderId="0" xfId="0" applyFont="1" applyProtection="1"/>
    <xf numFmtId="0" fontId="53" fillId="0" borderId="0" xfId="0" applyFont="1" applyAlignment="1" applyProtection="1">
      <alignment horizontal="right"/>
    </xf>
    <xf numFmtId="177" fontId="53" fillId="0" borderId="0" xfId="8" applyFont="1" applyProtection="1"/>
    <xf numFmtId="177" fontId="52" fillId="11" borderId="162" xfId="8" applyFont="1" applyFill="1" applyBorder="1" applyAlignment="1" applyProtection="1">
      <alignment horizontal="left"/>
    </xf>
    <xf numFmtId="177" fontId="52" fillId="11" borderId="163" xfId="8" applyFont="1" applyFill="1" applyBorder="1" applyProtection="1"/>
    <xf numFmtId="14" fontId="52" fillId="11" borderId="164" xfId="8" applyNumberFormat="1" applyFont="1" applyFill="1" applyBorder="1" applyAlignment="1" applyProtection="1">
      <alignment horizontal="center"/>
    </xf>
    <xf numFmtId="14" fontId="52" fillId="0" borderId="165" xfId="8" applyNumberFormat="1" applyFont="1" applyFill="1" applyBorder="1" applyAlignment="1" applyProtection="1">
      <alignment horizontal="center"/>
    </xf>
    <xf numFmtId="177" fontId="52" fillId="11" borderId="164" xfId="8" applyFont="1" applyFill="1" applyBorder="1" applyProtection="1"/>
    <xf numFmtId="177" fontId="52" fillId="11" borderId="164" xfId="8" applyFont="1" applyFill="1" applyBorder="1" applyAlignment="1" applyProtection="1">
      <alignment horizontal="center"/>
    </xf>
    <xf numFmtId="177" fontId="53" fillId="0" borderId="162" xfId="8" applyFont="1" applyBorder="1" applyProtection="1"/>
    <xf numFmtId="177" fontId="53" fillId="0" borderId="163" xfId="8" applyFont="1" applyBorder="1" applyProtection="1"/>
    <xf numFmtId="183" fontId="53" fillId="0" borderId="164" xfId="8" applyNumberFormat="1" applyFont="1" applyBorder="1" applyProtection="1"/>
    <xf numFmtId="183" fontId="53" fillId="0" borderId="165" xfId="8" applyNumberFormat="1" applyFont="1" applyFill="1" applyBorder="1" applyProtection="1"/>
    <xf numFmtId="177" fontId="53" fillId="0" borderId="164" xfId="8" applyFont="1" applyBorder="1"/>
    <xf numFmtId="177" fontId="34" fillId="0" borderId="66" xfId="8" applyBorder="1"/>
    <xf numFmtId="183" fontId="52" fillId="11" borderId="164" xfId="8" applyNumberFormat="1" applyFont="1" applyFill="1" applyBorder="1" applyProtection="1"/>
    <xf numFmtId="183" fontId="52" fillId="0" borderId="165" xfId="8" applyNumberFormat="1" applyFont="1" applyFill="1" applyBorder="1" applyProtection="1"/>
    <xf numFmtId="169" fontId="52" fillId="11" borderId="164" xfId="8" applyNumberFormat="1" applyFont="1" applyFill="1" applyBorder="1" applyAlignment="1" applyProtection="1">
      <alignment horizontal="right"/>
    </xf>
    <xf numFmtId="177" fontId="53" fillId="0" borderId="162" xfId="8" quotePrefix="1" applyFont="1" applyBorder="1" applyAlignment="1" applyProtection="1">
      <alignment horizontal="left"/>
    </xf>
    <xf numFmtId="177" fontId="52" fillId="3" borderId="0" xfId="8" applyFont="1" applyFill="1" applyBorder="1" applyAlignment="1" applyProtection="1">
      <alignment horizontal="left"/>
    </xf>
    <xf numFmtId="177" fontId="52" fillId="3" borderId="0" xfId="8" applyFont="1" applyFill="1" applyBorder="1" applyProtection="1"/>
    <xf numFmtId="183" fontId="52" fillId="3" borderId="0" xfId="8" applyNumberFormat="1" applyFont="1" applyFill="1" applyBorder="1" applyProtection="1"/>
    <xf numFmtId="183" fontId="52" fillId="0" borderId="0" xfId="8" applyNumberFormat="1" applyFont="1" applyFill="1" applyBorder="1" applyProtection="1"/>
    <xf numFmtId="169" fontId="52" fillId="3" borderId="0" xfId="8" applyNumberFormat="1" applyFont="1" applyFill="1" applyBorder="1" applyAlignment="1" applyProtection="1">
      <alignment horizontal="right"/>
    </xf>
    <xf numFmtId="177" fontId="34" fillId="3" borderId="0" xfId="8" applyFill="1" applyBorder="1"/>
    <xf numFmtId="177" fontId="54" fillId="0" borderId="40" xfId="8" applyFont="1" applyBorder="1" applyProtection="1"/>
    <xf numFmtId="173" fontId="54" fillId="0" borderId="42" xfId="8" applyNumberFormat="1" applyFont="1" applyBorder="1" applyAlignment="1" applyProtection="1">
      <alignment horizontal="right"/>
      <protection locked="0"/>
    </xf>
    <xf numFmtId="173" fontId="54" fillId="0" borderId="70" xfId="8" applyNumberFormat="1" applyFont="1" applyBorder="1" applyAlignment="1" applyProtection="1">
      <alignment horizontal="right"/>
      <protection locked="0"/>
    </xf>
    <xf numFmtId="183" fontId="52" fillId="0" borderId="166" xfId="8" applyNumberFormat="1" applyFont="1" applyFill="1" applyBorder="1" applyProtection="1"/>
    <xf numFmtId="177" fontId="52" fillId="3" borderId="70" xfId="8" applyFont="1" applyFill="1" applyBorder="1" applyProtection="1"/>
    <xf numFmtId="169" fontId="52" fillId="3" borderId="70" xfId="8" applyNumberFormat="1" applyFont="1" applyFill="1" applyBorder="1" applyAlignment="1" applyProtection="1">
      <alignment horizontal="right"/>
    </xf>
    <xf numFmtId="177" fontId="53" fillId="0" borderId="162" xfId="8" applyFont="1" applyBorder="1" applyAlignment="1" applyProtection="1">
      <alignment horizontal="left"/>
    </xf>
    <xf numFmtId="177" fontId="53" fillId="0" borderId="162" xfId="8" applyFont="1" applyFill="1" applyBorder="1" applyProtection="1"/>
    <xf numFmtId="177" fontId="52" fillId="0" borderId="162" xfId="8" applyFont="1" applyBorder="1" applyProtection="1"/>
    <xf numFmtId="177" fontId="52" fillId="0" borderId="163" xfId="8" applyFont="1" applyBorder="1" applyProtection="1"/>
    <xf numFmtId="183" fontId="52" fillId="0" borderId="164" xfId="8" applyNumberFormat="1" applyFont="1" applyBorder="1" applyProtection="1"/>
    <xf numFmtId="177" fontId="52" fillId="0" borderId="164" xfId="8" applyFont="1" applyBorder="1"/>
    <xf numFmtId="183" fontId="53" fillId="0" borderId="0" xfId="8" applyNumberFormat="1" applyFont="1" applyProtection="1"/>
    <xf numFmtId="177" fontId="53" fillId="0" borderId="0" xfId="8" applyFont="1"/>
    <xf numFmtId="177" fontId="53" fillId="0" borderId="0" xfId="8" applyFont="1" applyFill="1" applyBorder="1"/>
    <xf numFmtId="0" fontId="53" fillId="0" borderId="0" xfId="0" applyFont="1"/>
    <xf numFmtId="0" fontId="53" fillId="0" borderId="0" xfId="0" applyFont="1" applyFill="1" applyBorder="1"/>
    <xf numFmtId="184" fontId="52" fillId="11" borderId="162" xfId="8" applyNumberFormat="1" applyFont="1" applyFill="1" applyBorder="1" applyProtection="1"/>
    <xf numFmtId="184" fontId="53" fillId="11" borderId="163" xfId="8" applyNumberFormat="1" applyFont="1" applyFill="1" applyBorder="1" applyProtection="1"/>
    <xf numFmtId="177" fontId="52" fillId="11" borderId="162" xfId="8" applyFont="1" applyFill="1" applyBorder="1" applyProtection="1"/>
    <xf numFmtId="177" fontId="34" fillId="0" borderId="0" xfId="8" applyFill="1"/>
    <xf numFmtId="177" fontId="53" fillId="0" borderId="162" xfId="8" quotePrefix="1" applyFont="1" applyBorder="1" applyProtection="1"/>
    <xf numFmtId="183" fontId="52" fillId="11" borderId="164" xfId="8" applyNumberFormat="1" applyFont="1" applyFill="1" applyBorder="1" applyAlignment="1" applyProtection="1">
      <alignment horizontal="right"/>
    </xf>
    <xf numFmtId="183" fontId="53" fillId="0" borderId="164" xfId="8" applyNumberFormat="1" applyFont="1" applyFill="1" applyBorder="1" applyProtection="1"/>
    <xf numFmtId="177" fontId="37" fillId="0" borderId="167" xfId="8" applyFont="1" applyFill="1" applyBorder="1" applyAlignment="1" applyProtection="1">
      <alignment horizontal="left"/>
    </xf>
    <xf numFmtId="177" fontId="53" fillId="0" borderId="168" xfId="8" applyFont="1" applyBorder="1" applyProtection="1"/>
    <xf numFmtId="177" fontId="52" fillId="11" borderId="169" xfId="8" applyFont="1" applyFill="1" applyBorder="1" applyProtection="1"/>
    <xf numFmtId="177" fontId="52" fillId="0" borderId="163" xfId="8" applyFont="1" applyFill="1" applyBorder="1" applyProtection="1"/>
    <xf numFmtId="183" fontId="53" fillId="11" borderId="164" xfId="8" applyNumberFormat="1" applyFont="1" applyFill="1" applyBorder="1" applyProtection="1"/>
    <xf numFmtId="177" fontId="52" fillId="0" borderId="169" xfId="8" applyFont="1" applyFill="1" applyBorder="1" applyProtection="1"/>
    <xf numFmtId="183" fontId="52" fillId="0" borderId="169" xfId="8" applyNumberFormat="1" applyFont="1" applyFill="1" applyBorder="1" applyProtection="1"/>
    <xf numFmtId="169" fontId="52" fillId="0" borderId="169" xfId="8" applyNumberFormat="1" applyFont="1" applyFill="1" applyBorder="1" applyAlignment="1" applyProtection="1">
      <alignment horizontal="right"/>
    </xf>
    <xf numFmtId="177" fontId="34" fillId="0" borderId="0" xfId="8" applyFill="1" applyBorder="1"/>
    <xf numFmtId="9" fontId="52" fillId="11" borderId="164" xfId="10" applyFont="1" applyFill="1" applyBorder="1" applyProtection="1"/>
    <xf numFmtId="177" fontId="53" fillId="0" borderId="0" xfId="8" applyFont="1" applyBorder="1" applyProtection="1"/>
    <xf numFmtId="183" fontId="53" fillId="0" borderId="0" xfId="8" applyNumberFormat="1" applyFont="1" applyBorder="1" applyProtection="1"/>
    <xf numFmtId="183" fontId="53" fillId="0" borderId="0" xfId="8" applyNumberFormat="1" applyFont="1" applyFill="1" applyBorder="1" applyProtection="1"/>
    <xf numFmtId="177" fontId="53" fillId="0" borderId="0" xfId="8" applyFont="1" applyBorder="1"/>
    <xf numFmtId="169" fontId="53" fillId="0" borderId="0" xfId="8" applyNumberFormat="1" applyFont="1" applyBorder="1" applyProtection="1"/>
    <xf numFmtId="177" fontId="52" fillId="0" borderId="170" xfId="8" applyFont="1" applyBorder="1" applyAlignment="1" applyProtection="1">
      <alignment horizontal="left"/>
    </xf>
    <xf numFmtId="177" fontId="52" fillId="0" borderId="170" xfId="8" applyFont="1" applyBorder="1" applyProtection="1"/>
    <xf numFmtId="177" fontId="52" fillId="0" borderId="170" xfId="8" applyFont="1" applyBorder="1" applyAlignment="1">
      <alignment horizontal="left"/>
    </xf>
    <xf numFmtId="177" fontId="52" fillId="0" borderId="170" xfId="8" applyFont="1" applyBorder="1"/>
    <xf numFmtId="177" fontId="52" fillId="0" borderId="0" xfId="8" applyFont="1" applyFill="1" applyBorder="1" applyAlignment="1">
      <alignment horizontal="left"/>
    </xf>
    <xf numFmtId="177" fontId="52" fillId="0" borderId="0" xfId="8" applyFont="1" applyBorder="1" applyAlignment="1" applyProtection="1">
      <alignment horizontal="left"/>
    </xf>
    <xf numFmtId="177" fontId="52" fillId="0" borderId="0" xfId="8" applyFont="1" applyBorder="1" applyProtection="1"/>
    <xf numFmtId="177" fontId="52" fillId="0" borderId="0" xfId="8" applyFont="1" applyBorder="1" applyAlignment="1">
      <alignment horizontal="left"/>
    </xf>
    <xf numFmtId="177" fontId="52" fillId="0" borderId="0" xfId="8" applyFont="1" applyBorder="1"/>
    <xf numFmtId="177" fontId="52" fillId="11" borderId="162" xfId="8" quotePrefix="1" applyFont="1" applyFill="1" applyBorder="1" applyAlignment="1" applyProtection="1">
      <alignment horizontal="left"/>
    </xf>
    <xf numFmtId="177" fontId="52" fillId="11" borderId="171" xfId="8" applyFont="1" applyFill="1" applyBorder="1" applyProtection="1"/>
    <xf numFmtId="14" fontId="52" fillId="0" borderId="0" xfId="8" applyNumberFormat="1" applyFont="1" applyFill="1" applyBorder="1" applyProtection="1"/>
    <xf numFmtId="177" fontId="53" fillId="0" borderId="162" xfId="8" applyFont="1" applyFill="1" applyBorder="1" applyAlignment="1" applyProtection="1">
      <alignment horizontal="left"/>
    </xf>
    <xf numFmtId="177" fontId="53" fillId="0" borderId="45" xfId="8" applyFont="1" applyFill="1" applyBorder="1" applyAlignment="1" applyProtection="1">
      <alignment horizontal="right"/>
    </xf>
    <xf numFmtId="3" fontId="53" fillId="0" borderId="169" xfId="8" applyNumberFormat="1" applyFont="1" applyFill="1" applyBorder="1" applyAlignment="1" applyProtection="1">
      <alignment horizontal="right"/>
    </xf>
    <xf numFmtId="3" fontId="53" fillId="0" borderId="172" xfId="8" applyNumberFormat="1" applyFont="1" applyFill="1" applyBorder="1" applyAlignment="1" applyProtection="1">
      <alignment horizontal="right"/>
    </xf>
    <xf numFmtId="3" fontId="53" fillId="0" borderId="0" xfId="8" applyNumberFormat="1" applyFont="1" applyFill="1" applyBorder="1" applyAlignment="1" applyProtection="1">
      <alignment horizontal="right"/>
    </xf>
    <xf numFmtId="3" fontId="53" fillId="0" borderId="58" xfId="8" applyNumberFormat="1" applyFont="1" applyFill="1" applyBorder="1" applyAlignment="1" applyProtection="1">
      <alignment horizontal="right"/>
    </xf>
    <xf numFmtId="169" fontId="53" fillId="0" borderId="45" xfId="10" applyNumberFormat="1" applyFont="1" applyFill="1" applyBorder="1" applyAlignment="1" applyProtection="1">
      <alignment horizontal="right"/>
    </xf>
    <xf numFmtId="169" fontId="53" fillId="0" borderId="173" xfId="10" applyNumberFormat="1" applyFont="1" applyFill="1" applyBorder="1" applyAlignment="1" applyProtection="1">
      <alignment horizontal="right"/>
    </xf>
    <xf numFmtId="169" fontId="53" fillId="0" borderId="0" xfId="10" applyNumberFormat="1" applyFont="1" applyFill="1" applyBorder="1" applyAlignment="1" applyProtection="1">
      <alignment horizontal="right"/>
    </xf>
    <xf numFmtId="169" fontId="53" fillId="0" borderId="58" xfId="10" applyNumberFormat="1" applyFont="1" applyFill="1" applyBorder="1" applyAlignment="1" applyProtection="1">
      <alignment horizontal="right"/>
    </xf>
    <xf numFmtId="185" fontId="53" fillId="0" borderId="58" xfId="2" applyNumberFormat="1" applyFont="1" applyFill="1" applyBorder="1" applyAlignment="1" applyProtection="1">
      <alignment horizontal="right"/>
    </xf>
    <xf numFmtId="2" fontId="53" fillId="0" borderId="0" xfId="8" applyNumberFormat="1" applyFont="1" applyFill="1" applyBorder="1" applyAlignment="1" applyProtection="1">
      <alignment horizontal="right"/>
    </xf>
    <xf numFmtId="177" fontId="53" fillId="0" borderId="172" xfId="8" applyFont="1" applyFill="1" applyBorder="1" applyAlignment="1" applyProtection="1">
      <alignment horizontal="left"/>
    </xf>
    <xf numFmtId="177" fontId="53" fillId="0" borderId="66" xfId="8" applyFont="1" applyFill="1" applyBorder="1" applyAlignment="1" applyProtection="1">
      <alignment horizontal="right"/>
    </xf>
    <xf numFmtId="185" fontId="53" fillId="0" borderId="69" xfId="2" applyNumberFormat="1" applyFont="1" applyFill="1" applyBorder="1" applyAlignment="1" applyProtection="1">
      <alignment horizontal="right"/>
    </xf>
    <xf numFmtId="177" fontId="53" fillId="0" borderId="43" xfId="8" applyFont="1" applyBorder="1" applyProtection="1"/>
    <xf numFmtId="177" fontId="53" fillId="0" borderId="45" xfId="8" applyFont="1" applyBorder="1" applyProtection="1"/>
    <xf numFmtId="1" fontId="53" fillId="0" borderId="58" xfId="8" applyNumberFormat="1" applyFont="1" applyBorder="1" applyAlignment="1" applyProtection="1">
      <alignment horizontal="right"/>
    </xf>
    <xf numFmtId="1" fontId="53" fillId="0" borderId="0" xfId="8" applyNumberFormat="1" applyFont="1" applyFill="1" applyBorder="1" applyAlignment="1" applyProtection="1">
      <alignment horizontal="right"/>
    </xf>
    <xf numFmtId="177" fontId="55" fillId="0" borderId="0" xfId="8" applyFont="1" applyBorder="1" applyProtection="1"/>
    <xf numFmtId="2" fontId="55" fillId="0" borderId="0" xfId="8" applyNumberFormat="1" applyFont="1" applyBorder="1" applyProtection="1"/>
    <xf numFmtId="1" fontId="55" fillId="0" borderId="0" xfId="8" applyNumberFormat="1" applyFont="1" applyBorder="1" applyProtection="1"/>
    <xf numFmtId="1" fontId="55" fillId="0" borderId="0" xfId="8" applyNumberFormat="1" applyFont="1" applyFill="1" applyBorder="1" applyProtection="1"/>
    <xf numFmtId="177" fontId="53" fillId="0" borderId="0" xfId="8" applyFont="1" applyFill="1" applyBorder="1" applyProtection="1"/>
    <xf numFmtId="177" fontId="53" fillId="0" borderId="172" xfId="8" applyFont="1" applyBorder="1" applyAlignment="1" applyProtection="1">
      <alignment horizontal="left"/>
    </xf>
    <xf numFmtId="177" fontId="53" fillId="0" borderId="171" xfId="8" applyFont="1" applyBorder="1" applyProtection="1"/>
    <xf numFmtId="169" fontId="53" fillId="0" borderId="174" xfId="8" applyNumberFormat="1" applyFont="1" applyBorder="1" applyAlignment="1" applyProtection="1">
      <alignment horizontal="right"/>
    </xf>
    <xf numFmtId="169" fontId="53" fillId="0" borderId="0" xfId="8" applyNumberFormat="1" applyFont="1" applyFill="1" applyBorder="1" applyAlignment="1" applyProtection="1">
      <alignment horizontal="right"/>
    </xf>
    <xf numFmtId="177" fontId="53" fillId="0" borderId="43" xfId="8" applyFont="1" applyBorder="1" applyAlignment="1" applyProtection="1">
      <alignment horizontal="left"/>
    </xf>
    <xf numFmtId="169" fontId="53" fillId="0" borderId="58" xfId="8" applyNumberFormat="1" applyFont="1" applyBorder="1" applyAlignment="1" applyProtection="1">
      <alignment horizontal="right"/>
    </xf>
    <xf numFmtId="177" fontId="53" fillId="0" borderId="43" xfId="8" applyFont="1" applyFill="1" applyBorder="1" applyAlignment="1" applyProtection="1">
      <alignment horizontal="left"/>
    </xf>
    <xf numFmtId="2" fontId="53" fillId="0" borderId="58" xfId="10" applyNumberFormat="1" applyFont="1" applyBorder="1" applyAlignment="1" applyProtection="1">
      <alignment horizontal="right"/>
    </xf>
    <xf numFmtId="2" fontId="53" fillId="0" borderId="0" xfId="10" applyNumberFormat="1" applyFont="1" applyFill="1" applyBorder="1" applyAlignment="1" applyProtection="1">
      <alignment horizontal="right"/>
    </xf>
    <xf numFmtId="177" fontId="53" fillId="0" borderId="43" xfId="8" applyFont="1" applyFill="1" applyBorder="1" applyAlignment="1" applyProtection="1">
      <alignment horizontal="right"/>
    </xf>
    <xf numFmtId="177" fontId="53" fillId="0" borderId="0" xfId="8" applyFont="1" applyFill="1" applyBorder="1" applyAlignment="1" applyProtection="1">
      <alignment horizontal="right"/>
    </xf>
    <xf numFmtId="177" fontId="55" fillId="0" borderId="0" xfId="8" applyFont="1" applyBorder="1" applyAlignment="1" applyProtection="1">
      <alignment horizontal="left"/>
    </xf>
    <xf numFmtId="0" fontId="52" fillId="11" borderId="164" xfId="8" applyNumberFormat="1" applyFont="1" applyFill="1" applyBorder="1" applyProtection="1"/>
    <xf numFmtId="177" fontId="34" fillId="0" borderId="0" xfId="8" applyAlignment="1">
      <alignment horizontal="center"/>
    </xf>
    <xf numFmtId="177" fontId="40" fillId="11" borderId="163" xfId="8" applyFont="1" applyFill="1" applyBorder="1" applyProtection="1"/>
    <xf numFmtId="14" fontId="40" fillId="11" borderId="163" xfId="8" applyNumberFormat="1" applyFont="1" applyFill="1" applyBorder="1" applyProtection="1"/>
    <xf numFmtId="177" fontId="56" fillId="0" borderId="58" xfId="8" applyFont="1" applyBorder="1" applyAlignment="1">
      <alignment wrapText="1"/>
    </xf>
    <xf numFmtId="177" fontId="57" fillId="0" borderId="58" xfId="8" applyFont="1" applyBorder="1"/>
    <xf numFmtId="3" fontId="57" fillId="0" borderId="58" xfId="8" applyNumberFormat="1" applyFont="1" applyFill="1" applyBorder="1"/>
    <xf numFmtId="177" fontId="57" fillId="0" borderId="58" xfId="8" applyFont="1" applyFill="1" applyBorder="1"/>
    <xf numFmtId="49" fontId="56" fillId="0" borderId="58" xfId="8" applyNumberFormat="1" applyFont="1" applyBorder="1" applyAlignment="1">
      <alignment wrapText="1"/>
    </xf>
    <xf numFmtId="177" fontId="40" fillId="11" borderId="162" xfId="8" applyFont="1" applyFill="1" applyBorder="1" applyAlignment="1" applyProtection="1">
      <alignment horizontal="left" wrapText="1"/>
    </xf>
    <xf numFmtId="177" fontId="40" fillId="11" borderId="162" xfId="8" applyFont="1" applyFill="1" applyBorder="1" applyAlignment="1" applyProtection="1">
      <alignment horizontal="left"/>
    </xf>
    <xf numFmtId="177" fontId="40" fillId="11" borderId="162" xfId="8" applyFont="1" applyFill="1" applyBorder="1" applyAlignment="1" applyProtection="1">
      <alignment horizontal="right"/>
    </xf>
    <xf numFmtId="177" fontId="40" fillId="11" borderId="162" xfId="8" quotePrefix="1" applyFont="1" applyFill="1" applyBorder="1" applyAlignment="1" applyProtection="1">
      <alignment horizontal="left" wrapText="1"/>
    </xf>
    <xf numFmtId="3" fontId="57" fillId="0" borderId="58" xfId="8" applyNumberFormat="1" applyFont="1" applyBorder="1"/>
    <xf numFmtId="177" fontId="57" fillId="0" borderId="58" xfId="8" applyFont="1" applyBorder="1" applyAlignment="1">
      <alignment horizontal="right"/>
    </xf>
    <xf numFmtId="177" fontId="40" fillId="11" borderId="162" xfId="8" applyFont="1" applyFill="1" applyBorder="1" applyAlignment="1" applyProtection="1">
      <alignment horizontal="right" vertical="center"/>
    </xf>
    <xf numFmtId="177" fontId="39" fillId="11" borderId="162" xfId="8" applyFont="1" applyFill="1" applyBorder="1" applyAlignment="1" applyProtection="1">
      <alignment horizontal="left" wrapText="1"/>
    </xf>
    <xf numFmtId="177" fontId="40" fillId="11" borderId="162" xfId="8" applyFont="1" applyFill="1" applyBorder="1" applyAlignment="1" applyProtection="1">
      <alignment horizontal="left" vertical="center"/>
    </xf>
    <xf numFmtId="177" fontId="40" fillId="11" borderId="175" xfId="8" applyFont="1" applyFill="1" applyBorder="1" applyAlignment="1" applyProtection="1">
      <alignment horizontal="left" wrapText="1"/>
    </xf>
    <xf numFmtId="177" fontId="40" fillId="11" borderId="58" xfId="8" applyFont="1" applyFill="1" applyBorder="1" applyAlignment="1" applyProtection="1">
      <alignment horizontal="left" wrapText="1"/>
    </xf>
    <xf numFmtId="49" fontId="56" fillId="0" borderId="0" xfId="8" applyNumberFormat="1" applyFont="1" applyBorder="1" applyAlignment="1">
      <alignment wrapText="1"/>
    </xf>
    <xf numFmtId="177" fontId="57" fillId="0" borderId="0" xfId="8" applyFont="1" applyBorder="1"/>
    <xf numFmtId="3" fontId="57" fillId="0" borderId="0" xfId="8" applyNumberFormat="1" applyFont="1" applyBorder="1"/>
    <xf numFmtId="49" fontId="34" fillId="0" borderId="0" xfId="8" applyNumberFormat="1" applyAlignment="1">
      <alignment wrapText="1"/>
    </xf>
    <xf numFmtId="177" fontId="34" fillId="0" borderId="0" xfId="8" applyBorder="1"/>
    <xf numFmtId="49" fontId="34" fillId="0" borderId="0" xfId="8" applyNumberFormat="1" applyAlignment="1">
      <alignment horizontal="right" wrapText="1"/>
    </xf>
    <xf numFmtId="177" fontId="34" fillId="0" borderId="0" xfId="8" applyAlignment="1">
      <alignment wrapText="1"/>
    </xf>
    <xf numFmtId="177" fontId="40" fillId="11" borderId="58" xfId="8" applyFont="1" applyFill="1" applyBorder="1" applyAlignment="1" applyProtection="1">
      <alignment horizontal="right" wrapText="1"/>
    </xf>
    <xf numFmtId="177" fontId="40" fillId="11" borderId="162" xfId="8" applyFont="1" applyFill="1" applyBorder="1" applyAlignment="1" applyProtection="1">
      <alignment horizontal="right" wrapText="1"/>
    </xf>
    <xf numFmtId="177" fontId="34" fillId="0" borderId="0" xfId="8" applyAlignment="1">
      <alignment horizontal="right"/>
    </xf>
    <xf numFmtId="14" fontId="52" fillId="11" borderId="162" xfId="8" applyNumberFormat="1" applyFont="1" applyFill="1" applyBorder="1" applyAlignment="1" applyProtection="1">
      <alignment horizontal="center"/>
    </xf>
    <xf numFmtId="14" fontId="52" fillId="11" borderId="163" xfId="8" applyNumberFormat="1" applyFont="1" applyFill="1" applyBorder="1" applyAlignment="1" applyProtection="1">
      <alignment horizontal="center"/>
    </xf>
    <xf numFmtId="183" fontId="53" fillId="0" borderId="176" xfId="8" applyNumberFormat="1" applyFont="1" applyBorder="1" applyProtection="1"/>
    <xf numFmtId="14" fontId="52" fillId="11" borderId="58" xfId="8" applyNumberFormat="1" applyFont="1" applyFill="1" applyBorder="1" applyAlignment="1" applyProtection="1">
      <alignment horizontal="center"/>
    </xf>
    <xf numFmtId="14" fontId="52" fillId="11" borderId="169" xfId="8" applyNumberFormat="1" applyFont="1" applyFill="1" applyBorder="1" applyAlignment="1" applyProtection="1">
      <alignment horizontal="center"/>
    </xf>
    <xf numFmtId="177" fontId="52" fillId="11" borderId="58" xfId="8" applyFont="1" applyFill="1" applyBorder="1" applyProtection="1"/>
    <xf numFmtId="183" fontId="53" fillId="0" borderId="162" xfId="8" applyNumberFormat="1" applyFont="1" applyBorder="1" applyProtection="1"/>
    <xf numFmtId="183" fontId="53" fillId="0" borderId="58" xfId="8" applyNumberFormat="1" applyFont="1" applyBorder="1" applyProtection="1"/>
    <xf numFmtId="177" fontId="52" fillId="11" borderId="164" xfId="8" applyNumberFormat="1" applyFont="1" applyFill="1" applyBorder="1" applyAlignment="1" applyProtection="1">
      <alignment horizontal="center"/>
    </xf>
    <xf numFmtId="183" fontId="52" fillId="0" borderId="58" xfId="8" applyNumberFormat="1" applyFont="1" applyBorder="1" applyProtection="1"/>
    <xf numFmtId="177" fontId="52" fillId="11" borderId="58" xfId="8" applyNumberFormat="1" applyFont="1" applyFill="1" applyBorder="1" applyAlignment="1" applyProtection="1">
      <alignment horizontal="center"/>
    </xf>
    <xf numFmtId="14" fontId="52" fillId="11" borderId="58" xfId="8" applyNumberFormat="1" applyFont="1" applyFill="1" applyBorder="1" applyProtection="1"/>
    <xf numFmtId="2" fontId="53" fillId="0" borderId="58" xfId="8" applyNumberFormat="1" applyFont="1" applyBorder="1" applyAlignment="1" applyProtection="1">
      <alignment horizontal="right"/>
    </xf>
    <xf numFmtId="169" fontId="53" fillId="0" borderId="172" xfId="8" applyNumberFormat="1" applyFont="1" applyBorder="1" applyAlignment="1" applyProtection="1">
      <alignment horizontal="right"/>
    </xf>
    <xf numFmtId="169" fontId="53" fillId="0" borderId="43" xfId="8" applyNumberFormat="1" applyFont="1" applyBorder="1" applyAlignment="1" applyProtection="1">
      <alignment horizontal="right"/>
    </xf>
    <xf numFmtId="2" fontId="53" fillId="0" borderId="43" xfId="10" applyNumberFormat="1" applyFont="1" applyBorder="1" applyAlignment="1" applyProtection="1">
      <alignment horizontal="right"/>
    </xf>
    <xf numFmtId="2" fontId="53" fillId="0" borderId="58" xfId="8" applyNumberFormat="1" applyFont="1" applyFill="1" applyBorder="1" applyAlignment="1" applyProtection="1">
      <alignment horizontal="right"/>
    </xf>
    <xf numFmtId="177" fontId="40" fillId="11" borderId="58" xfId="8" applyFont="1" applyFill="1" applyBorder="1" applyAlignment="1" applyProtection="1">
      <alignment horizontal="right"/>
    </xf>
    <xf numFmtId="177" fontId="57" fillId="0" borderId="43" xfId="8" applyFont="1" applyBorder="1"/>
    <xf numFmtId="177" fontId="40" fillId="11" borderId="43" xfId="8" applyFont="1" applyFill="1" applyBorder="1" applyAlignment="1" applyProtection="1">
      <alignment horizontal="left" wrapText="1"/>
    </xf>
    <xf numFmtId="14" fontId="40" fillId="11" borderId="58" xfId="8" applyNumberFormat="1" applyFont="1" applyFill="1" applyBorder="1" applyProtection="1"/>
    <xf numFmtId="177" fontId="40" fillId="11" borderId="58" xfId="8" applyFont="1" applyFill="1" applyBorder="1" applyAlignment="1" applyProtection="1">
      <alignment horizontal="right" vertical="center"/>
    </xf>
    <xf numFmtId="177" fontId="40" fillId="11" borderId="58" xfId="8" applyFont="1" applyFill="1" applyBorder="1" applyAlignment="1" applyProtection="1">
      <alignment horizontal="left"/>
    </xf>
    <xf numFmtId="177" fontId="40" fillId="11" borderId="58" xfId="8" applyFont="1" applyFill="1" applyBorder="1" applyAlignment="1" applyProtection="1">
      <alignment horizontal="left" vertical="center"/>
    </xf>
    <xf numFmtId="0" fontId="9" fillId="0" borderId="38" xfId="0" applyFont="1" applyBorder="1" applyAlignment="1" applyProtection="1">
      <alignment horizontal="left" vertical="center"/>
      <protection locked="0"/>
    </xf>
    <xf numFmtId="0" fontId="8" fillId="0" borderId="0" xfId="0" quotePrefix="1" applyFont="1" applyAlignment="1" applyProtection="1">
      <alignment vertical="center"/>
      <protection locked="0"/>
    </xf>
    <xf numFmtId="9" fontId="8" fillId="0" borderId="0" xfId="10" applyFont="1" applyAlignment="1" applyProtection="1">
      <alignment vertical="center"/>
      <protection locked="0"/>
    </xf>
    <xf numFmtId="171" fontId="8" fillId="0" borderId="0" xfId="0" applyNumberFormat="1" applyFont="1" applyAlignment="1" applyProtection="1">
      <alignment vertical="center"/>
      <protection locked="0"/>
    </xf>
    <xf numFmtId="0" fontId="5" fillId="12" borderId="0" xfId="0" applyFont="1" applyFill="1"/>
    <xf numFmtId="0" fontId="5" fillId="12" borderId="0" xfId="0" applyFont="1" applyFill="1" applyAlignment="1">
      <alignment horizontal="center"/>
    </xf>
    <xf numFmtId="0" fontId="58" fillId="12" borderId="0" xfId="0" applyFont="1" applyFill="1"/>
    <xf numFmtId="0" fontId="58" fillId="12" borderId="0" xfId="0" applyFont="1" applyFill="1" applyAlignment="1">
      <alignment horizontal="center" vertical="center" wrapText="1"/>
    </xf>
    <xf numFmtId="186" fontId="5" fillId="12" borderId="0" xfId="1" applyNumberFormat="1" applyFont="1" applyFill="1"/>
    <xf numFmtId="9" fontId="5" fillId="12" borderId="0" xfId="10" applyFont="1" applyFill="1"/>
    <xf numFmtId="186" fontId="5" fillId="12" borderId="0" xfId="0" applyNumberFormat="1" applyFont="1" applyFill="1"/>
    <xf numFmtId="0" fontId="58" fillId="12" borderId="42" xfId="0" applyFont="1" applyFill="1" applyBorder="1" applyAlignment="1">
      <alignment horizontal="center"/>
    </xf>
    <xf numFmtId="0" fontId="5" fillId="12" borderId="104" xfId="0" applyFont="1" applyFill="1" applyBorder="1" applyAlignment="1">
      <alignment horizontal="center" vertical="center"/>
    </xf>
    <xf numFmtId="0" fontId="5" fillId="12" borderId="56" xfId="0" applyFont="1" applyFill="1" applyBorder="1" applyAlignment="1">
      <alignment horizontal="center" vertical="center"/>
    </xf>
    <xf numFmtId="186" fontId="5" fillId="12" borderId="55" xfId="1" applyNumberFormat="1" applyFont="1" applyFill="1" applyBorder="1" applyAlignment="1">
      <alignment horizontal="center" vertical="center"/>
    </xf>
    <xf numFmtId="0" fontId="58" fillId="13" borderId="40" xfId="0" applyFont="1" applyFill="1" applyBorder="1" applyAlignment="1">
      <alignment horizontal="center"/>
    </xf>
    <xf numFmtId="0" fontId="58" fillId="13" borderId="70" xfId="0" applyFont="1" applyFill="1" applyBorder="1" applyAlignment="1">
      <alignment horizontal="center"/>
    </xf>
    <xf numFmtId="0" fontId="58" fillId="13" borderId="41" xfId="0" applyFont="1" applyFill="1" applyBorder="1" applyAlignment="1">
      <alignment horizontal="center"/>
    </xf>
    <xf numFmtId="0" fontId="58" fillId="13" borderId="42" xfId="0" applyFont="1" applyFill="1" applyBorder="1" applyAlignment="1">
      <alignment horizontal="center"/>
    </xf>
    <xf numFmtId="0" fontId="58" fillId="13" borderId="70" xfId="0" applyFont="1" applyFill="1" applyBorder="1"/>
    <xf numFmtId="0" fontId="58" fillId="12" borderId="40" xfId="0" applyFont="1" applyFill="1" applyBorder="1" applyAlignment="1">
      <alignment horizontal="center" vertical="center" wrapText="1"/>
    </xf>
    <xf numFmtId="0" fontId="5" fillId="12" borderId="52" xfId="0" applyFont="1" applyFill="1" applyBorder="1" applyAlignment="1">
      <alignment horizontal="center"/>
    </xf>
    <xf numFmtId="0" fontId="5" fillId="12" borderId="155" xfId="0" applyFont="1" applyFill="1" applyBorder="1" applyAlignment="1">
      <alignment horizontal="center"/>
    </xf>
    <xf numFmtId="0" fontId="5" fillId="12" borderId="177" xfId="0" applyFont="1" applyFill="1" applyBorder="1" applyAlignment="1">
      <alignment horizontal="center"/>
    </xf>
    <xf numFmtId="0" fontId="58" fillId="12" borderId="70" xfId="0" applyFont="1" applyFill="1" applyBorder="1" applyAlignment="1">
      <alignment horizontal="center" vertical="center" wrapText="1"/>
    </xf>
    <xf numFmtId="186" fontId="5" fillId="12" borderId="178" xfId="1" applyNumberFormat="1" applyFont="1" applyFill="1" applyBorder="1"/>
    <xf numFmtId="186" fontId="5" fillId="12" borderId="179" xfId="1" applyNumberFormat="1" applyFont="1" applyFill="1" applyBorder="1"/>
    <xf numFmtId="186" fontId="5" fillId="12" borderId="180" xfId="1" applyNumberFormat="1" applyFont="1" applyFill="1" applyBorder="1"/>
    <xf numFmtId="0" fontId="58" fillId="12" borderId="41" xfId="0" applyFont="1" applyFill="1" applyBorder="1" applyAlignment="1">
      <alignment horizontal="center" vertical="center" wrapText="1"/>
    </xf>
    <xf numFmtId="10" fontId="5" fillId="12" borderId="53" xfId="10" applyNumberFormat="1" applyFont="1" applyFill="1" applyBorder="1" applyAlignment="1">
      <alignment horizontal="center"/>
    </xf>
    <xf numFmtId="10" fontId="5" fillId="12" borderId="44" xfId="10" applyNumberFormat="1" applyFont="1" applyFill="1" applyBorder="1" applyAlignment="1">
      <alignment horizontal="center"/>
    </xf>
    <xf numFmtId="10" fontId="5" fillId="12" borderId="181" xfId="10" applyNumberFormat="1" applyFont="1" applyFill="1" applyBorder="1" applyAlignment="1">
      <alignment horizontal="center"/>
    </xf>
    <xf numFmtId="10" fontId="5" fillId="12" borderId="179" xfId="0" applyNumberFormat="1" applyFont="1" applyFill="1" applyBorder="1"/>
    <xf numFmtId="10" fontId="5" fillId="12" borderId="180" xfId="0" applyNumberFormat="1" applyFont="1" applyFill="1" applyBorder="1"/>
    <xf numFmtId="186" fontId="5" fillId="12" borderId="44" xfId="1" applyNumberFormat="1" applyFont="1" applyFill="1" applyBorder="1"/>
    <xf numFmtId="186" fontId="5" fillId="12" borderId="181" xfId="1" applyNumberFormat="1" applyFont="1" applyFill="1" applyBorder="1"/>
    <xf numFmtId="0" fontId="58" fillId="12" borderId="42" xfId="0" applyFont="1" applyFill="1" applyBorder="1" applyAlignment="1">
      <alignment horizontal="center" vertical="center" wrapText="1"/>
    </xf>
    <xf numFmtId="186" fontId="5" fillId="12" borderId="156" xfId="1" applyNumberFormat="1" applyFont="1" applyFill="1" applyBorder="1"/>
    <xf numFmtId="186" fontId="5" fillId="12" borderId="182" xfId="1" applyNumberFormat="1" applyFont="1" applyFill="1" applyBorder="1"/>
    <xf numFmtId="2" fontId="5" fillId="12" borderId="155" xfId="0" applyNumberFormat="1" applyFont="1" applyFill="1" applyBorder="1" applyAlignment="1">
      <alignment horizontal="center"/>
    </xf>
    <xf numFmtId="2" fontId="5" fillId="12" borderId="177" xfId="0" applyNumberFormat="1" applyFont="1" applyFill="1" applyBorder="1" applyAlignment="1">
      <alignment horizontal="center"/>
    </xf>
    <xf numFmtId="10" fontId="5" fillId="12" borderId="70" xfId="0" applyNumberFormat="1" applyFont="1" applyFill="1" applyBorder="1" applyAlignment="1">
      <alignment horizontal="center" vertical="center"/>
    </xf>
    <xf numFmtId="0" fontId="58" fillId="12" borderId="70" xfId="0" applyFont="1" applyFill="1" applyBorder="1" applyAlignment="1">
      <alignment horizontal="center" vertical="center"/>
    </xf>
    <xf numFmtId="186" fontId="58" fillId="12" borderId="70" xfId="0" applyNumberFormat="1" applyFont="1" applyFill="1" applyBorder="1" applyAlignment="1">
      <alignment horizontal="center" vertical="center"/>
    </xf>
    <xf numFmtId="186" fontId="5" fillId="12" borderId="70" xfId="0" applyNumberFormat="1" applyFont="1" applyFill="1" applyBorder="1" applyAlignment="1">
      <alignment vertical="center"/>
    </xf>
    <xf numFmtId="10" fontId="5" fillId="12" borderId="57" xfId="10" applyNumberFormat="1" applyFont="1" applyFill="1" applyBorder="1" applyAlignment="1">
      <alignment horizontal="center" vertical="center"/>
    </xf>
    <xf numFmtId="168" fontId="63" fillId="14" borderId="40" xfId="0" applyNumberFormat="1" applyFont="1" applyFill="1" applyBorder="1" applyAlignment="1">
      <alignment horizontal="center" vertical="center"/>
    </xf>
    <xf numFmtId="0" fontId="5" fillId="12" borderId="158" xfId="0" applyFont="1" applyFill="1" applyBorder="1" applyAlignment="1">
      <alignment horizontal="center"/>
    </xf>
    <xf numFmtId="10" fontId="5" fillId="12" borderId="67" xfId="10" applyNumberFormat="1" applyFont="1" applyFill="1" applyBorder="1" applyAlignment="1">
      <alignment horizontal="center"/>
    </xf>
    <xf numFmtId="10" fontId="5" fillId="12" borderId="183" xfId="0" applyNumberFormat="1" applyFont="1" applyFill="1" applyBorder="1"/>
    <xf numFmtId="186" fontId="5" fillId="12" borderId="106" xfId="1" applyNumberFormat="1" applyFont="1" applyFill="1" applyBorder="1"/>
    <xf numFmtId="186" fontId="5" fillId="12" borderId="183" xfId="1" applyNumberFormat="1" applyFont="1" applyFill="1" applyBorder="1"/>
    <xf numFmtId="186" fontId="5" fillId="12" borderId="107" xfId="1" applyNumberFormat="1" applyFont="1" applyFill="1" applyBorder="1"/>
    <xf numFmtId="2" fontId="5" fillId="12" borderId="105" xfId="0" applyNumberFormat="1" applyFont="1" applyFill="1" applyBorder="1" applyAlignment="1">
      <alignment horizontal="center"/>
    </xf>
    <xf numFmtId="0" fontId="58" fillId="13" borderId="41" xfId="0" applyFont="1" applyFill="1" applyBorder="1" applyAlignment="1">
      <alignment horizontal="center" vertical="center" wrapText="1"/>
    </xf>
    <xf numFmtId="0" fontId="5" fillId="15" borderId="104" xfId="0" applyFont="1" applyFill="1" applyBorder="1" applyAlignment="1">
      <alignment horizontal="center" vertical="center"/>
    </xf>
    <xf numFmtId="0" fontId="23" fillId="12" borderId="0" xfId="0" applyFont="1" applyFill="1" applyAlignment="1" applyProtection="1">
      <alignment horizontal="left"/>
    </xf>
    <xf numFmtId="172" fontId="5" fillId="0" borderId="0" xfId="0" applyNumberFormat="1" applyFont="1" applyBorder="1" applyAlignment="1" applyProtection="1">
      <alignment vertical="center"/>
      <protection locked="0"/>
    </xf>
    <xf numFmtId="172" fontId="5" fillId="0" borderId="66" xfId="0" applyNumberFormat="1" applyFont="1" applyBorder="1" applyAlignment="1" applyProtection="1">
      <alignment vertical="center"/>
      <protection locked="0"/>
    </xf>
    <xf numFmtId="0" fontId="5" fillId="10" borderId="87" xfId="0" applyFont="1" applyFill="1" applyBorder="1" applyAlignment="1" applyProtection="1">
      <alignment vertical="center"/>
      <protection locked="0"/>
    </xf>
    <xf numFmtId="10" fontId="5" fillId="10" borderId="88" xfId="10" applyNumberFormat="1" applyFont="1" applyFill="1" applyBorder="1" applyAlignment="1" applyProtection="1">
      <alignment vertical="center"/>
      <protection locked="0"/>
    </xf>
    <xf numFmtId="0" fontId="8" fillId="5" borderId="106" xfId="0" applyFont="1" applyFill="1" applyBorder="1" applyAlignment="1" applyProtection="1">
      <alignment vertical="center"/>
    </xf>
    <xf numFmtId="0" fontId="8" fillId="5" borderId="107" xfId="0" applyFont="1" applyFill="1" applyBorder="1" applyAlignment="1" applyProtection="1">
      <alignment vertical="center"/>
    </xf>
    <xf numFmtId="0" fontId="7" fillId="0" borderId="0" xfId="0" applyFont="1" applyAlignment="1" applyProtection="1">
      <alignment vertical="center"/>
      <protection locked="0"/>
    </xf>
    <xf numFmtId="0" fontId="9" fillId="0" borderId="0" xfId="0" applyFont="1" applyAlignment="1" applyProtection="1">
      <alignment vertical="center"/>
      <protection locked="0"/>
    </xf>
    <xf numFmtId="0" fontId="5" fillId="0" borderId="0" xfId="0" applyFont="1" applyBorder="1" applyProtection="1">
      <protection locked="0"/>
    </xf>
    <xf numFmtId="0" fontId="5" fillId="0" borderId="158" xfId="0" applyFont="1" applyBorder="1" applyAlignment="1" applyProtection="1">
      <alignment vertical="center"/>
      <protection locked="0"/>
    </xf>
    <xf numFmtId="0" fontId="5" fillId="0" borderId="67" xfId="0" applyFont="1" applyBorder="1" applyAlignment="1" applyProtection="1">
      <alignment vertical="center"/>
      <protection locked="0"/>
    </xf>
    <xf numFmtId="0" fontId="51" fillId="0" borderId="0" xfId="0" applyFont="1" applyAlignment="1" applyProtection="1">
      <alignment vertical="center"/>
      <protection locked="0"/>
    </xf>
    <xf numFmtId="0" fontId="9" fillId="0" borderId="38" xfId="0" applyFont="1" applyBorder="1" applyAlignment="1" applyProtection="1">
      <alignment vertical="center"/>
      <protection locked="0"/>
    </xf>
    <xf numFmtId="0" fontId="5" fillId="0" borderId="177" xfId="0" applyFont="1" applyBorder="1" applyAlignment="1" applyProtection="1">
      <alignment vertical="center"/>
      <protection locked="0"/>
    </xf>
    <xf numFmtId="0" fontId="5" fillId="0" borderId="52" xfId="0" applyFont="1" applyBorder="1" applyAlignment="1" applyProtection="1">
      <alignment vertical="center"/>
      <protection locked="0"/>
    </xf>
    <xf numFmtId="0" fontId="9" fillId="0" borderId="40" xfId="0" applyFont="1" applyBorder="1" applyAlignment="1" applyProtection="1">
      <alignment horizontal="center" vertical="center"/>
      <protection locked="0"/>
    </xf>
    <xf numFmtId="0" fontId="9" fillId="13" borderId="40" xfId="0" applyFont="1" applyFill="1" applyBorder="1" applyAlignment="1" applyProtection="1">
      <alignment horizontal="center" vertical="center"/>
      <protection locked="0"/>
    </xf>
    <xf numFmtId="0" fontId="9" fillId="13" borderId="70" xfId="0" applyFont="1" applyFill="1" applyBorder="1" applyAlignment="1" applyProtection="1">
      <alignment horizontal="center" vertical="center"/>
      <protection locked="0"/>
    </xf>
    <xf numFmtId="0" fontId="9" fillId="13" borderId="42" xfId="0" applyFont="1" applyFill="1" applyBorder="1" applyAlignment="1" applyProtection="1">
      <alignment horizontal="center" vertical="center"/>
      <protection locked="0"/>
    </xf>
    <xf numFmtId="186" fontId="5" fillId="0" borderId="54" xfId="1" applyNumberFormat="1" applyFont="1" applyBorder="1" applyAlignment="1" applyProtection="1">
      <alignment vertical="center"/>
      <protection locked="0"/>
    </xf>
    <xf numFmtId="10" fontId="5" fillId="0" borderId="178" xfId="10" applyNumberFormat="1" applyFont="1" applyBorder="1" applyAlignment="1" applyProtection="1">
      <alignment horizontal="center" vertical="center"/>
      <protection locked="0"/>
    </xf>
    <xf numFmtId="10" fontId="5" fillId="0" borderId="184" xfId="10" applyNumberFormat="1" applyFont="1" applyBorder="1" applyAlignment="1" applyProtection="1">
      <alignment horizontal="center" vertical="center"/>
      <protection locked="0"/>
    </xf>
    <xf numFmtId="186" fontId="5" fillId="0" borderId="157" xfId="1" applyNumberFormat="1" applyFont="1" applyBorder="1" applyAlignment="1" applyProtection="1">
      <alignment vertical="center"/>
      <protection locked="0"/>
    </xf>
    <xf numFmtId="10" fontId="5" fillId="0" borderId="70" xfId="10" applyNumberFormat="1" applyFont="1" applyBorder="1" applyAlignment="1" applyProtection="1">
      <alignment horizontal="center" vertical="center"/>
      <protection locked="0"/>
    </xf>
    <xf numFmtId="186" fontId="5" fillId="0" borderId="42" xfId="1" applyNumberFormat="1" applyFont="1" applyBorder="1" applyAlignment="1" applyProtection="1">
      <alignment vertical="center"/>
      <protection locked="0"/>
    </xf>
    <xf numFmtId="0" fontId="5" fillId="0" borderId="178" xfId="0" applyFont="1" applyBorder="1" applyAlignment="1" applyProtection="1">
      <alignment horizontal="center" vertical="center"/>
      <protection locked="0"/>
    </xf>
    <xf numFmtId="0" fontId="5" fillId="0" borderId="180" xfId="0" applyFont="1" applyBorder="1" applyAlignment="1" applyProtection="1">
      <alignment horizontal="center" vertical="center"/>
      <protection locked="0"/>
    </xf>
    <xf numFmtId="0" fontId="9" fillId="0" borderId="67" xfId="0" applyFont="1" applyBorder="1" applyAlignment="1" applyProtection="1">
      <alignment vertical="center"/>
      <protection locked="0"/>
    </xf>
    <xf numFmtId="0" fontId="9" fillId="0" borderId="68" xfId="0" applyFont="1" applyBorder="1" applyAlignment="1" applyProtection="1">
      <alignment vertical="center"/>
      <protection locked="0"/>
    </xf>
    <xf numFmtId="167" fontId="5" fillId="3" borderId="66" xfId="2" applyFont="1" applyFill="1" applyBorder="1" applyAlignment="1" applyProtection="1">
      <alignment vertical="center"/>
      <protection locked="0"/>
    </xf>
    <xf numFmtId="167" fontId="10" fillId="3" borderId="66" xfId="2" applyFont="1" applyFill="1" applyBorder="1" applyAlignment="1" applyProtection="1">
      <alignment vertical="center"/>
    </xf>
    <xf numFmtId="0" fontId="5" fillId="0" borderId="66" xfId="0" applyFont="1" applyBorder="1" applyAlignment="1" applyProtection="1">
      <alignment vertical="center"/>
      <protection locked="0"/>
    </xf>
    <xf numFmtId="0" fontId="5" fillId="0" borderId="185" xfId="0" applyFont="1" applyBorder="1" applyAlignment="1" applyProtection="1">
      <alignment vertical="center"/>
      <protection locked="0"/>
    </xf>
    <xf numFmtId="1" fontId="5" fillId="3" borderId="155" xfId="2" applyNumberFormat="1" applyFont="1" applyFill="1" applyBorder="1" applyAlignment="1" applyProtection="1">
      <alignment horizontal="center" vertical="center"/>
      <protection locked="0"/>
    </xf>
    <xf numFmtId="1" fontId="5" fillId="3" borderId="177" xfId="2" applyNumberFormat="1" applyFont="1" applyFill="1" applyBorder="1" applyAlignment="1" applyProtection="1">
      <alignment horizontal="center" vertical="center"/>
      <protection locked="0"/>
    </xf>
    <xf numFmtId="9" fontId="5" fillId="3" borderId="179" xfId="10" applyFont="1" applyFill="1" applyBorder="1" applyAlignment="1" applyProtection="1">
      <alignment horizontal="center" vertical="center"/>
    </xf>
    <xf numFmtId="9" fontId="5" fillId="3" borderId="180" xfId="10" applyFont="1" applyFill="1" applyBorder="1" applyAlignment="1" applyProtection="1">
      <alignment horizontal="center" vertical="center"/>
    </xf>
    <xf numFmtId="1" fontId="5" fillId="3" borderId="52" xfId="2" applyNumberFormat="1" applyFont="1" applyFill="1" applyBorder="1" applyAlignment="1" applyProtection="1">
      <alignment horizontal="center" vertical="center"/>
      <protection locked="0"/>
    </xf>
    <xf numFmtId="9" fontId="5" fillId="3" borderId="178" xfId="10" applyFont="1" applyFill="1" applyBorder="1" applyAlignment="1" applyProtection="1">
      <alignment horizontal="center" vertical="center"/>
    </xf>
    <xf numFmtId="167" fontId="9" fillId="13" borderId="40" xfId="2" applyFont="1" applyFill="1" applyBorder="1" applyAlignment="1" applyProtection="1">
      <alignment horizontal="center" vertical="center"/>
      <protection locked="0"/>
    </xf>
    <xf numFmtId="0" fontId="9" fillId="13" borderId="70" xfId="0" applyFont="1" applyFill="1" applyBorder="1" applyAlignment="1" applyProtection="1">
      <alignment horizontal="center" vertical="center"/>
    </xf>
    <xf numFmtId="167" fontId="9" fillId="3" borderId="0" xfId="2" applyFont="1" applyFill="1" applyBorder="1" applyAlignment="1" applyProtection="1">
      <alignment vertical="center" wrapText="1"/>
      <protection locked="0"/>
    </xf>
    <xf numFmtId="0" fontId="9" fillId="13" borderId="40" xfId="0" applyFont="1" applyFill="1" applyBorder="1" applyAlignment="1" applyProtection="1">
      <alignment vertical="center"/>
      <protection locked="0"/>
    </xf>
    <xf numFmtId="0" fontId="8" fillId="0" borderId="105" xfId="0" applyFont="1" applyBorder="1" applyAlignment="1" applyProtection="1">
      <alignment vertical="center"/>
    </xf>
    <xf numFmtId="0" fontId="8" fillId="0" borderId="155" xfId="0" applyFont="1" applyBorder="1" applyAlignment="1" applyProtection="1">
      <alignment vertical="center"/>
    </xf>
    <xf numFmtId="0" fontId="19" fillId="0" borderId="177" xfId="0" applyFont="1" applyBorder="1" applyAlignment="1" applyProtection="1">
      <alignment vertical="center"/>
    </xf>
    <xf numFmtId="171" fontId="8" fillId="0" borderId="104" xfId="0" applyNumberFormat="1" applyFont="1" applyBorder="1" applyAlignment="1" applyProtection="1">
      <alignment horizontal="center" vertical="center"/>
    </xf>
    <xf numFmtId="171" fontId="8" fillId="0" borderId="183" xfId="0" applyNumberFormat="1" applyFont="1" applyBorder="1" applyAlignment="1" applyProtection="1">
      <alignment horizontal="center" vertical="center"/>
    </xf>
    <xf numFmtId="171" fontId="8" fillId="0" borderId="179" xfId="0" applyNumberFormat="1" applyFont="1" applyBorder="1" applyAlignment="1" applyProtection="1">
      <alignment horizontal="center" vertical="center"/>
    </xf>
    <xf numFmtId="171" fontId="8" fillId="0" borderId="180" xfId="0" applyNumberFormat="1" applyFont="1" applyBorder="1" applyAlignment="1" applyProtection="1">
      <alignment horizontal="center" vertical="center"/>
    </xf>
    <xf numFmtId="0" fontId="8" fillId="0" borderId="104" xfId="0" applyFont="1" applyBorder="1" applyAlignment="1" applyProtection="1">
      <alignment horizontal="center" vertical="center"/>
      <protection locked="0"/>
    </xf>
    <xf numFmtId="171" fontId="8" fillId="0" borderId="56" xfId="0" applyNumberFormat="1" applyFont="1" applyBorder="1" applyAlignment="1" applyProtection="1">
      <alignment horizontal="center" vertical="center"/>
    </xf>
    <xf numFmtId="9" fontId="8" fillId="0" borderId="104" xfId="10" applyFont="1" applyBorder="1" applyAlignment="1" applyProtection="1">
      <alignment horizontal="center" vertical="center"/>
    </xf>
    <xf numFmtId="171" fontId="8" fillId="0" borderId="55" xfId="0" applyNumberFormat="1" applyFont="1" applyBorder="1" applyAlignment="1" applyProtection="1">
      <alignment horizontal="center" vertical="center"/>
    </xf>
    <xf numFmtId="0" fontId="8" fillId="0" borderId="40" xfId="0" applyFont="1" applyBorder="1" applyAlignment="1" applyProtection="1">
      <alignment horizontal="center" vertical="center"/>
    </xf>
    <xf numFmtId="0" fontId="8" fillId="0" borderId="70" xfId="0" applyFont="1" applyBorder="1" applyAlignment="1" applyProtection="1">
      <alignment horizontal="center" vertical="center"/>
    </xf>
    <xf numFmtId="0" fontId="8" fillId="0" borderId="41" xfId="0" applyFont="1" applyBorder="1" applyAlignment="1" applyProtection="1">
      <alignment horizontal="center" vertical="center"/>
    </xf>
    <xf numFmtId="0" fontId="19" fillId="5" borderId="40" xfId="0" applyFont="1" applyFill="1" applyBorder="1" applyAlignment="1" applyProtection="1">
      <alignment vertical="center"/>
    </xf>
    <xf numFmtId="0" fontId="19" fillId="5" borderId="41" xfId="0" applyFont="1" applyFill="1" applyBorder="1" applyAlignment="1" applyProtection="1">
      <alignment vertical="center"/>
    </xf>
    <xf numFmtId="0" fontId="19" fillId="5" borderId="42" xfId="0" applyFont="1" applyFill="1" applyBorder="1" applyAlignment="1" applyProtection="1">
      <alignment vertical="center"/>
    </xf>
    <xf numFmtId="0" fontId="8" fillId="12" borderId="35" xfId="0" applyFont="1" applyFill="1" applyBorder="1" applyAlignment="1" applyProtection="1">
      <alignment vertical="center"/>
      <protection locked="0"/>
    </xf>
    <xf numFmtId="0" fontId="8" fillId="12" borderId="36" xfId="0" applyFont="1" applyFill="1" applyBorder="1" applyAlignment="1" applyProtection="1">
      <alignment vertical="center"/>
      <protection locked="0"/>
    </xf>
    <xf numFmtId="0" fontId="8" fillId="12" borderId="37" xfId="0" applyFont="1" applyFill="1" applyBorder="1" applyAlignment="1" applyProtection="1">
      <alignment vertical="center"/>
      <protection locked="0"/>
    </xf>
    <xf numFmtId="0" fontId="8" fillId="12" borderId="0" xfId="0" applyFont="1" applyFill="1" applyAlignment="1" applyProtection="1">
      <alignment vertical="center"/>
      <protection locked="0"/>
    </xf>
    <xf numFmtId="0" fontId="48" fillId="12" borderId="0" xfId="0" applyFont="1" applyFill="1" applyAlignment="1" applyProtection="1">
      <alignment vertical="center"/>
      <protection locked="0"/>
    </xf>
    <xf numFmtId="0" fontId="8" fillId="12" borderId="38" xfId="0" applyFont="1" applyFill="1" applyBorder="1" applyAlignment="1" applyProtection="1">
      <alignment vertical="center"/>
      <protection locked="0"/>
    </xf>
    <xf numFmtId="0" fontId="8" fillId="12" borderId="0" xfId="0" applyFont="1" applyFill="1" applyBorder="1" applyAlignment="1" applyProtection="1">
      <alignment vertical="center"/>
      <protection locked="0"/>
    </xf>
    <xf numFmtId="0" fontId="9" fillId="12" borderId="0" xfId="0" applyFont="1" applyFill="1" applyBorder="1" applyAlignment="1" applyProtection="1">
      <alignment vertical="center"/>
    </xf>
    <xf numFmtId="0" fontId="5" fillId="12" borderId="0" xfId="0" applyFont="1" applyFill="1" applyBorder="1" applyAlignment="1" applyProtection="1">
      <alignment vertical="center"/>
      <protection locked="0"/>
    </xf>
    <xf numFmtId="0" fontId="9" fillId="12" borderId="0" xfId="0" applyFont="1" applyFill="1" applyBorder="1" applyAlignment="1" applyProtection="1">
      <alignment horizontal="right" vertical="center"/>
    </xf>
    <xf numFmtId="0" fontId="9" fillId="12" borderId="39" xfId="0" applyFont="1" applyFill="1" applyBorder="1" applyAlignment="1" applyProtection="1">
      <alignment horizontal="center" vertical="center"/>
      <protection locked="0"/>
    </xf>
    <xf numFmtId="0" fontId="5" fillId="12" borderId="38" xfId="0" applyFont="1" applyFill="1" applyBorder="1" applyAlignment="1" applyProtection="1">
      <alignment vertical="center"/>
      <protection locked="0"/>
    </xf>
    <xf numFmtId="170" fontId="5" fillId="12" borderId="0" xfId="0" quotePrefix="1" applyNumberFormat="1" applyFont="1" applyFill="1" applyBorder="1" applyAlignment="1" applyProtection="1">
      <alignment horizontal="left" vertical="center"/>
      <protection locked="0"/>
    </xf>
    <xf numFmtId="0" fontId="9" fillId="12" borderId="0" xfId="0" applyFont="1" applyFill="1" applyBorder="1" applyAlignment="1" applyProtection="1">
      <alignment vertical="center"/>
      <protection locked="0"/>
    </xf>
    <xf numFmtId="170" fontId="5" fillId="12" borderId="0" xfId="0" applyNumberFormat="1" applyFont="1" applyFill="1" applyBorder="1" applyAlignment="1" applyProtection="1">
      <alignment vertical="center"/>
      <protection locked="0"/>
    </xf>
    <xf numFmtId="0" fontId="8" fillId="12" borderId="39" xfId="0" applyFont="1" applyFill="1" applyBorder="1" applyAlignment="1" applyProtection="1">
      <alignment vertical="center"/>
      <protection locked="0"/>
    </xf>
    <xf numFmtId="0" fontId="8" fillId="12" borderId="0" xfId="0" quotePrefix="1" applyFont="1" applyFill="1" applyAlignment="1" applyProtection="1">
      <alignment vertical="center"/>
      <protection locked="0"/>
    </xf>
    <xf numFmtId="0" fontId="10" fillId="12" borderId="52" xfId="0" applyFont="1" applyFill="1" applyBorder="1" applyAlignment="1" applyProtection="1">
      <alignment vertical="center"/>
      <protection locked="0"/>
    </xf>
    <xf numFmtId="0" fontId="5" fillId="12" borderId="53" xfId="0" applyFont="1" applyFill="1" applyBorder="1" applyAlignment="1" applyProtection="1">
      <alignment vertical="center"/>
      <protection locked="0"/>
    </xf>
    <xf numFmtId="0" fontId="9" fillId="12" borderId="53" xfId="0" applyFont="1" applyFill="1" applyBorder="1" applyAlignment="1" applyProtection="1">
      <alignment vertical="center"/>
      <protection locked="0"/>
    </xf>
    <xf numFmtId="170" fontId="5" fillId="12" borderId="53" xfId="0" applyNumberFormat="1" applyFont="1" applyFill="1" applyBorder="1" applyAlignment="1" applyProtection="1">
      <alignment horizontal="left" vertical="center"/>
      <protection locked="0"/>
    </xf>
    <xf numFmtId="170" fontId="5" fillId="12" borderId="53" xfId="0" applyNumberFormat="1" applyFont="1" applyFill="1" applyBorder="1" applyAlignment="1" applyProtection="1">
      <alignment vertical="center"/>
      <protection locked="0"/>
    </xf>
    <xf numFmtId="0" fontId="11" fillId="12" borderId="0" xfId="0" applyFont="1" applyFill="1" applyBorder="1" applyAlignment="1" applyProtection="1">
      <alignment vertical="center"/>
      <protection locked="0"/>
    </xf>
    <xf numFmtId="0" fontId="12" fillId="12" borderId="0" xfId="0" applyFont="1" applyFill="1" applyBorder="1" applyAlignment="1" applyProtection="1">
      <alignment vertical="center"/>
      <protection locked="0"/>
    </xf>
    <xf numFmtId="0" fontId="9" fillId="12" borderId="38" xfId="0" applyFont="1" applyFill="1" applyBorder="1" applyAlignment="1" applyProtection="1">
      <alignment vertical="center"/>
    </xf>
    <xf numFmtId="0" fontId="5" fillId="12" borderId="0" xfId="0" applyFont="1" applyFill="1" applyBorder="1" applyAlignment="1" applyProtection="1">
      <alignment vertical="center"/>
    </xf>
    <xf numFmtId="0" fontId="13" fillId="12" borderId="0" xfId="0" applyFont="1" applyFill="1" applyBorder="1" applyAlignment="1" applyProtection="1">
      <alignment vertical="center"/>
    </xf>
    <xf numFmtId="0" fontId="13" fillId="12" borderId="67" xfId="0" applyFont="1" applyFill="1" applyBorder="1" applyAlignment="1" applyProtection="1">
      <alignment vertical="center"/>
    </xf>
    <xf numFmtId="0" fontId="5" fillId="12" borderId="0" xfId="0" applyFont="1" applyFill="1" applyBorder="1" applyAlignment="1" applyProtection="1">
      <alignment horizontal="center" vertical="center"/>
    </xf>
    <xf numFmtId="0" fontId="13" fillId="12" borderId="0" xfId="0" applyFont="1" applyFill="1" applyBorder="1" applyAlignment="1" applyProtection="1">
      <alignment vertical="center"/>
      <protection locked="0"/>
    </xf>
    <xf numFmtId="0" fontId="14" fillId="12" borderId="0" xfId="0" applyFont="1" applyFill="1" applyBorder="1" applyAlignment="1" applyProtection="1">
      <alignment vertical="center"/>
      <protection locked="0"/>
    </xf>
    <xf numFmtId="0" fontId="14" fillId="12" borderId="0" xfId="0" applyFont="1" applyFill="1" applyBorder="1" applyAlignment="1" applyProtection="1">
      <alignment vertical="center"/>
    </xf>
    <xf numFmtId="0" fontId="14" fillId="12" borderId="39" xfId="0" applyFont="1" applyFill="1" applyBorder="1" applyAlignment="1" applyProtection="1">
      <alignment vertical="center"/>
    </xf>
    <xf numFmtId="3" fontId="5" fillId="12" borderId="0" xfId="0" applyNumberFormat="1" applyFont="1" applyFill="1" applyBorder="1" applyAlignment="1" applyProtection="1">
      <alignment vertical="center"/>
    </xf>
    <xf numFmtId="178" fontId="9" fillId="12" borderId="0" xfId="0" applyNumberFormat="1" applyFont="1" applyFill="1" applyBorder="1" applyAlignment="1" applyProtection="1">
      <alignment horizontal="right" vertical="center"/>
      <protection locked="0"/>
    </xf>
    <xf numFmtId="0" fontId="16" fillId="12" borderId="0" xfId="0" applyFont="1" applyFill="1" applyBorder="1" applyAlignment="1" applyProtection="1">
      <alignment vertical="center"/>
      <protection locked="0"/>
    </xf>
    <xf numFmtId="14" fontId="14" fillId="12" borderId="39" xfId="0" applyNumberFormat="1" applyFont="1" applyFill="1" applyBorder="1" applyAlignment="1" applyProtection="1">
      <alignment horizontal="center" vertical="center"/>
      <protection locked="0"/>
    </xf>
    <xf numFmtId="0" fontId="14" fillId="12" borderId="38" xfId="0" applyFont="1" applyFill="1" applyBorder="1" applyAlignment="1" applyProtection="1">
      <alignment vertical="center"/>
    </xf>
    <xf numFmtId="0" fontId="5" fillId="12" borderId="0" xfId="0" applyFont="1" applyFill="1" applyBorder="1" applyProtection="1">
      <protection locked="0"/>
    </xf>
    <xf numFmtId="0" fontId="33" fillId="12" borderId="0" xfId="0" applyFont="1" applyFill="1" applyAlignment="1">
      <alignment vertical="center"/>
    </xf>
    <xf numFmtId="171" fontId="14" fillId="12" borderId="39" xfId="0" applyNumberFormat="1" applyFont="1" applyFill="1" applyBorder="1" applyAlignment="1" applyProtection="1">
      <alignment horizontal="center" vertical="center"/>
      <protection locked="0"/>
    </xf>
    <xf numFmtId="9" fontId="8" fillId="12" borderId="0" xfId="10" applyFont="1" applyFill="1" applyAlignment="1" applyProtection="1">
      <alignment vertical="center"/>
      <protection locked="0"/>
    </xf>
    <xf numFmtId="171" fontId="14" fillId="12" borderId="0" xfId="0" applyNumberFormat="1" applyFont="1" applyFill="1" applyBorder="1" applyAlignment="1" applyProtection="1">
      <alignment horizontal="center" vertical="center"/>
      <protection locked="0"/>
    </xf>
    <xf numFmtId="175" fontId="5" fillId="12" borderId="0" xfId="0" applyNumberFormat="1" applyFont="1" applyFill="1" applyBorder="1" applyAlignment="1" applyProtection="1">
      <alignment horizontal="left" vertical="center"/>
      <protection locked="0"/>
    </xf>
    <xf numFmtId="187" fontId="5" fillId="12" borderId="0" xfId="0" applyNumberFormat="1" applyFont="1" applyFill="1" applyBorder="1" applyAlignment="1" applyProtection="1">
      <alignment horizontal="center"/>
      <protection locked="0"/>
    </xf>
    <xf numFmtId="0" fontId="50" fillId="12" borderId="0" xfId="0" applyFont="1" applyFill="1" applyBorder="1" applyAlignment="1" applyProtection="1">
      <alignment vertical="center"/>
      <protection locked="0"/>
    </xf>
    <xf numFmtId="0" fontId="51" fillId="12" borderId="0" xfId="0" applyFont="1" applyFill="1" applyBorder="1" applyAlignment="1" applyProtection="1">
      <alignment vertical="center"/>
      <protection locked="0"/>
    </xf>
    <xf numFmtId="0" fontId="9" fillId="12" borderId="0" xfId="0" applyFont="1" applyFill="1" applyAlignment="1" applyProtection="1">
      <alignment vertical="center"/>
      <protection locked="0"/>
    </xf>
    <xf numFmtId="10" fontId="14" fillId="12" borderId="39" xfId="10" applyNumberFormat="1" applyFont="1" applyFill="1" applyBorder="1" applyAlignment="1" applyProtection="1">
      <alignment horizontal="center" vertical="center"/>
      <protection locked="0"/>
    </xf>
    <xf numFmtId="0" fontId="13" fillId="12" borderId="38" xfId="0" applyFont="1" applyFill="1" applyBorder="1" applyAlignment="1" applyProtection="1">
      <alignment vertical="center"/>
    </xf>
    <xf numFmtId="0" fontId="5" fillId="12" borderId="0" xfId="0" applyFont="1" applyFill="1" applyBorder="1" applyAlignment="1" applyProtection="1">
      <alignment horizontal="left" vertical="center"/>
      <protection locked="0"/>
    </xf>
    <xf numFmtId="169" fontId="14" fillId="12" borderId="0" xfId="0" applyNumberFormat="1" applyFont="1" applyFill="1" applyBorder="1" applyAlignment="1" applyProtection="1">
      <alignment horizontal="center" vertical="center"/>
      <protection locked="0"/>
    </xf>
    <xf numFmtId="10" fontId="14" fillId="12" borderId="39" xfId="0" applyNumberFormat="1" applyFont="1" applyFill="1" applyBorder="1" applyAlignment="1" applyProtection="1">
      <alignment horizontal="center" vertical="center"/>
      <protection locked="0"/>
    </xf>
    <xf numFmtId="0" fontId="16" fillId="12" borderId="0" xfId="0" applyFont="1" applyFill="1" applyBorder="1" applyAlignment="1" applyProtection="1">
      <alignment vertical="center"/>
    </xf>
    <xf numFmtId="0" fontId="9" fillId="12" borderId="155" xfId="0" applyFont="1" applyFill="1" applyBorder="1" applyAlignment="1" applyProtection="1">
      <alignment vertical="center"/>
    </xf>
    <xf numFmtId="0" fontId="9" fillId="12" borderId="44" xfId="0" applyFont="1" applyFill="1" applyBorder="1" applyAlignment="1" applyProtection="1">
      <alignment vertical="center"/>
    </xf>
    <xf numFmtId="0" fontId="9" fillId="12" borderId="44" xfId="0" applyFont="1" applyFill="1" applyBorder="1" applyAlignment="1" applyProtection="1">
      <alignment vertical="center"/>
      <protection locked="0"/>
    </xf>
    <xf numFmtId="0" fontId="8" fillId="12" borderId="44" xfId="0" applyFont="1" applyFill="1" applyBorder="1" applyAlignment="1" applyProtection="1">
      <alignment vertical="center"/>
      <protection locked="0"/>
    </xf>
    <xf numFmtId="0" fontId="8" fillId="12" borderId="156" xfId="0" applyFont="1" applyFill="1" applyBorder="1" applyAlignment="1" applyProtection="1">
      <alignment vertical="center"/>
      <protection locked="0"/>
    </xf>
    <xf numFmtId="0" fontId="5" fillId="12" borderId="38" xfId="0" applyFont="1" applyFill="1" applyBorder="1" applyAlignment="1" applyProtection="1">
      <alignment vertical="center"/>
    </xf>
    <xf numFmtId="0" fontId="9" fillId="12" borderId="0" xfId="0" applyFont="1" applyFill="1" applyBorder="1" applyAlignment="1" applyProtection="1">
      <alignment horizontal="center" vertical="center"/>
    </xf>
    <xf numFmtId="15" fontId="12" fillId="12" borderId="0" xfId="0" applyNumberFormat="1" applyFont="1" applyFill="1" applyBorder="1" applyAlignment="1" applyProtection="1">
      <alignment horizontal="center" vertical="center"/>
    </xf>
    <xf numFmtId="15" fontId="15" fillId="12" borderId="0" xfId="0" applyNumberFormat="1" applyFont="1" applyFill="1" applyBorder="1" applyAlignment="1" applyProtection="1">
      <alignment vertical="center"/>
    </xf>
    <xf numFmtId="15" fontId="12" fillId="12" borderId="39" xfId="0" applyNumberFormat="1" applyFont="1" applyFill="1" applyBorder="1" applyAlignment="1" applyProtection="1">
      <alignment horizontal="center" vertical="center"/>
    </xf>
    <xf numFmtId="3" fontId="16" fillId="12" borderId="0" xfId="0" applyNumberFormat="1" applyFont="1" applyFill="1" applyBorder="1" applyAlignment="1" applyProtection="1">
      <alignment horizontal="center" vertical="center"/>
    </xf>
    <xf numFmtId="3" fontId="5" fillId="12" borderId="0" xfId="0" applyNumberFormat="1" applyFont="1" applyFill="1" applyBorder="1" applyAlignment="1" applyProtection="1">
      <alignment horizontal="center" vertical="center"/>
    </xf>
    <xf numFmtId="38" fontId="5" fillId="12" borderId="0" xfId="0" applyNumberFormat="1" applyFont="1" applyFill="1" applyBorder="1" applyAlignment="1" applyProtection="1">
      <alignment horizontal="right" vertical="center"/>
    </xf>
    <xf numFmtId="0" fontId="8" fillId="12" borderId="0" xfId="0" applyFont="1" applyFill="1" applyBorder="1" applyAlignment="1" applyProtection="1">
      <alignment vertical="center"/>
    </xf>
    <xf numFmtId="0" fontId="15" fillId="12" borderId="0" xfId="0" applyFont="1" applyFill="1" applyBorder="1" applyAlignment="1" applyProtection="1">
      <alignment vertical="center"/>
    </xf>
    <xf numFmtId="2" fontId="15" fillId="12" borderId="39" xfId="0" applyNumberFormat="1" applyFont="1" applyFill="1" applyBorder="1" applyAlignment="1" applyProtection="1">
      <alignment horizontal="right" vertical="center"/>
    </xf>
    <xf numFmtId="0" fontId="7" fillId="12" borderId="0" xfId="0" applyFont="1" applyFill="1" applyAlignment="1" applyProtection="1">
      <alignment vertical="center"/>
      <protection locked="0"/>
    </xf>
    <xf numFmtId="10" fontId="15" fillId="12" borderId="39" xfId="0" applyNumberFormat="1" applyFont="1" applyFill="1" applyBorder="1" applyAlignment="1" applyProtection="1">
      <alignment horizontal="right" vertical="center"/>
    </xf>
    <xf numFmtId="38" fontId="15" fillId="12" borderId="39" xfId="0" applyNumberFormat="1" applyFont="1" applyFill="1" applyBorder="1" applyAlignment="1" applyProtection="1">
      <alignment horizontal="right" vertical="center"/>
    </xf>
    <xf numFmtId="0" fontId="5" fillId="12" borderId="155" xfId="0" applyFont="1" applyFill="1" applyBorder="1" applyAlignment="1" applyProtection="1">
      <alignment vertical="center"/>
    </xf>
    <xf numFmtId="0" fontId="5" fillId="12" borderId="44" xfId="0" applyFont="1" applyFill="1" applyBorder="1" applyAlignment="1" applyProtection="1">
      <alignment vertical="center"/>
    </xf>
    <xf numFmtId="14" fontId="9" fillId="12" borderId="0" xfId="0" applyNumberFormat="1" applyFont="1" applyFill="1" applyBorder="1" applyAlignment="1" applyProtection="1">
      <alignment horizontal="left" vertical="center"/>
    </xf>
    <xf numFmtId="14" fontId="9" fillId="12" borderId="38" xfId="0" applyNumberFormat="1" applyFont="1" applyFill="1" applyBorder="1" applyAlignment="1" applyProtection="1">
      <alignment vertical="center"/>
      <protection locked="0"/>
    </xf>
    <xf numFmtId="3" fontId="9" fillId="12" borderId="0" xfId="0" applyNumberFormat="1"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protection locked="0"/>
    </xf>
    <xf numFmtId="10" fontId="15" fillId="12" borderId="39" xfId="10" applyNumberFormat="1" applyFont="1" applyFill="1" applyBorder="1" applyAlignment="1" applyProtection="1">
      <alignment horizontal="right" vertical="center"/>
    </xf>
    <xf numFmtId="3" fontId="5" fillId="12" borderId="38" xfId="0" applyNumberFormat="1" applyFont="1" applyFill="1" applyBorder="1" applyAlignment="1" applyProtection="1">
      <alignment vertical="center"/>
      <protection locked="0"/>
    </xf>
    <xf numFmtId="3" fontId="5" fillId="12" borderId="0" xfId="0" applyNumberFormat="1" applyFont="1" applyFill="1" applyBorder="1" applyAlignment="1" applyProtection="1">
      <alignment horizontal="center" vertical="center"/>
      <protection locked="0"/>
    </xf>
    <xf numFmtId="9" fontId="15" fillId="12" borderId="39" xfId="10" applyFont="1" applyFill="1" applyBorder="1" applyAlignment="1" applyProtection="1">
      <alignment horizontal="right" vertical="center"/>
    </xf>
    <xf numFmtId="0" fontId="15" fillId="12" borderId="39" xfId="0" applyFont="1" applyFill="1" applyBorder="1" applyAlignment="1" applyProtection="1">
      <alignment vertical="center"/>
    </xf>
    <xf numFmtId="0" fontId="8" fillId="12" borderId="44" xfId="0" applyFont="1" applyFill="1" applyBorder="1" applyAlignment="1" applyProtection="1">
      <alignment vertical="center"/>
    </xf>
    <xf numFmtId="0" fontId="8" fillId="12" borderId="156" xfId="0" applyFont="1" applyFill="1" applyBorder="1" applyAlignment="1" applyProtection="1">
      <alignment vertical="center"/>
    </xf>
    <xf numFmtId="17" fontId="5" fillId="12" borderId="0" xfId="0" applyNumberFormat="1" applyFont="1" applyFill="1" applyBorder="1" applyAlignment="1" applyProtection="1">
      <alignment horizontal="center" vertical="center"/>
    </xf>
    <xf numFmtId="17" fontId="5" fillId="12" borderId="39" xfId="0" applyNumberFormat="1" applyFont="1" applyFill="1" applyBorder="1" applyAlignment="1" applyProtection="1">
      <alignment horizontal="center" vertical="center"/>
    </xf>
    <xf numFmtId="173" fontId="5" fillId="12" borderId="0" xfId="0" applyNumberFormat="1" applyFont="1" applyFill="1" applyBorder="1" applyAlignment="1" applyProtection="1">
      <alignment horizontal="center" vertical="center"/>
      <protection locked="0"/>
    </xf>
    <xf numFmtId="173" fontId="5" fillId="12" borderId="39" xfId="0" applyNumberFormat="1" applyFont="1" applyFill="1" applyBorder="1" applyAlignment="1" applyProtection="1">
      <alignment horizontal="center" vertical="center"/>
      <protection locked="0"/>
    </xf>
    <xf numFmtId="3" fontId="9" fillId="12" borderId="0" xfId="0" applyNumberFormat="1" applyFont="1" applyFill="1" applyBorder="1" applyAlignment="1" applyProtection="1">
      <alignment horizontal="center" vertical="center"/>
    </xf>
    <xf numFmtId="0" fontId="5" fillId="12" borderId="0" xfId="0" applyFont="1" applyFill="1" applyBorder="1" applyAlignment="1" applyProtection="1">
      <alignment horizontal="center" vertical="center"/>
      <protection locked="0"/>
    </xf>
    <xf numFmtId="3" fontId="8" fillId="12" borderId="0" xfId="0" applyNumberFormat="1" applyFont="1" applyFill="1" applyBorder="1" applyAlignment="1" applyProtection="1">
      <alignment horizontal="center" vertical="center"/>
      <protection locked="0"/>
    </xf>
    <xf numFmtId="0" fontId="8" fillId="12" borderId="0" xfId="0" applyFont="1" applyFill="1" applyBorder="1" applyAlignment="1" applyProtection="1">
      <alignment horizontal="center" vertical="center"/>
      <protection locked="0"/>
    </xf>
    <xf numFmtId="0" fontId="8" fillId="12" borderId="39" xfId="0" applyFont="1" applyFill="1" applyBorder="1" applyAlignment="1" applyProtection="1">
      <alignment horizontal="center" vertical="center"/>
      <protection locked="0"/>
    </xf>
    <xf numFmtId="0" fontId="8" fillId="12" borderId="39" xfId="0" applyFont="1" applyFill="1" applyBorder="1" applyAlignment="1" applyProtection="1">
      <alignment vertical="center"/>
    </xf>
    <xf numFmtId="0" fontId="9" fillId="12" borderId="38" xfId="0" applyFont="1" applyFill="1" applyBorder="1" applyAlignment="1" applyProtection="1">
      <alignment horizontal="center" vertical="center"/>
    </xf>
    <xf numFmtId="0" fontId="5" fillId="12" borderId="0" xfId="0" applyFont="1" applyFill="1" applyBorder="1" applyAlignment="1" applyProtection="1">
      <alignment horizontal="justify" vertical="center"/>
      <protection locked="0"/>
    </xf>
    <xf numFmtId="0" fontId="13" fillId="12" borderId="155" xfId="0" applyFont="1" applyFill="1" applyBorder="1" applyAlignment="1" applyProtection="1">
      <alignment vertical="center"/>
    </xf>
    <xf numFmtId="0" fontId="5" fillId="12" borderId="44" xfId="0" applyFont="1" applyFill="1" applyBorder="1" applyAlignment="1" applyProtection="1">
      <alignment vertical="center"/>
      <protection locked="0"/>
    </xf>
    <xf numFmtId="3" fontId="5" fillId="12" borderId="44" xfId="0" applyNumberFormat="1" applyFont="1" applyFill="1" applyBorder="1" applyAlignment="1" applyProtection="1">
      <alignment vertical="center"/>
    </xf>
    <xf numFmtId="0" fontId="13" fillId="12" borderId="44" xfId="0" applyFont="1" applyFill="1" applyBorder="1" applyAlignment="1" applyProtection="1">
      <alignment vertical="center"/>
    </xf>
    <xf numFmtId="14" fontId="5" fillId="12" borderId="44" xfId="0" applyNumberFormat="1" applyFont="1" applyFill="1" applyBorder="1" applyAlignment="1" applyProtection="1">
      <alignment horizontal="left" vertical="center"/>
      <protection locked="0"/>
    </xf>
    <xf numFmtId="0" fontId="13" fillId="12" borderId="44" xfId="0" applyFont="1" applyFill="1" applyBorder="1" applyAlignment="1" applyProtection="1">
      <alignment vertical="center"/>
      <protection locked="0"/>
    </xf>
    <xf numFmtId="3" fontId="5" fillId="12" borderId="44" xfId="0" applyNumberFormat="1" applyFont="1" applyFill="1" applyBorder="1" applyAlignment="1" applyProtection="1">
      <alignment vertical="center"/>
      <protection locked="0"/>
    </xf>
    <xf numFmtId="0" fontId="5" fillId="12" borderId="156" xfId="0" applyFont="1" applyFill="1" applyBorder="1" applyAlignment="1" applyProtection="1">
      <alignment vertical="center"/>
      <protection locked="0"/>
    </xf>
    <xf numFmtId="0" fontId="17" fillId="12" borderId="155" xfId="0" applyFont="1" applyFill="1" applyBorder="1" applyAlignment="1" applyProtection="1">
      <alignment vertical="center"/>
    </xf>
    <xf numFmtId="3" fontId="9" fillId="12" borderId="44" xfId="0" applyNumberFormat="1" applyFont="1" applyFill="1" applyBorder="1" applyAlignment="1" applyProtection="1">
      <alignment vertical="center"/>
    </xf>
    <xf numFmtId="14" fontId="13" fillId="12" borderId="44" xfId="0" applyNumberFormat="1" applyFont="1" applyFill="1" applyBorder="1" applyAlignment="1" applyProtection="1">
      <alignment vertical="center"/>
      <protection locked="0"/>
    </xf>
    <xf numFmtId="0" fontId="5" fillId="12" borderId="38" xfId="0" applyFont="1" applyFill="1" applyBorder="1" applyAlignment="1" applyProtection="1">
      <alignment horizontal="left" vertical="center"/>
      <protection locked="0"/>
    </xf>
    <xf numFmtId="3" fontId="5" fillId="12" borderId="0" xfId="0" applyNumberFormat="1" applyFont="1" applyFill="1" applyBorder="1" applyAlignment="1" applyProtection="1">
      <alignment vertical="center"/>
      <protection locked="0"/>
    </xf>
    <xf numFmtId="0" fontId="18" fillId="12" borderId="0" xfId="0" applyFont="1" applyFill="1" applyBorder="1" applyAlignment="1" applyProtection="1">
      <alignment vertical="center"/>
    </xf>
    <xf numFmtId="10" fontId="5" fillId="12" borderId="0" xfId="0" applyNumberFormat="1" applyFont="1" applyFill="1" applyBorder="1" applyAlignment="1" applyProtection="1">
      <alignment vertical="center"/>
      <protection locked="0"/>
    </xf>
    <xf numFmtId="0" fontId="5" fillId="12" borderId="39" xfId="0" applyFont="1" applyFill="1" applyBorder="1" applyAlignment="1" applyProtection="1">
      <alignment vertical="center"/>
      <protection locked="0"/>
    </xf>
    <xf numFmtId="0" fontId="5" fillId="12" borderId="0" xfId="0" applyFont="1" applyFill="1" applyAlignment="1" applyProtection="1">
      <alignment vertical="center"/>
      <protection locked="0"/>
    </xf>
    <xf numFmtId="0" fontId="9" fillId="12" borderId="38" xfId="0" applyFont="1" applyFill="1" applyBorder="1" applyAlignment="1" applyProtection="1">
      <alignment horizontal="left" vertical="center"/>
    </xf>
    <xf numFmtId="10" fontId="5" fillId="12" borderId="0" xfId="0" applyNumberFormat="1" applyFont="1" applyFill="1" applyBorder="1" applyAlignment="1" applyProtection="1">
      <alignment horizontal="center" vertical="center"/>
      <protection locked="0"/>
    </xf>
    <xf numFmtId="0" fontId="5" fillId="12" borderId="39" xfId="0" applyFont="1" applyFill="1" applyBorder="1" applyAlignment="1" applyProtection="1">
      <alignment horizontal="center" vertical="center"/>
      <protection locked="0"/>
    </xf>
    <xf numFmtId="0" fontId="13" fillId="12" borderId="155" xfId="0" applyFont="1" applyFill="1" applyBorder="1" applyAlignment="1" applyProtection="1">
      <alignment horizontal="left" vertical="center"/>
    </xf>
    <xf numFmtId="3" fontId="5" fillId="12" borderId="44" xfId="0" applyNumberFormat="1" applyFont="1" applyFill="1" applyBorder="1" applyAlignment="1" applyProtection="1">
      <alignment horizontal="center" vertical="center"/>
    </xf>
    <xf numFmtId="0" fontId="13" fillId="12" borderId="44" xfId="0" applyFont="1" applyFill="1" applyBorder="1" applyAlignment="1" applyProtection="1">
      <alignment horizontal="right" vertical="center"/>
    </xf>
    <xf numFmtId="0" fontId="5" fillId="12" borderId="38" xfId="0" applyFont="1" applyFill="1" applyBorder="1" applyAlignment="1" applyProtection="1">
      <alignment horizontal="left" vertical="center"/>
    </xf>
    <xf numFmtId="171" fontId="5" fillId="12" borderId="0" xfId="0" applyNumberFormat="1" applyFont="1" applyFill="1" applyBorder="1" applyAlignment="1" applyProtection="1">
      <alignment horizontal="center" vertical="center"/>
      <protection locked="0"/>
    </xf>
    <xf numFmtId="169" fontId="5" fillId="12" borderId="0" xfId="0" applyNumberFormat="1" applyFont="1" applyFill="1" applyBorder="1" applyAlignment="1" applyProtection="1">
      <alignment horizontal="center" vertical="center"/>
      <protection locked="0"/>
    </xf>
    <xf numFmtId="0" fontId="9" fillId="12" borderId="38" xfId="0" applyFont="1" applyFill="1" applyBorder="1" applyAlignment="1" applyProtection="1">
      <alignment horizontal="left" vertical="center"/>
      <protection locked="0"/>
    </xf>
    <xf numFmtId="0" fontId="5" fillId="12" borderId="67" xfId="0" applyFont="1" applyFill="1" applyBorder="1" applyAlignment="1" applyProtection="1">
      <alignment vertical="center"/>
    </xf>
    <xf numFmtId="0" fontId="8" fillId="12" borderId="67" xfId="0" applyFont="1" applyFill="1" applyBorder="1" applyAlignment="1" applyProtection="1">
      <alignment vertical="center"/>
    </xf>
    <xf numFmtId="0" fontId="8" fillId="12" borderId="157" xfId="0" applyFont="1" applyFill="1" applyBorder="1" applyAlignment="1" applyProtection="1">
      <alignment vertical="center"/>
    </xf>
    <xf numFmtId="0" fontId="8" fillId="12" borderId="38" xfId="0" applyFont="1" applyFill="1" applyBorder="1" applyAlignment="1" applyProtection="1">
      <alignment vertical="center"/>
    </xf>
    <xf numFmtId="0" fontId="42" fillId="12" borderId="38" xfId="0" applyFont="1" applyFill="1" applyBorder="1" applyAlignment="1" applyProtection="1">
      <alignment vertical="center"/>
    </xf>
    <xf numFmtId="0" fontId="8" fillId="12" borderId="40" xfId="0" applyFont="1" applyFill="1" applyBorder="1" applyAlignment="1" applyProtection="1">
      <alignment horizontal="center" vertical="center"/>
    </xf>
    <xf numFmtId="0" fontId="8" fillId="12" borderId="70" xfId="0" applyFont="1" applyFill="1" applyBorder="1" applyAlignment="1" applyProtection="1">
      <alignment horizontal="center" vertical="center"/>
    </xf>
    <xf numFmtId="0" fontId="8" fillId="12" borderId="41" xfId="0" applyFont="1" applyFill="1" applyBorder="1" applyAlignment="1" applyProtection="1">
      <alignment horizontal="center" vertical="center"/>
    </xf>
    <xf numFmtId="171" fontId="8" fillId="12" borderId="55" xfId="0" applyNumberFormat="1" applyFont="1" applyFill="1" applyBorder="1" applyAlignment="1" applyProtection="1">
      <alignment horizontal="center" vertical="center"/>
    </xf>
    <xf numFmtId="171" fontId="8" fillId="12" borderId="104" xfId="0" applyNumberFormat="1" applyFont="1" applyFill="1" applyBorder="1" applyAlignment="1" applyProtection="1">
      <alignment horizontal="center" vertical="center"/>
    </xf>
    <xf numFmtId="171" fontId="8" fillId="12" borderId="56" xfId="0" applyNumberFormat="1" applyFont="1" applyFill="1" applyBorder="1" applyAlignment="1" applyProtection="1">
      <alignment horizontal="center" vertical="center"/>
    </xf>
    <xf numFmtId="171" fontId="8" fillId="12" borderId="70" xfId="0" applyNumberFormat="1" applyFont="1" applyFill="1" applyBorder="1" applyAlignment="1" applyProtection="1">
      <alignment horizontal="center" vertical="center"/>
    </xf>
    <xf numFmtId="9" fontId="8" fillId="12" borderId="104" xfId="10" applyFont="1" applyFill="1" applyBorder="1" applyAlignment="1" applyProtection="1">
      <alignment horizontal="center" vertical="center"/>
    </xf>
    <xf numFmtId="0" fontId="8" fillId="12" borderId="104" xfId="0" applyFont="1" applyFill="1" applyBorder="1" applyAlignment="1" applyProtection="1">
      <alignment horizontal="center" vertical="center"/>
      <protection locked="0"/>
    </xf>
    <xf numFmtId="0" fontId="8" fillId="12" borderId="0" xfId="0" applyFont="1" applyFill="1" applyBorder="1" applyAlignment="1" applyProtection="1">
      <alignment horizontal="left" vertical="center" indent="1"/>
    </xf>
    <xf numFmtId="0" fontId="8" fillId="12" borderId="105" xfId="0" applyFont="1" applyFill="1" applyBorder="1" applyAlignment="1" applyProtection="1">
      <alignment vertical="center"/>
    </xf>
    <xf numFmtId="171" fontId="8" fillId="12" borderId="183" xfId="0" applyNumberFormat="1" applyFont="1" applyFill="1" applyBorder="1" applyAlignment="1" applyProtection="1">
      <alignment horizontal="center" vertical="center"/>
    </xf>
    <xf numFmtId="171" fontId="8" fillId="12" borderId="0" xfId="0" applyNumberFormat="1" applyFont="1" applyFill="1" applyAlignment="1" applyProtection="1">
      <alignment vertical="center"/>
      <protection locked="0"/>
    </xf>
    <xf numFmtId="0" fontId="19" fillId="12" borderId="38" xfId="0" applyFont="1" applyFill="1" applyBorder="1" applyAlignment="1" applyProtection="1">
      <alignment vertical="center"/>
    </xf>
    <xf numFmtId="0" fontId="8" fillId="12" borderId="155" xfId="0" applyFont="1" applyFill="1" applyBorder="1" applyAlignment="1" applyProtection="1">
      <alignment vertical="center"/>
    </xf>
    <xf numFmtId="171" fontId="8" fillId="12" borderId="179" xfId="0" applyNumberFormat="1" applyFont="1" applyFill="1" applyBorder="1" applyAlignment="1" applyProtection="1">
      <alignment horizontal="center" vertical="center"/>
    </xf>
    <xf numFmtId="0" fontId="19" fillId="12" borderId="177" xfId="0" applyFont="1" applyFill="1" applyBorder="1" applyAlignment="1" applyProtection="1">
      <alignment vertical="center"/>
    </xf>
    <xf numFmtId="171" fontId="8" fillId="12" borderId="180" xfId="0" applyNumberFormat="1" applyFont="1" applyFill="1" applyBorder="1" applyAlignment="1" applyProtection="1">
      <alignment horizontal="center" vertical="center"/>
    </xf>
    <xf numFmtId="0" fontId="8" fillId="12" borderId="55" xfId="0" applyFont="1" applyFill="1" applyBorder="1" applyAlignment="1" applyProtection="1">
      <alignment vertical="center"/>
    </xf>
    <xf numFmtId="0" fontId="8" fillId="12" borderId="56" xfId="0" applyFont="1" applyFill="1" applyBorder="1" applyAlignment="1" applyProtection="1">
      <alignment vertical="center"/>
    </xf>
    <xf numFmtId="0" fontId="8" fillId="12" borderId="57" xfId="0" applyFont="1" applyFill="1" applyBorder="1" applyAlignment="1" applyProtection="1">
      <alignment vertical="center"/>
    </xf>
    <xf numFmtId="0" fontId="19" fillId="12" borderId="40" xfId="0" applyFont="1" applyFill="1" applyBorder="1" applyAlignment="1" applyProtection="1">
      <alignment vertical="center"/>
    </xf>
    <xf numFmtId="0" fontId="19" fillId="12" borderId="41" xfId="0" applyFont="1" applyFill="1" applyBorder="1" applyAlignment="1" applyProtection="1">
      <alignment vertical="center"/>
    </xf>
    <xf numFmtId="0" fontId="19" fillId="12" borderId="42" xfId="0" applyFont="1" applyFill="1" applyBorder="1" applyAlignment="1" applyProtection="1">
      <alignment vertical="center"/>
    </xf>
    <xf numFmtId="0" fontId="8" fillId="12" borderId="52" xfId="0" applyFont="1" applyFill="1" applyBorder="1" applyAlignment="1" applyProtection="1">
      <alignment vertical="center"/>
      <protection locked="0"/>
    </xf>
    <xf numFmtId="0" fontId="8" fillId="12" borderId="53" xfId="0" applyFont="1" applyFill="1" applyBorder="1" applyAlignment="1" applyProtection="1">
      <alignment vertical="center"/>
      <protection locked="0"/>
    </xf>
    <xf numFmtId="0" fontId="8" fillId="12" borderId="54" xfId="0" applyFont="1" applyFill="1" applyBorder="1" applyAlignment="1" applyProtection="1">
      <alignment vertical="center"/>
      <protection locked="0"/>
    </xf>
    <xf numFmtId="0" fontId="19" fillId="12" borderId="155" xfId="0" applyFont="1" applyFill="1" applyBorder="1" applyAlignment="1" applyProtection="1">
      <alignment vertical="center"/>
    </xf>
    <xf numFmtId="0" fontId="19" fillId="12" borderId="44" xfId="0" applyFont="1" applyFill="1" applyBorder="1" applyAlignment="1" applyProtection="1">
      <alignment vertical="center"/>
    </xf>
    <xf numFmtId="0" fontId="19" fillId="12" borderId="67" xfId="0" applyFont="1" applyFill="1" applyBorder="1" applyAlignment="1" applyProtection="1">
      <alignment vertical="center"/>
    </xf>
    <xf numFmtId="0" fontId="19" fillId="12" borderId="157" xfId="0" applyFont="1" applyFill="1" applyBorder="1" applyAlignment="1" applyProtection="1">
      <alignment vertical="center"/>
    </xf>
    <xf numFmtId="0" fontId="5" fillId="12" borderId="158" xfId="0" applyFont="1" applyFill="1" applyBorder="1" applyAlignment="1" applyProtection="1">
      <alignment vertical="center"/>
      <protection locked="0"/>
    </xf>
    <xf numFmtId="0" fontId="5" fillId="12" borderId="67" xfId="0" applyFont="1" applyFill="1" applyBorder="1" applyAlignment="1" applyProtection="1">
      <alignment vertical="center"/>
      <protection locked="0"/>
    </xf>
    <xf numFmtId="0" fontId="9" fillId="12" borderId="67" xfId="0" applyFont="1" applyFill="1" applyBorder="1" applyAlignment="1" applyProtection="1">
      <alignment vertical="center"/>
      <protection locked="0"/>
    </xf>
    <xf numFmtId="0" fontId="9" fillId="12" borderId="68" xfId="0" applyFont="1" applyFill="1" applyBorder="1" applyAlignment="1" applyProtection="1">
      <alignment vertical="center"/>
      <protection locked="0"/>
    </xf>
    <xf numFmtId="0" fontId="51" fillId="12" borderId="0" xfId="0" applyFont="1" applyFill="1" applyAlignment="1" applyProtection="1">
      <alignment vertical="center"/>
      <protection locked="0"/>
    </xf>
    <xf numFmtId="0" fontId="9" fillId="12" borderId="40" xfId="0" applyFont="1" applyFill="1" applyBorder="1" applyAlignment="1" applyProtection="1">
      <alignment vertical="center"/>
      <protection locked="0"/>
    </xf>
    <xf numFmtId="0" fontId="9" fillId="12" borderId="70" xfId="0" applyFont="1" applyFill="1" applyBorder="1" applyAlignment="1" applyProtection="1">
      <alignment horizontal="center" vertical="center"/>
      <protection locked="0"/>
    </xf>
    <xf numFmtId="0" fontId="9" fillId="12" borderId="42" xfId="0" applyFont="1" applyFill="1" applyBorder="1" applyAlignment="1" applyProtection="1">
      <alignment horizontal="center" vertical="center"/>
      <protection locked="0"/>
    </xf>
    <xf numFmtId="167" fontId="9" fillId="12" borderId="0" xfId="2" applyFont="1" applyFill="1" applyBorder="1" applyAlignment="1" applyProtection="1">
      <alignment vertical="center" wrapText="1"/>
      <protection locked="0"/>
    </xf>
    <xf numFmtId="167" fontId="9" fillId="12" borderId="39" xfId="2" applyFont="1" applyFill="1" applyBorder="1" applyAlignment="1" applyProtection="1">
      <alignment horizontal="center" vertical="center" wrapText="1"/>
      <protection locked="0"/>
    </xf>
    <xf numFmtId="0" fontId="5" fillId="12" borderId="52" xfId="0" applyFont="1" applyFill="1" applyBorder="1" applyAlignment="1" applyProtection="1">
      <alignment vertical="center"/>
      <protection locked="0"/>
    </xf>
    <xf numFmtId="10" fontId="5" fillId="12" borderId="178" xfId="10" applyNumberFormat="1" applyFont="1" applyFill="1" applyBorder="1" applyAlignment="1" applyProtection="1">
      <alignment horizontal="center" vertical="center"/>
      <protection locked="0"/>
    </xf>
    <xf numFmtId="186" fontId="5" fillId="12" borderId="54" xfId="1" applyNumberFormat="1" applyFont="1" applyFill="1" applyBorder="1" applyAlignment="1" applyProtection="1">
      <alignment vertical="center"/>
      <protection locked="0"/>
    </xf>
    <xf numFmtId="14" fontId="9" fillId="12" borderId="39" xfId="2" applyNumberFormat="1" applyFont="1" applyFill="1" applyBorder="1" applyAlignment="1" applyProtection="1">
      <alignment horizontal="center" vertical="center" wrapText="1"/>
      <protection locked="0"/>
    </xf>
    <xf numFmtId="10" fontId="5" fillId="12" borderId="184" xfId="10" applyNumberFormat="1" applyFont="1" applyFill="1" applyBorder="1" applyAlignment="1" applyProtection="1">
      <alignment horizontal="center" vertical="center"/>
      <protection locked="0"/>
    </xf>
    <xf numFmtId="186" fontId="5" fillId="12" borderId="157" xfId="1" applyNumberFormat="1" applyFont="1" applyFill="1" applyBorder="1" applyAlignment="1" applyProtection="1">
      <alignment vertical="center"/>
      <protection locked="0"/>
    </xf>
    <xf numFmtId="0" fontId="5" fillId="12" borderId="0" xfId="0" applyFont="1" applyFill="1" applyBorder="1" applyAlignment="1">
      <alignment vertical="center"/>
    </xf>
    <xf numFmtId="167" fontId="5" fillId="12" borderId="66" xfId="2" applyFont="1" applyFill="1" applyBorder="1" applyAlignment="1" applyProtection="1">
      <alignment vertical="center"/>
      <protection locked="0"/>
    </xf>
    <xf numFmtId="167" fontId="5" fillId="12" borderId="0" xfId="2" applyFont="1" applyFill="1" applyBorder="1" applyAlignment="1" applyProtection="1">
      <alignment vertical="center"/>
      <protection locked="0"/>
    </xf>
    <xf numFmtId="167" fontId="9" fillId="12" borderId="40" xfId="2" applyFont="1" applyFill="1" applyBorder="1" applyAlignment="1" applyProtection="1">
      <alignment horizontal="center" vertical="center"/>
      <protection locked="0"/>
    </xf>
    <xf numFmtId="0" fontId="9" fillId="12" borderId="70" xfId="0" applyFont="1" applyFill="1" applyBorder="1" applyAlignment="1" applyProtection="1">
      <alignment horizontal="center" vertical="center"/>
    </xf>
    <xf numFmtId="167" fontId="5" fillId="12" borderId="39" xfId="2" applyFont="1" applyFill="1" applyBorder="1" applyAlignment="1" applyProtection="1">
      <alignment vertical="center"/>
      <protection locked="0"/>
    </xf>
    <xf numFmtId="0" fontId="9" fillId="12" borderId="40" xfId="0" applyFont="1" applyFill="1" applyBorder="1" applyAlignment="1" applyProtection="1">
      <alignment horizontal="center" vertical="center"/>
      <protection locked="0"/>
    </xf>
    <xf numFmtId="10" fontId="5" fillId="12" borderId="70" xfId="10" applyNumberFormat="1" applyFont="1" applyFill="1" applyBorder="1" applyAlignment="1" applyProtection="1">
      <alignment horizontal="center" vertical="center"/>
      <protection locked="0"/>
    </xf>
    <xf numFmtId="186" fontId="5" fillId="12" borderId="42" xfId="1" applyNumberFormat="1" applyFont="1" applyFill="1" applyBorder="1" applyAlignment="1" applyProtection="1">
      <alignment vertical="center"/>
      <protection locked="0"/>
    </xf>
    <xf numFmtId="1" fontId="5" fillId="12" borderId="52" xfId="2" applyNumberFormat="1" applyFont="1" applyFill="1" applyBorder="1" applyAlignment="1" applyProtection="1">
      <alignment horizontal="center" vertical="center"/>
      <protection locked="0"/>
    </xf>
    <xf numFmtId="9" fontId="5" fillId="12" borderId="178" xfId="10" applyFont="1" applyFill="1" applyBorder="1" applyAlignment="1" applyProtection="1">
      <alignment horizontal="center" vertical="center"/>
    </xf>
    <xf numFmtId="1" fontId="5" fillId="12" borderId="155" xfId="2" applyNumberFormat="1" applyFont="1" applyFill="1" applyBorder="1" applyAlignment="1" applyProtection="1">
      <alignment horizontal="center" vertical="center"/>
      <protection locked="0"/>
    </xf>
    <xf numFmtId="9" fontId="5" fillId="12" borderId="179" xfId="10" applyFont="1" applyFill="1" applyBorder="1" applyAlignment="1" applyProtection="1">
      <alignment horizontal="center" vertical="center"/>
    </xf>
    <xf numFmtId="0" fontId="9" fillId="12" borderId="38" xfId="0" applyFont="1" applyFill="1" applyBorder="1" applyAlignment="1" applyProtection="1">
      <alignment vertical="center"/>
      <protection locked="0"/>
    </xf>
    <xf numFmtId="1" fontId="5" fillId="12" borderId="177" xfId="2" applyNumberFormat="1" applyFont="1" applyFill="1" applyBorder="1" applyAlignment="1" applyProtection="1">
      <alignment horizontal="center" vertical="center"/>
      <protection locked="0"/>
    </xf>
    <xf numFmtId="9" fontId="5" fillId="12" borderId="180" xfId="10" applyFont="1" applyFill="1" applyBorder="1" applyAlignment="1" applyProtection="1">
      <alignment horizontal="center" vertical="center"/>
    </xf>
    <xf numFmtId="167" fontId="10" fillId="12" borderId="66" xfId="2" applyFont="1" applyFill="1" applyBorder="1" applyAlignment="1" applyProtection="1">
      <alignment vertical="center"/>
    </xf>
    <xf numFmtId="167" fontId="10" fillId="12" borderId="0" xfId="2" applyFont="1" applyFill="1" applyBorder="1" applyAlignment="1" applyProtection="1">
      <alignment vertical="center"/>
    </xf>
    <xf numFmtId="0" fontId="10" fillId="12" borderId="0" xfId="0" applyFont="1" applyFill="1" applyBorder="1" applyAlignment="1" applyProtection="1">
      <alignment vertical="center"/>
    </xf>
    <xf numFmtId="167" fontId="9" fillId="12" borderId="56" xfId="2" applyFont="1" applyFill="1" applyBorder="1" applyAlignment="1" applyProtection="1">
      <alignment vertical="center"/>
      <protection locked="0"/>
    </xf>
    <xf numFmtId="167" fontId="9" fillId="12" borderId="57" xfId="2" applyFont="1" applyFill="1" applyBorder="1" applyAlignment="1" applyProtection="1">
      <alignment vertical="center"/>
      <protection locked="0"/>
    </xf>
    <xf numFmtId="0" fontId="5" fillId="12" borderId="178" xfId="0" applyFont="1" applyFill="1" applyBorder="1" applyAlignment="1" applyProtection="1">
      <alignment horizontal="center" vertical="center"/>
      <protection locked="0"/>
    </xf>
    <xf numFmtId="0" fontId="5" fillId="12" borderId="66" xfId="0" applyFont="1" applyFill="1" applyBorder="1" applyAlignment="1" applyProtection="1">
      <alignment vertical="center"/>
      <protection locked="0"/>
    </xf>
    <xf numFmtId="164" fontId="9" fillId="12" borderId="0" xfId="0" applyNumberFormat="1" applyFont="1" applyFill="1" applyBorder="1" applyAlignment="1" applyProtection="1">
      <alignment horizontal="center" vertical="center"/>
      <protection locked="0"/>
    </xf>
    <xf numFmtId="14" fontId="9" fillId="12" borderId="66" xfId="0" applyNumberFormat="1" applyFont="1" applyFill="1" applyBorder="1" applyAlignment="1" applyProtection="1">
      <alignment horizontal="center" vertical="center"/>
      <protection locked="0"/>
    </xf>
    <xf numFmtId="0" fontId="5" fillId="12" borderId="84" xfId="0" applyFont="1" applyFill="1" applyBorder="1" applyAlignment="1" applyProtection="1">
      <alignment horizontal="center" vertical="center"/>
      <protection locked="0"/>
    </xf>
    <xf numFmtId="0" fontId="5" fillId="12" borderId="177" xfId="0" applyFont="1" applyFill="1" applyBorder="1" applyAlignment="1" applyProtection="1">
      <alignment vertical="center"/>
      <protection locked="0"/>
    </xf>
    <xf numFmtId="0" fontId="5" fillId="12" borderId="180" xfId="0" applyFont="1" applyFill="1" applyBorder="1" applyAlignment="1" applyProtection="1">
      <alignment horizontal="center" vertical="center"/>
      <protection locked="0"/>
    </xf>
    <xf numFmtId="164" fontId="5" fillId="12" borderId="0" xfId="0" applyNumberFormat="1" applyFont="1" applyFill="1" applyBorder="1" applyAlignment="1" applyProtection="1">
      <alignment vertical="center"/>
      <protection locked="0"/>
    </xf>
    <xf numFmtId="164" fontId="5" fillId="12" borderId="66" xfId="0" applyNumberFormat="1" applyFont="1" applyFill="1" applyBorder="1" applyAlignment="1" applyProtection="1">
      <alignment vertical="center"/>
      <protection locked="0"/>
    </xf>
    <xf numFmtId="0" fontId="5" fillId="12" borderId="77" xfId="0" applyFont="1" applyFill="1" applyBorder="1" applyAlignment="1" applyProtection="1">
      <alignment vertical="center"/>
      <protection locked="0"/>
    </xf>
    <xf numFmtId="10" fontId="5" fillId="12" borderId="62" xfId="10" applyNumberFormat="1" applyFont="1" applyFill="1" applyBorder="1" applyAlignment="1" applyProtection="1">
      <alignment vertical="center"/>
      <protection locked="0"/>
    </xf>
    <xf numFmtId="0" fontId="5" fillId="12" borderId="185" xfId="0" applyFont="1" applyFill="1" applyBorder="1" applyAlignment="1" applyProtection="1">
      <alignment vertical="center"/>
      <protection locked="0"/>
    </xf>
    <xf numFmtId="172" fontId="5" fillId="12" borderId="0" xfId="0" applyNumberFormat="1" applyFont="1" applyFill="1" applyBorder="1" applyAlignment="1" applyProtection="1">
      <alignment vertical="center"/>
      <protection locked="0"/>
    </xf>
    <xf numFmtId="172" fontId="5" fillId="12" borderId="66" xfId="0" applyNumberFormat="1" applyFont="1" applyFill="1" applyBorder="1" applyAlignment="1" applyProtection="1">
      <alignment vertical="center"/>
      <protection locked="0"/>
    </xf>
    <xf numFmtId="0" fontId="5" fillId="12" borderId="87" xfId="0" applyFont="1" applyFill="1" applyBorder="1" applyAlignment="1" applyProtection="1">
      <alignment vertical="center"/>
      <protection locked="0"/>
    </xf>
    <xf numFmtId="10" fontId="5" fillId="12" borderId="88" xfId="10" applyNumberFormat="1" applyFont="1" applyFill="1" applyBorder="1" applyAlignment="1" applyProtection="1">
      <alignment vertical="center"/>
      <protection locked="0"/>
    </xf>
    <xf numFmtId="0" fontId="19" fillId="12" borderId="105" xfId="0" applyFont="1" applyFill="1" applyBorder="1" applyAlignment="1" applyProtection="1">
      <alignment vertical="center"/>
    </xf>
    <xf numFmtId="0" fontId="8" fillId="12" borderId="106" xfId="0" applyFont="1" applyFill="1" applyBorder="1" applyAlignment="1" applyProtection="1">
      <alignment vertical="center"/>
    </xf>
    <xf numFmtId="0" fontId="8" fillId="12" borderId="107" xfId="0" applyFont="1" applyFill="1" applyBorder="1" applyAlignment="1" applyProtection="1">
      <alignment vertical="center"/>
    </xf>
    <xf numFmtId="0" fontId="8" fillId="12" borderId="158" xfId="0" applyFont="1" applyFill="1" applyBorder="1" applyAlignment="1" applyProtection="1">
      <alignment vertical="center"/>
      <protection locked="0"/>
    </xf>
    <xf numFmtId="0" fontId="8" fillId="12" borderId="67" xfId="0" applyFont="1" applyFill="1" applyBorder="1" applyAlignment="1" applyProtection="1">
      <alignment vertical="center"/>
      <protection locked="0"/>
    </xf>
    <xf numFmtId="0" fontId="8" fillId="12" borderId="157" xfId="0" applyFont="1" applyFill="1" applyBorder="1" applyAlignment="1" applyProtection="1">
      <alignment vertical="center"/>
      <protection locked="0"/>
    </xf>
    <xf numFmtId="0" fontId="8" fillId="12" borderId="55" xfId="0" applyFont="1" applyFill="1" applyBorder="1" applyAlignment="1" applyProtection="1">
      <alignment vertical="center"/>
      <protection locked="0"/>
    </xf>
    <xf numFmtId="0" fontId="8" fillId="12" borderId="56" xfId="0" applyFont="1" applyFill="1" applyBorder="1" applyAlignment="1" applyProtection="1">
      <alignment vertical="center"/>
      <protection locked="0"/>
    </xf>
    <xf numFmtId="0" fontId="8" fillId="12" borderId="57" xfId="0" applyFont="1" applyFill="1" applyBorder="1" applyAlignment="1" applyProtection="1">
      <alignment vertical="center"/>
      <protection locked="0"/>
    </xf>
    <xf numFmtId="0" fontId="44" fillId="12" borderId="0" xfId="0" applyFont="1" applyFill="1"/>
    <xf numFmtId="0" fontId="38" fillId="12" borderId="108" xfId="0" applyFont="1" applyFill="1" applyBorder="1" applyAlignment="1">
      <alignment wrapText="1"/>
    </xf>
    <xf numFmtId="0" fontId="44" fillId="12" borderId="108" xfId="0" applyFont="1" applyFill="1" applyBorder="1" applyAlignment="1">
      <alignment horizontal="right" wrapText="1"/>
    </xf>
    <xf numFmtId="0" fontId="38" fillId="12" borderId="108" xfId="0" applyFont="1" applyFill="1" applyBorder="1"/>
    <xf numFmtId="0" fontId="38" fillId="12" borderId="108" xfId="0" applyFont="1" applyFill="1" applyBorder="1" applyAlignment="1">
      <alignment horizontal="right" wrapText="1"/>
    </xf>
    <xf numFmtId="0" fontId="44" fillId="12" borderId="108" xfId="0" applyFont="1" applyFill="1" applyBorder="1" applyAlignment="1">
      <alignment wrapText="1"/>
    </xf>
    <xf numFmtId="10" fontId="44" fillId="12" borderId="109" xfId="10" applyNumberFormat="1" applyFont="1" applyFill="1" applyBorder="1" applyAlignment="1">
      <alignment horizontal="right" wrapText="1"/>
    </xf>
    <xf numFmtId="0" fontId="44" fillId="12" borderId="108" xfId="0" applyFont="1" applyFill="1" applyBorder="1"/>
    <xf numFmtId="171" fontId="44" fillId="12" borderId="108" xfId="0" applyNumberFormat="1" applyFont="1" applyFill="1" applyBorder="1" applyAlignment="1">
      <alignment horizontal="right" wrapText="1"/>
    </xf>
    <xf numFmtId="0" fontId="44" fillId="12" borderId="109" xfId="0" applyFont="1" applyFill="1" applyBorder="1" applyAlignment="1">
      <alignment horizontal="right" wrapText="1"/>
    </xf>
    <xf numFmtId="171" fontId="38" fillId="12" borderId="108" xfId="0" applyNumberFormat="1" applyFont="1" applyFill="1" applyBorder="1" applyAlignment="1">
      <alignment horizontal="right" wrapText="1"/>
    </xf>
    <xf numFmtId="9" fontId="44" fillId="12" borderId="108" xfId="10" applyFont="1" applyFill="1" applyBorder="1" applyAlignment="1">
      <alignment horizontal="right" wrapText="1"/>
    </xf>
    <xf numFmtId="173" fontId="44" fillId="12" borderId="108" xfId="0" applyNumberFormat="1" applyFont="1" applyFill="1" applyBorder="1" applyAlignment="1">
      <alignment horizontal="right" wrapText="1"/>
    </xf>
    <xf numFmtId="173" fontId="38" fillId="12" borderId="108" xfId="0" applyNumberFormat="1" applyFont="1" applyFill="1" applyBorder="1" applyAlignment="1">
      <alignment horizontal="right" wrapText="1"/>
    </xf>
    <xf numFmtId="3" fontId="44" fillId="12" borderId="108" xfId="0" applyNumberFormat="1" applyFont="1" applyFill="1" applyBorder="1"/>
    <xf numFmtId="3" fontId="38" fillId="12" borderId="108" xfId="0" applyNumberFormat="1" applyFont="1" applyFill="1" applyBorder="1"/>
    <xf numFmtId="9" fontId="38" fillId="12" borderId="108" xfId="10" applyFont="1" applyFill="1" applyBorder="1" applyAlignment="1">
      <alignment horizontal="right" wrapText="1"/>
    </xf>
    <xf numFmtId="168" fontId="44" fillId="12" borderId="109" xfId="1" applyFont="1" applyFill="1" applyBorder="1" applyAlignment="1">
      <alignment horizontal="right" wrapText="1"/>
    </xf>
    <xf numFmtId="171" fontId="44" fillId="12" borderId="108" xfId="0" applyNumberFormat="1" applyFont="1" applyFill="1" applyBorder="1" applyAlignment="1">
      <alignment wrapText="1"/>
    </xf>
    <xf numFmtId="3" fontId="44" fillId="12" borderId="108" xfId="0" applyNumberFormat="1" applyFont="1" applyFill="1" applyBorder="1" applyAlignment="1">
      <alignment horizontal="right" wrapText="1"/>
    </xf>
    <xf numFmtId="3" fontId="38" fillId="12" borderId="108" xfId="0" applyNumberFormat="1" applyFont="1" applyFill="1" applyBorder="1" applyAlignment="1">
      <alignment horizontal="right" wrapText="1"/>
    </xf>
    <xf numFmtId="188" fontId="38" fillId="12" borderId="108" xfId="0" applyNumberFormat="1" applyFont="1" applyFill="1" applyBorder="1" applyAlignment="1">
      <alignment horizontal="right" wrapText="1"/>
    </xf>
    <xf numFmtId="0" fontId="64" fillId="12" borderId="0" xfId="0" applyFont="1" applyFill="1"/>
    <xf numFmtId="179" fontId="64" fillId="12" borderId="0" xfId="0" applyNumberFormat="1" applyFont="1" applyFill="1" applyBorder="1" applyAlignment="1" applyProtection="1">
      <alignment horizontal="left"/>
      <protection locked="0"/>
    </xf>
    <xf numFmtId="0" fontId="38" fillId="12" borderId="0" xfId="0" applyFont="1" applyFill="1"/>
    <xf numFmtId="3" fontId="44" fillId="12" borderId="0" xfId="0" applyNumberFormat="1" applyFont="1" applyFill="1"/>
    <xf numFmtId="173" fontId="35" fillId="12" borderId="0" xfId="0" applyNumberFormat="1" applyFont="1" applyFill="1" applyAlignment="1">
      <alignment horizontal="center" vertical="center"/>
    </xf>
    <xf numFmtId="0" fontId="60" fillId="12" borderId="0" xfId="0" applyFont="1" applyFill="1" applyAlignment="1">
      <alignment vertical="top"/>
    </xf>
    <xf numFmtId="0" fontId="35" fillId="12" borderId="0" xfId="0" applyFont="1" applyFill="1" applyAlignment="1">
      <alignment horizontal="right"/>
    </xf>
    <xf numFmtId="0" fontId="65" fillId="12" borderId="0" xfId="0" applyFont="1" applyFill="1"/>
    <xf numFmtId="0" fontId="67" fillId="12" borderId="0" xfId="0" applyFont="1" applyFill="1"/>
    <xf numFmtId="0" fontId="67" fillId="12" borderId="219" xfId="0" applyFont="1" applyFill="1" applyBorder="1"/>
    <xf numFmtId="0" fontId="65" fillId="12" borderId="219" xfId="0" applyFont="1" applyFill="1" applyBorder="1"/>
    <xf numFmtId="0" fontId="66" fillId="12" borderId="0" xfId="0" applyFont="1" applyFill="1"/>
    <xf numFmtId="49" fontId="65" fillId="12" borderId="0" xfId="0" applyNumberFormat="1" applyFont="1" applyFill="1"/>
    <xf numFmtId="0" fontId="68" fillId="12" borderId="0" xfId="0" applyFont="1" applyFill="1"/>
    <xf numFmtId="0" fontId="69" fillId="12" borderId="0" xfId="0" applyFont="1" applyFill="1" applyAlignment="1">
      <alignment horizontal="center" vertical="center"/>
    </xf>
    <xf numFmtId="0" fontId="66" fillId="12" borderId="0" xfId="0" applyFont="1" applyFill="1" applyAlignment="1"/>
    <xf numFmtId="0" fontId="67" fillId="12" borderId="220" xfId="0" applyFont="1" applyFill="1" applyBorder="1" applyAlignment="1">
      <alignment horizontal="center"/>
    </xf>
    <xf numFmtId="0" fontId="67" fillId="12" borderId="221" xfId="0" applyFont="1" applyFill="1" applyBorder="1" applyAlignment="1">
      <alignment horizontal="center"/>
    </xf>
    <xf numFmtId="3" fontId="65" fillId="12" borderId="222" xfId="0" applyNumberFormat="1" applyFont="1" applyFill="1" applyBorder="1"/>
    <xf numFmtId="3" fontId="65" fillId="12" borderId="223" xfId="0" applyNumberFormat="1" applyFont="1" applyFill="1" applyBorder="1"/>
    <xf numFmtId="0" fontId="65" fillId="12" borderId="224" xfId="0" applyFont="1" applyFill="1" applyBorder="1"/>
    <xf numFmtId="0" fontId="65" fillId="12" borderId="223" xfId="0" applyFont="1" applyFill="1" applyBorder="1"/>
    <xf numFmtId="0" fontId="65" fillId="12" borderId="222" xfId="0" applyFont="1" applyFill="1" applyBorder="1"/>
    <xf numFmtId="3" fontId="67" fillId="12" borderId="225" xfId="0" applyNumberFormat="1" applyFont="1" applyFill="1" applyBorder="1"/>
    <xf numFmtId="3" fontId="67" fillId="12" borderId="220" xfId="0" applyNumberFormat="1" applyFont="1" applyFill="1" applyBorder="1"/>
    <xf numFmtId="0" fontId="67" fillId="12" borderId="225" xfId="0" applyFont="1" applyFill="1" applyBorder="1"/>
    <xf numFmtId="0" fontId="67" fillId="12" borderId="220" xfId="0" applyFont="1" applyFill="1" applyBorder="1"/>
    <xf numFmtId="9" fontId="67" fillId="12" borderId="220" xfId="10" applyFont="1" applyFill="1" applyBorder="1"/>
    <xf numFmtId="9" fontId="67" fillId="12" borderId="223" xfId="10" applyFont="1" applyFill="1" applyBorder="1"/>
    <xf numFmtId="3" fontId="67" fillId="12" borderId="222" xfId="0" applyNumberFormat="1" applyFont="1" applyFill="1" applyBorder="1"/>
    <xf numFmtId="3" fontId="67" fillId="12" borderId="223" xfId="0" applyNumberFormat="1" applyFont="1" applyFill="1" applyBorder="1"/>
    <xf numFmtId="0" fontId="67" fillId="12" borderId="222" xfId="0" applyFont="1" applyFill="1" applyBorder="1"/>
    <xf numFmtId="0" fontId="67" fillId="12" borderId="223" xfId="0" applyFont="1" applyFill="1" applyBorder="1"/>
    <xf numFmtId="0" fontId="65" fillId="12" borderId="0" xfId="0" applyFont="1" applyFill="1" applyBorder="1"/>
    <xf numFmtId="3" fontId="65" fillId="12" borderId="0" xfId="0" applyNumberFormat="1" applyFont="1" applyFill="1" applyBorder="1"/>
    <xf numFmtId="9" fontId="67" fillId="12" borderId="0" xfId="10" applyFont="1" applyFill="1" applyBorder="1"/>
    <xf numFmtId="3" fontId="65" fillId="12" borderId="219" xfId="0" applyNumberFormat="1" applyFont="1" applyFill="1" applyBorder="1"/>
    <xf numFmtId="0" fontId="70" fillId="12" borderId="0" xfId="0" applyFont="1" applyFill="1"/>
    <xf numFmtId="0" fontId="71" fillId="12" borderId="0" xfId="0" applyFont="1" applyFill="1"/>
    <xf numFmtId="0" fontId="72" fillId="12" borderId="0" xfId="0" applyFont="1" applyFill="1"/>
    <xf numFmtId="3" fontId="65" fillId="12" borderId="0" xfId="0" applyNumberFormat="1" applyFont="1" applyFill="1"/>
    <xf numFmtId="173" fontId="35" fillId="12" borderId="0" xfId="0" applyNumberFormat="1" applyFont="1" applyFill="1" applyAlignment="1">
      <alignment horizontal="left" vertical="center"/>
    </xf>
    <xf numFmtId="0" fontId="73" fillId="12" borderId="0" xfId="0" applyFont="1" applyFill="1"/>
    <xf numFmtId="0" fontId="73" fillId="12" borderId="226" xfId="0" applyFont="1" applyFill="1" applyBorder="1"/>
    <xf numFmtId="3" fontId="71" fillId="12" borderId="0" xfId="0" applyNumberFormat="1" applyFont="1" applyFill="1"/>
    <xf numFmtId="3" fontId="71" fillId="12" borderId="226" xfId="0" applyNumberFormat="1" applyFont="1" applyFill="1" applyBorder="1"/>
    <xf numFmtId="49" fontId="71" fillId="12" borderId="0" xfId="0" applyNumberFormat="1" applyFont="1" applyFill="1"/>
    <xf numFmtId="49" fontId="71" fillId="12" borderId="219" xfId="0" applyNumberFormat="1" applyFont="1" applyFill="1" applyBorder="1"/>
    <xf numFmtId="3" fontId="71" fillId="12" borderId="219" xfId="0" applyNumberFormat="1" applyFont="1" applyFill="1" applyBorder="1"/>
    <xf numFmtId="0" fontId="5" fillId="0" borderId="0" xfId="0" applyFont="1" applyBorder="1" applyAlignment="1" applyProtection="1">
      <alignment horizontal="right" vertical="center"/>
    </xf>
    <xf numFmtId="0" fontId="44" fillId="16" borderId="227" xfId="0" applyFont="1" applyFill="1" applyBorder="1"/>
    <xf numFmtId="0" fontId="38" fillId="16" borderId="227" xfId="0" applyFont="1" applyFill="1" applyBorder="1"/>
    <xf numFmtId="0" fontId="65" fillId="16" borderId="0" xfId="0" applyFont="1" applyFill="1"/>
    <xf numFmtId="181" fontId="46" fillId="16" borderId="0" xfId="0" applyNumberFormat="1" applyFont="1" applyFill="1" applyBorder="1" applyAlignment="1" applyProtection="1">
      <alignment horizontal="right"/>
    </xf>
    <xf numFmtId="3" fontId="65" fillId="16" borderId="0" xfId="0" applyNumberFormat="1" applyFont="1" applyFill="1"/>
    <xf numFmtId="3" fontId="65" fillId="16" borderId="0" xfId="0" applyNumberFormat="1" applyFont="1" applyFill="1" applyBorder="1"/>
    <xf numFmtId="9" fontId="65" fillId="16" borderId="0" xfId="10" applyFont="1" applyFill="1"/>
    <xf numFmtId="0" fontId="65" fillId="16" borderId="227" xfId="0" applyFont="1" applyFill="1" applyBorder="1"/>
    <xf numFmtId="179" fontId="38" fillId="16" borderId="227" xfId="0" applyNumberFormat="1" applyFont="1" applyFill="1" applyBorder="1" applyAlignment="1" applyProtection="1">
      <alignment horizontal="right"/>
      <protection locked="0"/>
    </xf>
    <xf numFmtId="181" fontId="46" fillId="16" borderId="227" xfId="0" applyNumberFormat="1" applyFont="1" applyFill="1" applyBorder="1" applyAlignment="1" applyProtection="1">
      <alignment horizontal="right"/>
    </xf>
    <xf numFmtId="3" fontId="65" fillId="16" borderId="227" xfId="0" applyNumberFormat="1" applyFont="1" applyFill="1" applyBorder="1"/>
    <xf numFmtId="9" fontId="65" fillId="16" borderId="227" xfId="10" applyFont="1" applyFill="1" applyBorder="1"/>
    <xf numFmtId="179" fontId="67" fillId="16" borderId="0" xfId="0" applyNumberFormat="1" applyFont="1" applyFill="1"/>
    <xf numFmtId="0" fontId="67" fillId="16" borderId="0" xfId="0" applyFont="1" applyFill="1"/>
    <xf numFmtId="182" fontId="44" fillId="16" borderId="0" xfId="0" applyNumberFormat="1" applyFont="1" applyFill="1" applyBorder="1" applyAlignment="1">
      <alignment horizontal="right" wrapText="1"/>
    </xf>
    <xf numFmtId="0" fontId="74" fillId="12" borderId="0" xfId="0" applyFont="1" applyFill="1" applyAlignment="1"/>
    <xf numFmtId="0" fontId="75" fillId="12" borderId="0" xfId="0" applyFont="1" applyFill="1" applyAlignment="1"/>
    <xf numFmtId="171" fontId="76" fillId="12" borderId="0" xfId="0" applyNumberFormat="1" applyFont="1" applyFill="1" applyAlignment="1">
      <alignment horizontal="left"/>
    </xf>
    <xf numFmtId="0" fontId="77" fillId="12" borderId="0" xfId="0" applyFont="1" applyFill="1" applyAlignment="1">
      <alignment vertical="top"/>
    </xf>
    <xf numFmtId="189" fontId="64" fillId="12" borderId="0" xfId="1" applyNumberFormat="1" applyFont="1" applyFill="1"/>
    <xf numFmtId="0" fontId="65" fillId="12" borderId="0" xfId="0" applyFont="1" applyFill="1" applyAlignment="1">
      <alignment horizontal="center" vertical="center" wrapText="1"/>
    </xf>
    <xf numFmtId="171" fontId="67" fillId="12" borderId="0" xfId="0" applyNumberFormat="1" applyFont="1" applyFill="1" applyAlignment="1">
      <alignment horizontal="center"/>
    </xf>
    <xf numFmtId="171" fontId="67" fillId="12" borderId="0" xfId="0" applyNumberFormat="1" applyFont="1" applyFill="1" applyAlignment="1">
      <alignment horizontal="left"/>
    </xf>
    <xf numFmtId="190" fontId="67" fillId="12" borderId="0" xfId="0" applyNumberFormat="1" applyFont="1" applyFill="1"/>
    <xf numFmtId="9" fontId="78" fillId="12" borderId="0" xfId="10" applyFont="1" applyFill="1" applyAlignment="1">
      <alignment horizontal="left" vertical="center"/>
    </xf>
    <xf numFmtId="0" fontId="67" fillId="12" borderId="53" xfId="0" applyFont="1" applyFill="1" applyBorder="1" applyAlignment="1">
      <alignment horizontal="right"/>
    </xf>
    <xf numFmtId="0" fontId="67" fillId="12" borderId="53" xfId="0" applyFont="1" applyFill="1" applyBorder="1" applyAlignment="1">
      <alignment horizontal="center"/>
    </xf>
    <xf numFmtId="3" fontId="65" fillId="12" borderId="0" xfId="0" applyNumberFormat="1" applyFont="1" applyFill="1" applyAlignment="1">
      <alignment horizontal="center"/>
    </xf>
    <xf numFmtId="3" fontId="65" fillId="12" borderId="53" xfId="0" applyNumberFormat="1" applyFont="1" applyFill="1" applyBorder="1"/>
    <xf numFmtId="3" fontId="65" fillId="12" borderId="53" xfId="0" applyNumberFormat="1" applyFont="1" applyFill="1" applyBorder="1" applyAlignment="1">
      <alignment horizontal="center"/>
    </xf>
    <xf numFmtId="3" fontId="67" fillId="12" borderId="0" xfId="0" applyNumberFormat="1" applyFont="1" applyFill="1"/>
    <xf numFmtId="0" fontId="65" fillId="12" borderId="228" xfId="0" applyFont="1" applyFill="1" applyBorder="1"/>
    <xf numFmtId="0" fontId="65" fillId="12" borderId="53" xfId="0" applyFont="1" applyFill="1" applyBorder="1" applyAlignment="1">
      <alignment horizontal="center" vertical="center" wrapText="1"/>
    </xf>
    <xf numFmtId="0" fontId="67" fillId="12" borderId="74" xfId="0" applyFont="1" applyFill="1" applyBorder="1" applyAlignment="1">
      <alignment horizontal="center" vertical="center" wrapText="1"/>
    </xf>
    <xf numFmtId="0" fontId="67" fillId="12" borderId="0" xfId="0" applyFont="1" applyFill="1" applyBorder="1" applyAlignment="1">
      <alignment horizontal="center" vertical="center" wrapText="1"/>
    </xf>
    <xf numFmtId="0" fontId="77" fillId="12" borderId="74" xfId="0" applyFont="1" applyFill="1" applyBorder="1" applyAlignment="1">
      <alignment horizontal="center" vertical="center" wrapText="1"/>
    </xf>
    <xf numFmtId="0" fontId="79" fillId="12" borderId="0" xfId="0" applyFont="1" applyFill="1" applyBorder="1" applyAlignment="1">
      <alignment horizontal="center" vertical="center" wrapText="1"/>
    </xf>
    <xf numFmtId="0" fontId="65" fillId="12" borderId="0" xfId="0" applyNumberFormat="1" applyFont="1" applyFill="1" applyAlignment="1">
      <alignment horizontal="right"/>
    </xf>
    <xf numFmtId="190" fontId="65" fillId="12" borderId="71" xfId="1" applyNumberFormat="1" applyFont="1" applyFill="1" applyBorder="1"/>
    <xf numFmtId="190" fontId="65" fillId="12" borderId="0" xfId="1" applyNumberFormat="1" applyFont="1" applyFill="1" applyBorder="1"/>
    <xf numFmtId="169" fontId="65" fillId="12" borderId="71" xfId="10" applyNumberFormat="1" applyFont="1" applyFill="1" applyBorder="1"/>
    <xf numFmtId="3" fontId="65" fillId="12" borderId="0" xfId="0" applyNumberFormat="1" applyFont="1" applyFill="1" applyAlignment="1">
      <alignment horizontal="right"/>
    </xf>
    <xf numFmtId="169" fontId="5" fillId="0" borderId="0" xfId="10" applyNumberFormat="1" applyFont="1" applyAlignment="1" applyProtection="1">
      <alignment horizontal="center" vertical="center"/>
      <protection locked="0"/>
    </xf>
    <xf numFmtId="15" fontId="9" fillId="0" borderId="0" xfId="0" applyNumberFormat="1" applyFont="1" applyBorder="1" applyAlignment="1" applyProtection="1">
      <alignment horizontal="center" vertical="center"/>
    </xf>
    <xf numFmtId="15" fontId="5" fillId="0" borderId="0" xfId="0" applyNumberFormat="1" applyFont="1" applyBorder="1" applyAlignment="1" applyProtection="1">
      <alignment vertical="center"/>
    </xf>
    <xf numFmtId="15" fontId="9" fillId="0" borderId="39" xfId="0" applyNumberFormat="1" applyFont="1" applyBorder="1" applyAlignment="1" applyProtection="1">
      <alignment horizontal="center" vertical="center"/>
    </xf>
    <xf numFmtId="169" fontId="5" fillId="0" borderId="0" xfId="10" applyNumberFormat="1" applyFont="1" applyAlignment="1" applyProtection="1">
      <alignment vertical="center"/>
      <protection locked="0"/>
    </xf>
    <xf numFmtId="169" fontId="5" fillId="0" borderId="39" xfId="10" applyNumberFormat="1" applyFont="1" applyBorder="1" applyAlignment="1" applyProtection="1">
      <alignment horizontal="right" vertical="center"/>
    </xf>
    <xf numFmtId="173" fontId="5" fillId="0" borderId="39" xfId="0" applyNumberFormat="1" applyFont="1" applyBorder="1" applyAlignment="1" applyProtection="1">
      <alignment horizontal="right" vertical="center"/>
      <protection locked="0"/>
    </xf>
    <xf numFmtId="3" fontId="5" fillId="0" borderId="39" xfId="0" applyNumberFormat="1" applyFont="1" applyBorder="1" applyAlignment="1" applyProtection="1">
      <alignment horizontal="right" vertical="center"/>
      <protection locked="0"/>
    </xf>
    <xf numFmtId="173" fontId="9" fillId="0" borderId="0" xfId="0" applyNumberFormat="1" applyFont="1" applyBorder="1" applyAlignment="1" applyProtection="1">
      <alignment horizontal="center" vertical="center"/>
      <protection locked="0"/>
    </xf>
    <xf numFmtId="169" fontId="9" fillId="0" borderId="0" xfId="10" applyNumberFormat="1" applyFont="1" applyAlignment="1" applyProtection="1">
      <alignment horizontal="center" vertical="center"/>
      <protection locked="0"/>
    </xf>
    <xf numFmtId="169" fontId="5" fillId="0" borderId="0" xfId="10" applyNumberFormat="1" applyFont="1" applyBorder="1" applyAlignment="1" applyProtection="1">
      <alignment horizontal="center" vertical="center"/>
    </xf>
    <xf numFmtId="169" fontId="9" fillId="0" borderId="0" xfId="10" applyNumberFormat="1" applyFont="1" applyBorder="1" applyAlignment="1" applyProtection="1">
      <alignment horizontal="center" vertical="center"/>
    </xf>
    <xf numFmtId="0" fontId="62" fillId="10" borderId="77" xfId="0" applyFont="1" applyFill="1" applyBorder="1" applyAlignment="1" applyProtection="1">
      <alignment vertical="center"/>
      <protection locked="0"/>
    </xf>
    <xf numFmtId="0" fontId="62" fillId="10" borderId="87" xfId="0" applyFont="1" applyFill="1" applyBorder="1" applyAlignment="1" applyProtection="1">
      <alignment vertical="center"/>
      <protection locked="0"/>
    </xf>
    <xf numFmtId="2" fontId="5" fillId="0" borderId="0" xfId="0" applyNumberFormat="1" applyFont="1" applyAlignment="1" applyProtection="1">
      <alignment vertical="center"/>
      <protection locked="0"/>
    </xf>
    <xf numFmtId="171" fontId="5" fillId="0" borderId="0" xfId="0" applyNumberFormat="1" applyFont="1" applyAlignment="1" applyProtection="1">
      <alignment vertical="center"/>
      <protection locked="0"/>
    </xf>
    <xf numFmtId="3" fontId="65" fillId="12" borderId="53" xfId="0" applyNumberFormat="1" applyFont="1" applyFill="1" applyBorder="1" applyAlignment="1">
      <alignment horizontal="right"/>
    </xf>
    <xf numFmtId="9" fontId="65" fillId="12" borderId="0" xfId="10" applyFont="1" applyFill="1"/>
    <xf numFmtId="9" fontId="65" fillId="12" borderId="53" xfId="10" applyFont="1" applyFill="1" applyBorder="1"/>
    <xf numFmtId="9" fontId="67" fillId="12" borderId="0" xfId="10" applyFont="1" applyFill="1"/>
    <xf numFmtId="0" fontId="67" fillId="12" borderId="53" xfId="0" applyFont="1" applyFill="1" applyBorder="1" applyAlignment="1">
      <alignment horizontal="center"/>
    </xf>
    <xf numFmtId="3" fontId="5" fillId="0" borderId="0" xfId="0" applyNumberFormat="1" applyFont="1" applyAlignment="1" applyProtection="1">
      <alignment vertical="center"/>
      <protection locked="0"/>
    </xf>
    <xf numFmtId="1" fontId="5" fillId="0" borderId="0" xfId="0" applyNumberFormat="1" applyFont="1" applyAlignment="1" applyProtection="1">
      <alignment vertical="center"/>
      <protection locked="0"/>
    </xf>
    <xf numFmtId="173" fontId="9" fillId="0" borderId="39" xfId="0" applyNumberFormat="1" applyFont="1" applyBorder="1" applyAlignment="1" applyProtection="1">
      <alignment horizontal="center" vertical="center"/>
      <protection locked="0"/>
    </xf>
    <xf numFmtId="169" fontId="22" fillId="0" borderId="120" xfId="0" applyNumberFormat="1" applyFont="1" applyBorder="1" applyAlignment="1">
      <alignment vertical="top"/>
    </xf>
    <xf numFmtId="169" fontId="22" fillId="0" borderId="186" xfId="0" applyNumberFormat="1" applyFont="1" applyBorder="1" applyAlignment="1">
      <alignment vertical="top"/>
    </xf>
    <xf numFmtId="0" fontId="15" fillId="17" borderId="58" xfId="0" applyFont="1" applyFill="1" applyBorder="1" applyAlignment="1" applyProtection="1"/>
    <xf numFmtId="0" fontId="15" fillId="18" borderId="58" xfId="0" applyFont="1" applyFill="1" applyBorder="1" applyAlignment="1" applyProtection="1"/>
    <xf numFmtId="17" fontId="65" fillId="12" borderId="0" xfId="0" applyNumberFormat="1" applyFont="1" applyFill="1" applyAlignment="1">
      <alignment horizontal="right"/>
    </xf>
    <xf numFmtId="14" fontId="5" fillId="0" borderId="0" xfId="0" applyNumberFormat="1" applyFont="1" applyBorder="1" applyAlignment="1" applyProtection="1">
      <alignment horizontal="center" vertical="center"/>
    </xf>
    <xf numFmtId="0" fontId="0" fillId="0" borderId="187" xfId="0" applyBorder="1" applyAlignment="1" applyProtection="1">
      <alignment vertical="top"/>
      <protection locked="0"/>
    </xf>
    <xf numFmtId="0" fontId="0" fillId="0" borderId="0" xfId="0" applyBorder="1" applyAlignment="1" applyProtection="1">
      <alignment vertical="top"/>
      <protection locked="0"/>
    </xf>
    <xf numFmtId="0" fontId="0" fillId="0" borderId="188" xfId="0" applyBorder="1" applyAlignment="1" applyProtection="1">
      <alignment vertical="top"/>
      <protection locked="0"/>
    </xf>
    <xf numFmtId="0" fontId="4" fillId="0" borderId="0" xfId="0" applyFont="1"/>
    <xf numFmtId="4" fontId="15" fillId="7" borderId="58" xfId="0" applyNumberFormat="1" applyFont="1" applyFill="1" applyBorder="1" applyAlignment="1" applyProtection="1">
      <alignment vertical="top"/>
    </xf>
    <xf numFmtId="4" fontId="15" fillId="10" borderId="58" xfId="0" applyNumberFormat="1" applyFont="1" applyFill="1" applyBorder="1" applyAlignment="1" applyProtection="1">
      <alignment vertical="top"/>
      <protection locked="0"/>
    </xf>
    <xf numFmtId="4" fontId="4" fillId="7" borderId="58" xfId="0" applyNumberFormat="1" applyFont="1" applyFill="1" applyBorder="1" applyAlignment="1" applyProtection="1">
      <alignment vertical="top"/>
    </xf>
    <xf numFmtId="4" fontId="12" fillId="5" borderId="58" xfId="0" applyNumberFormat="1" applyFont="1" applyFill="1" applyBorder="1" applyAlignment="1" applyProtection="1">
      <alignment horizontal="right" vertical="top"/>
    </xf>
    <xf numFmtId="0" fontId="4" fillId="8" borderId="58" xfId="0" applyFont="1" applyFill="1" applyBorder="1" applyProtection="1"/>
    <xf numFmtId="4" fontId="12" fillId="5" borderId="43" xfId="0" applyNumberFormat="1" applyFont="1" applyFill="1" applyBorder="1" applyAlignment="1" applyProtection="1">
      <alignment vertical="top"/>
    </xf>
    <xf numFmtId="10" fontId="12" fillId="5" borderId="43" xfId="10" applyNumberFormat="1" applyFont="1" applyFill="1" applyBorder="1" applyAlignment="1" applyProtection="1">
      <alignment vertical="top"/>
    </xf>
    <xf numFmtId="168" fontId="12" fillId="5" borderId="43" xfId="1" applyFont="1" applyFill="1" applyBorder="1" applyAlignment="1" applyProtection="1">
      <alignment vertical="top"/>
    </xf>
    <xf numFmtId="168" fontId="12" fillId="5" borderId="58" xfId="1" applyFont="1" applyFill="1" applyBorder="1" applyAlignment="1" applyProtection="1">
      <alignment vertical="top"/>
    </xf>
    <xf numFmtId="16" fontId="12" fillId="21" borderId="229" xfId="0" quotePrefix="1" applyNumberFormat="1" applyFont="1" applyFill="1" applyBorder="1" applyAlignment="1">
      <alignment horizontal="center"/>
    </xf>
    <xf numFmtId="16" fontId="12" fillId="22" borderId="85" xfId="0" quotePrefix="1" applyNumberFormat="1" applyFont="1" applyFill="1" applyBorder="1" applyAlignment="1">
      <alignment horizontal="center"/>
    </xf>
    <xf numFmtId="0" fontId="12" fillId="20" borderId="85" xfId="0" quotePrefix="1" applyFont="1" applyFill="1" applyBorder="1" applyAlignment="1">
      <alignment horizontal="center"/>
    </xf>
    <xf numFmtId="0" fontId="12" fillId="17" borderId="86" xfId="0" quotePrefix="1" applyFont="1" applyFill="1" applyBorder="1" applyAlignment="1">
      <alignment horizontal="center"/>
    </xf>
    <xf numFmtId="4" fontId="12" fillId="5" borderId="58" xfId="0" applyNumberFormat="1" applyFont="1" applyFill="1" applyBorder="1" applyAlignment="1" applyProtection="1">
      <alignment vertical="top"/>
    </xf>
    <xf numFmtId="0" fontId="0" fillId="23" borderId="0" xfId="0" applyFill="1"/>
    <xf numFmtId="0" fontId="0" fillId="23" borderId="0" xfId="0" applyFill="1" applyBorder="1" applyAlignment="1">
      <alignment horizontal="center"/>
    </xf>
    <xf numFmtId="0" fontId="12" fillId="23" borderId="0" xfId="0" quotePrefix="1" applyFont="1" applyFill="1" applyBorder="1" applyAlignment="1">
      <alignment horizontal="center"/>
    </xf>
    <xf numFmtId="0" fontId="83" fillId="23" borderId="0" xfId="0" applyFont="1" applyFill="1" applyBorder="1" applyAlignment="1" applyProtection="1">
      <alignment horizontal="center"/>
    </xf>
    <xf numFmtId="4" fontId="12" fillId="23" borderId="0" xfId="0" applyNumberFormat="1" applyFont="1" applyFill="1" applyBorder="1" applyAlignment="1" applyProtection="1">
      <alignment vertical="top"/>
    </xf>
    <xf numFmtId="4" fontId="15" fillId="23" borderId="0" xfId="0" applyNumberFormat="1" applyFont="1" applyFill="1" applyBorder="1" applyAlignment="1" applyProtection="1">
      <alignment vertical="top"/>
    </xf>
    <xf numFmtId="0" fontId="15" fillId="23" borderId="0" xfId="0" applyFont="1" applyFill="1" applyBorder="1" applyProtection="1"/>
    <xf numFmtId="4" fontId="15" fillId="23" borderId="0" xfId="0" applyNumberFormat="1" applyFont="1" applyFill="1" applyBorder="1" applyAlignment="1" applyProtection="1">
      <alignment vertical="top"/>
      <protection locked="0"/>
    </xf>
    <xf numFmtId="4" fontId="12" fillId="23" borderId="0" xfId="0" applyNumberFormat="1" applyFont="1" applyFill="1" applyBorder="1" applyAlignment="1" applyProtection="1">
      <alignment horizontal="right" vertical="top"/>
    </xf>
    <xf numFmtId="168" fontId="12" fillId="23" borderId="0" xfId="1" applyFont="1" applyFill="1" applyBorder="1" applyAlignment="1" applyProtection="1">
      <alignment vertical="top"/>
    </xf>
    <xf numFmtId="165" fontId="0" fillId="0" borderId="0" xfId="0" applyNumberFormat="1" applyAlignment="1"/>
    <xf numFmtId="0" fontId="0" fillId="0" borderId="0" xfId="0" applyFill="1"/>
    <xf numFmtId="0" fontId="0" fillId="0" borderId="0" xfId="0" applyFill="1" applyBorder="1" applyAlignment="1">
      <alignment horizontal="center"/>
    </xf>
    <xf numFmtId="0" fontId="12" fillId="0" borderId="0" xfId="0" quotePrefix="1" applyFont="1" applyFill="1" applyBorder="1" applyAlignment="1">
      <alignment horizontal="center"/>
    </xf>
    <xf numFmtId="0" fontId="83" fillId="0" borderId="0" xfId="0" applyFont="1" applyFill="1" applyBorder="1" applyAlignment="1" applyProtection="1">
      <alignment horizontal="center"/>
    </xf>
    <xf numFmtId="4" fontId="12" fillId="0" borderId="0" xfId="0" applyNumberFormat="1" applyFont="1" applyFill="1" applyBorder="1" applyAlignment="1" applyProtection="1">
      <alignment vertical="top"/>
    </xf>
    <xf numFmtId="4" fontId="15" fillId="0" borderId="0" xfId="0" applyNumberFormat="1" applyFont="1" applyFill="1" applyBorder="1" applyAlignment="1" applyProtection="1">
      <alignment vertical="top"/>
    </xf>
    <xf numFmtId="0" fontId="15" fillId="0" borderId="0" xfId="0" applyFont="1" applyFill="1" applyBorder="1" applyProtection="1"/>
    <xf numFmtId="4" fontId="15" fillId="0" borderId="0" xfId="0" applyNumberFormat="1" applyFont="1" applyFill="1" applyBorder="1" applyAlignment="1" applyProtection="1">
      <alignment vertical="top"/>
      <protection locked="0"/>
    </xf>
    <xf numFmtId="4" fontId="12" fillId="0" borderId="0" xfId="0" applyNumberFormat="1" applyFont="1" applyFill="1" applyBorder="1" applyAlignment="1" applyProtection="1">
      <alignment horizontal="right" vertical="top"/>
    </xf>
    <xf numFmtId="168" fontId="12" fillId="0" borderId="0" xfId="1" applyFont="1" applyFill="1" applyBorder="1" applyAlignment="1" applyProtection="1">
      <alignment vertical="top"/>
    </xf>
    <xf numFmtId="165" fontId="85" fillId="0" borderId="189" xfId="0" applyNumberFormat="1" applyFont="1" applyBorder="1" applyAlignment="1"/>
    <xf numFmtId="165" fontId="85" fillId="0" borderId="104" xfId="0" applyNumberFormat="1" applyFont="1" applyBorder="1"/>
    <xf numFmtId="4" fontId="84" fillId="7" borderId="183" xfId="0" applyNumberFormat="1" applyFont="1" applyFill="1" applyBorder="1" applyAlignment="1" applyProtection="1">
      <alignment horizontal="center" vertical="center"/>
    </xf>
    <xf numFmtId="4" fontId="84" fillId="10" borderId="180" xfId="0" applyNumberFormat="1" applyFont="1" applyFill="1" applyBorder="1" applyAlignment="1" applyProtection="1">
      <alignment horizontal="center" vertical="center"/>
      <protection locked="0"/>
    </xf>
    <xf numFmtId="0" fontId="0" fillId="0" borderId="35" xfId="0" applyFill="1" applyBorder="1"/>
    <xf numFmtId="0" fontId="4" fillId="0" borderId="38" xfId="0" applyFont="1" applyFill="1" applyBorder="1"/>
    <xf numFmtId="0" fontId="4" fillId="0" borderId="0" xfId="0" applyFont="1" applyFill="1" applyBorder="1"/>
    <xf numFmtId="0" fontId="4" fillId="0" borderId="39" xfId="0" applyFont="1" applyFill="1" applyBorder="1"/>
    <xf numFmtId="0" fontId="0" fillId="0" borderId="0" xfId="0" applyFill="1" applyBorder="1"/>
    <xf numFmtId="0" fontId="0" fillId="0" borderId="39" xfId="0" applyFill="1" applyBorder="1"/>
    <xf numFmtId="0" fontId="4" fillId="0" borderId="55" xfId="0" applyFont="1" applyFill="1" applyBorder="1"/>
    <xf numFmtId="0" fontId="4" fillId="0" borderId="56" xfId="0" applyFont="1" applyFill="1" applyBorder="1"/>
    <xf numFmtId="0" fontId="4" fillId="0" borderId="57" xfId="0" applyFont="1" applyFill="1" applyBorder="1"/>
    <xf numFmtId="0" fontId="0" fillId="0" borderId="70" xfId="0" applyFill="1" applyBorder="1"/>
    <xf numFmtId="0" fontId="0" fillId="0" borderId="189" xfId="0" applyFill="1" applyBorder="1"/>
    <xf numFmtId="175" fontId="9" fillId="5" borderId="230" xfId="7" applyNumberFormat="1" applyFont="1" applyFill="1" applyBorder="1" applyAlignment="1">
      <alignment horizontal="center"/>
    </xf>
    <xf numFmtId="175" fontId="9" fillId="5" borderId="231" xfId="7" applyNumberFormat="1" applyFont="1" applyFill="1" applyBorder="1" applyAlignment="1">
      <alignment horizontal="center"/>
    </xf>
    <xf numFmtId="175" fontId="9" fillId="5" borderId="232" xfId="7" applyNumberFormat="1" applyFont="1" applyFill="1" applyBorder="1" applyAlignment="1">
      <alignment horizontal="center"/>
    </xf>
    <xf numFmtId="0" fontId="4" fillId="0" borderId="35" xfId="0" applyFont="1" applyFill="1" applyBorder="1"/>
    <xf numFmtId="0" fontId="4" fillId="0" borderId="36" xfId="0" applyFont="1" applyFill="1" applyBorder="1"/>
    <xf numFmtId="0" fontId="4" fillId="0" borderId="37" xfId="0" applyFont="1" applyFill="1" applyBorder="1"/>
    <xf numFmtId="0" fontId="0" fillId="0" borderId="56" xfId="0" applyFill="1" applyBorder="1"/>
    <xf numFmtId="0" fontId="0" fillId="0" borderId="57" xfId="0" applyFill="1" applyBorder="1"/>
    <xf numFmtId="0" fontId="4" fillId="0" borderId="189" xfId="0" applyFont="1" applyFill="1" applyBorder="1"/>
    <xf numFmtId="0" fontId="4" fillId="0" borderId="166" xfId="0" applyFont="1" applyFill="1" applyBorder="1"/>
    <xf numFmtId="0" fontId="4" fillId="0" borderId="104" xfId="0" applyFont="1" applyFill="1" applyBorder="1"/>
    <xf numFmtId="4" fontId="4" fillId="0" borderId="0" xfId="0" applyNumberFormat="1" applyFont="1" applyFill="1" applyBorder="1" applyAlignment="1" applyProtection="1">
      <alignment vertical="top"/>
    </xf>
    <xf numFmtId="4" fontId="4" fillId="0" borderId="35" xfId="0" applyNumberFormat="1" applyFont="1" applyFill="1" applyBorder="1" applyAlignment="1" applyProtection="1">
      <alignment vertical="top"/>
    </xf>
    <xf numFmtId="4" fontId="15" fillId="0" borderId="36" xfId="0" applyNumberFormat="1" applyFont="1" applyFill="1" applyBorder="1" applyAlignment="1" applyProtection="1">
      <alignment vertical="top"/>
    </xf>
    <xf numFmtId="4" fontId="4" fillId="0" borderId="38" xfId="0" applyNumberFormat="1" applyFont="1" applyFill="1" applyBorder="1" applyAlignment="1" applyProtection="1">
      <alignment vertical="top"/>
      <protection locked="0"/>
    </xf>
    <xf numFmtId="4" fontId="15" fillId="0" borderId="39" xfId="0" applyNumberFormat="1" applyFont="1" applyFill="1" applyBorder="1" applyAlignment="1" applyProtection="1">
      <alignment vertical="top"/>
      <protection locked="0"/>
    </xf>
    <xf numFmtId="4" fontId="4" fillId="0" borderId="38" xfId="0" applyNumberFormat="1" applyFont="1" applyFill="1" applyBorder="1" applyAlignment="1" applyProtection="1">
      <alignment vertical="top"/>
    </xf>
    <xf numFmtId="4" fontId="15" fillId="0" borderId="39" xfId="0" applyNumberFormat="1" applyFont="1" applyFill="1" applyBorder="1" applyAlignment="1" applyProtection="1">
      <alignment vertical="top"/>
    </xf>
    <xf numFmtId="4" fontId="4" fillId="0" borderId="55" xfId="0" applyNumberFormat="1" applyFont="1" applyFill="1" applyBorder="1" applyAlignment="1" applyProtection="1">
      <alignment vertical="top"/>
      <protection locked="0"/>
    </xf>
    <xf numFmtId="4" fontId="15" fillId="0" borderId="56" xfId="0" applyNumberFormat="1" applyFont="1" applyFill="1" applyBorder="1" applyAlignment="1" applyProtection="1">
      <alignment vertical="top"/>
      <protection locked="0"/>
    </xf>
    <xf numFmtId="4" fontId="15" fillId="0" borderId="57" xfId="0" applyNumberFormat="1" applyFont="1" applyFill="1" applyBorder="1" applyAlignment="1" applyProtection="1">
      <alignment vertical="top"/>
      <protection locked="0"/>
    </xf>
    <xf numFmtId="4" fontId="15" fillId="0" borderId="35" xfId="0" applyNumberFormat="1" applyFont="1" applyFill="1" applyBorder="1" applyAlignment="1" applyProtection="1">
      <alignment vertical="top"/>
    </xf>
    <xf numFmtId="4" fontId="15" fillId="0" borderId="38" xfId="0" applyNumberFormat="1" applyFont="1" applyFill="1" applyBorder="1" applyAlignment="1" applyProtection="1">
      <alignment vertical="top"/>
    </xf>
    <xf numFmtId="0" fontId="15" fillId="0" borderId="36" xfId="0" applyNumberFormat="1" applyFont="1" applyFill="1" applyBorder="1" applyAlignment="1" applyProtection="1">
      <alignment vertical="top"/>
    </xf>
    <xf numFmtId="0" fontId="15" fillId="0" borderId="37" xfId="0" applyNumberFormat="1" applyFont="1" applyFill="1" applyBorder="1" applyAlignment="1" applyProtection="1">
      <alignment vertical="top"/>
    </xf>
    <xf numFmtId="4" fontId="15" fillId="0" borderId="36" xfId="0" applyNumberFormat="1" applyFont="1" applyFill="1" applyBorder="1" applyAlignment="1" applyProtection="1">
      <alignment vertical="top"/>
      <protection locked="0"/>
    </xf>
    <xf numFmtId="4" fontId="15" fillId="0" borderId="37" xfId="0" applyNumberFormat="1" applyFont="1" applyFill="1" applyBorder="1" applyAlignment="1" applyProtection="1">
      <alignment vertical="top"/>
      <protection locked="0"/>
    </xf>
    <xf numFmtId="4" fontId="4" fillId="0" borderId="189" xfId="0" applyNumberFormat="1" applyFont="1" applyFill="1" applyBorder="1" applyAlignment="1" applyProtection="1">
      <alignment vertical="top"/>
      <protection locked="0"/>
    </xf>
    <xf numFmtId="0" fontId="4" fillId="0" borderId="104" xfId="0" quotePrefix="1" applyFont="1" applyFill="1" applyBorder="1"/>
    <xf numFmtId="0" fontId="0" fillId="15" borderId="0" xfId="0" applyFill="1"/>
    <xf numFmtId="0" fontId="0" fillId="25" borderId="0" xfId="0" applyFill="1"/>
    <xf numFmtId="179" fontId="12" fillId="7" borderId="58" xfId="0" applyNumberFormat="1" applyFont="1" applyFill="1" applyBorder="1" applyAlignment="1" applyProtection="1">
      <alignment horizontal="center"/>
    </xf>
    <xf numFmtId="10" fontId="0" fillId="25" borderId="0" xfId="10" applyNumberFormat="1" applyFont="1" applyFill="1"/>
    <xf numFmtId="0" fontId="14" fillId="0" borderId="53" xfId="0" applyFont="1" applyBorder="1" applyAlignment="1" applyProtection="1">
      <alignment vertical="center"/>
    </xf>
    <xf numFmtId="169" fontId="5" fillId="0" borderId="0" xfId="10" applyNumberFormat="1" applyFont="1" applyAlignment="1" applyProtection="1">
      <alignment horizontal="right" vertical="center"/>
      <protection locked="0"/>
    </xf>
    <xf numFmtId="0" fontId="19" fillId="0" borderId="38" xfId="0" applyFont="1" applyBorder="1" applyAlignment="1" applyProtection="1">
      <alignment horizontal="center" vertical="center"/>
      <protection locked="0"/>
    </xf>
    <xf numFmtId="0" fontId="19"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9" fillId="0" borderId="0" xfId="0" applyFont="1" applyBorder="1" applyAlignment="1" applyProtection="1">
      <alignment vertical="center"/>
      <protection locked="0"/>
    </xf>
    <xf numFmtId="0" fontId="7" fillId="0" borderId="38" xfId="0" applyFont="1" applyBorder="1" applyAlignment="1" applyProtection="1">
      <alignment vertical="center"/>
      <protection locked="0"/>
    </xf>
    <xf numFmtId="0" fontId="8" fillId="0" borderId="38"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3" fontId="23" fillId="0" borderId="76" xfId="0" applyNumberFormat="1" applyFont="1" applyFill="1" applyBorder="1" applyAlignment="1">
      <alignment horizontal="center" vertical="top"/>
    </xf>
    <xf numFmtId="3" fontId="23" fillId="0" borderId="76" xfId="0" applyNumberFormat="1" applyFont="1" applyBorder="1" applyAlignment="1">
      <alignment horizontal="center" vertical="top"/>
    </xf>
    <xf numFmtId="191" fontId="22" fillId="0" borderId="28" xfId="0" applyNumberFormat="1" applyFont="1" applyBorder="1" applyAlignment="1">
      <alignment horizontal="center"/>
    </xf>
    <xf numFmtId="191" fontId="22" fillId="0" borderId="29" xfId="0" applyNumberFormat="1" applyFont="1" applyBorder="1" applyAlignment="1">
      <alignment horizontal="center"/>
    </xf>
    <xf numFmtId="0" fontId="8" fillId="0" borderId="0" xfId="5" applyFont="1" applyFill="1" applyBorder="1" applyAlignment="1">
      <alignment horizontal="left" vertical="top" wrapText="1"/>
    </xf>
    <xf numFmtId="0" fontId="8" fillId="0" borderId="0" xfId="5" applyFont="1" applyFill="1" applyBorder="1" applyAlignment="1">
      <alignment horizontal="center" vertical="top" wrapText="1"/>
    </xf>
    <xf numFmtId="0" fontId="7" fillId="0" borderId="0" xfId="5" applyFont="1" applyFill="1" applyBorder="1" applyAlignment="1">
      <alignment horizontal="left" vertical="top" wrapText="1"/>
    </xf>
    <xf numFmtId="10" fontId="7" fillId="0" borderId="0" xfId="5" applyNumberFormat="1" applyFont="1" applyFill="1" applyBorder="1" applyAlignment="1">
      <alignment horizontal="center" vertical="top" wrapText="1"/>
    </xf>
    <xf numFmtId="14" fontId="7" fillId="0" borderId="0" xfId="5" applyNumberFormat="1" applyFont="1" applyFill="1" applyBorder="1" applyAlignment="1">
      <alignment horizontal="center" vertical="top" wrapText="1"/>
    </xf>
    <xf numFmtId="38" fontId="22" fillId="0" borderId="0" xfId="0" applyNumberFormat="1" applyFont="1"/>
    <xf numFmtId="0" fontId="7" fillId="0" borderId="0" xfId="5" applyFont="1" applyFill="1" applyAlignment="1">
      <alignment vertical="top" wrapText="1"/>
    </xf>
    <xf numFmtId="14" fontId="7" fillId="0" borderId="0" xfId="5" applyNumberFormat="1" applyFont="1" applyFill="1" applyBorder="1" applyAlignment="1">
      <alignment horizontal="center" vertical="top" wrapText="1"/>
    </xf>
    <xf numFmtId="14" fontId="7" fillId="0" borderId="0" xfId="5" applyNumberFormat="1" applyFont="1" applyFill="1" applyAlignment="1">
      <alignment vertical="top" wrapText="1"/>
    </xf>
    <xf numFmtId="3" fontId="7" fillId="0" borderId="0" xfId="5" applyNumberFormat="1" applyFont="1" applyFill="1" applyBorder="1" applyAlignment="1">
      <alignment horizontal="center" vertical="top" wrapText="1"/>
    </xf>
    <xf numFmtId="0" fontId="7" fillId="0" borderId="0" xfId="5" applyFont="1" applyFill="1" applyBorder="1" applyAlignment="1">
      <alignment horizontal="center" vertical="top" wrapText="1"/>
    </xf>
    <xf numFmtId="0" fontId="7" fillId="0" borderId="39" xfId="5" applyFont="1" applyFill="1" applyBorder="1" applyAlignment="1">
      <alignment vertical="top" wrapText="1"/>
    </xf>
    <xf numFmtId="0" fontId="7" fillId="0" borderId="0" xfId="5" applyFont="1" applyFill="1" applyBorder="1" applyAlignment="1">
      <alignment vertical="top" wrapText="1"/>
    </xf>
    <xf numFmtId="0" fontId="7" fillId="0" borderId="39" xfId="5" applyFont="1" applyFill="1" applyBorder="1" applyAlignment="1">
      <alignment horizontal="center" vertical="top" wrapText="1"/>
    </xf>
    <xf numFmtId="0" fontId="7" fillId="0" borderId="39" xfId="5" applyFont="1" applyFill="1" applyBorder="1" applyAlignment="1">
      <alignment horizontal="left" vertical="top" wrapText="1"/>
    </xf>
    <xf numFmtId="3" fontId="7" fillId="3" borderId="0" xfId="5" applyNumberFormat="1" applyFont="1" applyFill="1" applyBorder="1"/>
    <xf numFmtId="0" fontId="15" fillId="17" borderId="0" xfId="0" applyFont="1" applyFill="1" applyBorder="1" applyAlignment="1" applyProtection="1"/>
    <xf numFmtId="0" fontId="15" fillId="18" borderId="0" xfId="0" applyFont="1" applyFill="1" applyBorder="1" applyAlignment="1" applyProtection="1"/>
    <xf numFmtId="10" fontId="15" fillId="17" borderId="0" xfId="10" applyNumberFormat="1" applyFont="1" applyFill="1" applyBorder="1" applyAlignment="1" applyProtection="1"/>
    <xf numFmtId="0" fontId="4" fillId="17" borderId="58" xfId="0" applyFont="1" applyFill="1" applyBorder="1" applyAlignment="1" applyProtection="1"/>
    <xf numFmtId="10" fontId="0" fillId="0" borderId="0" xfId="10" applyNumberFormat="1" applyFont="1"/>
    <xf numFmtId="10" fontId="0" fillId="25" borderId="0" xfId="0" applyNumberFormat="1" applyFill="1"/>
    <xf numFmtId="3" fontId="15" fillId="17" borderId="0" xfId="0" applyNumberFormat="1" applyFont="1" applyFill="1" applyBorder="1" applyAlignment="1" applyProtection="1"/>
    <xf numFmtId="4" fontId="15" fillId="17" borderId="0" xfId="0" applyNumberFormat="1" applyFont="1" applyFill="1" applyBorder="1" applyAlignment="1" applyProtection="1"/>
    <xf numFmtId="3" fontId="0" fillId="25" borderId="0" xfId="0" applyNumberFormat="1" applyFill="1"/>
    <xf numFmtId="0" fontId="4" fillId="15" borderId="0" xfId="0" applyFont="1" applyFill="1"/>
    <xf numFmtId="10" fontId="15" fillId="18" borderId="0" xfId="10" applyNumberFormat="1" applyFont="1" applyFill="1" applyBorder="1" applyAlignment="1" applyProtection="1"/>
    <xf numFmtId="171" fontId="15" fillId="17" borderId="0" xfId="0" applyNumberFormat="1" applyFont="1" applyFill="1" applyBorder="1" applyAlignment="1" applyProtection="1"/>
    <xf numFmtId="1" fontId="15" fillId="17" borderId="0" xfId="0" applyNumberFormat="1" applyFont="1" applyFill="1" applyBorder="1" applyAlignment="1" applyProtection="1"/>
    <xf numFmtId="1" fontId="0" fillId="25" borderId="0" xfId="0" applyNumberFormat="1" applyFill="1"/>
    <xf numFmtId="171" fontId="0" fillId="25" borderId="0" xfId="0" applyNumberFormat="1" applyFill="1"/>
    <xf numFmtId="168" fontId="0" fillId="0" borderId="0" xfId="1" applyFont="1"/>
    <xf numFmtId="192" fontId="15" fillId="17" borderId="0" xfId="10" applyNumberFormat="1" applyFont="1" applyFill="1" applyBorder="1" applyAlignment="1" applyProtection="1"/>
    <xf numFmtId="0" fontId="86" fillId="0" borderId="0" xfId="0" applyFont="1"/>
    <xf numFmtId="0" fontId="86" fillId="27" borderId="0" xfId="0" applyFont="1" applyFill="1"/>
    <xf numFmtId="10" fontId="86" fillId="26" borderId="0" xfId="10" applyNumberFormat="1" applyFont="1" applyFill="1"/>
    <xf numFmtId="0" fontId="86" fillId="28" borderId="0" xfId="0" applyFont="1" applyFill="1"/>
    <xf numFmtId="10" fontId="4" fillId="17" borderId="0" xfId="10" applyNumberFormat="1" applyFont="1" applyFill="1" applyBorder="1" applyAlignment="1" applyProtection="1"/>
    <xf numFmtId="179" fontId="12" fillId="7" borderId="45" xfId="0" applyNumberFormat="1" applyFont="1" applyFill="1" applyBorder="1" applyAlignment="1" applyProtection="1">
      <alignment horizontal="center"/>
    </xf>
    <xf numFmtId="0" fontId="12" fillId="8" borderId="69" xfId="0" applyFont="1" applyFill="1" applyBorder="1" applyAlignment="1" applyProtection="1"/>
    <xf numFmtId="0" fontId="12" fillId="6" borderId="60" xfId="0" applyFont="1" applyFill="1" applyBorder="1" applyAlignment="1" applyProtection="1"/>
    <xf numFmtId="0" fontId="4" fillId="17" borderId="60" xfId="0" applyFont="1" applyFill="1" applyBorder="1" applyAlignment="1" applyProtection="1"/>
    <xf numFmtId="0" fontId="0" fillId="0" borderId="35" xfId="0" applyBorder="1"/>
    <xf numFmtId="179" fontId="12" fillId="10" borderId="83" xfId="0" applyNumberFormat="1" applyFont="1" applyFill="1" applyBorder="1" applyAlignment="1" applyProtection="1">
      <alignment horizontal="center"/>
      <protection locked="0"/>
    </xf>
    <xf numFmtId="175" fontId="12" fillId="25" borderId="83" xfId="0" applyNumberFormat="1" applyFont="1" applyFill="1" applyBorder="1" applyAlignment="1" applyProtection="1">
      <alignment horizontal="center"/>
      <protection locked="0"/>
    </xf>
    <xf numFmtId="179" fontId="12" fillId="7" borderId="83" xfId="0" applyNumberFormat="1" applyFont="1" applyFill="1" applyBorder="1" applyAlignment="1" applyProtection="1">
      <alignment horizontal="center"/>
    </xf>
    <xf numFmtId="0" fontId="0" fillId="0" borderId="38" xfId="0" applyBorder="1"/>
    <xf numFmtId="0" fontId="86" fillId="27" borderId="0" xfId="0" applyFont="1" applyFill="1" applyBorder="1"/>
    <xf numFmtId="0" fontId="0" fillId="15" borderId="0" xfId="0" applyFill="1" applyBorder="1"/>
    <xf numFmtId="0" fontId="0" fillId="15" borderId="39" xfId="0" applyFill="1" applyBorder="1"/>
    <xf numFmtId="10" fontId="86" fillId="26" borderId="0" xfId="10" applyNumberFormat="1" applyFont="1" applyFill="1" applyBorder="1"/>
    <xf numFmtId="10" fontId="0" fillId="25" borderId="0" xfId="10" applyNumberFormat="1" applyFont="1" applyFill="1" applyBorder="1"/>
    <xf numFmtId="10" fontId="0" fillId="25" borderId="39" xfId="10" applyNumberFormat="1" applyFont="1" applyFill="1" applyBorder="1"/>
    <xf numFmtId="4" fontId="86" fillId="26" borderId="0" xfId="0" applyNumberFormat="1" applyFont="1" applyFill="1" applyBorder="1"/>
    <xf numFmtId="4" fontId="0" fillId="25" borderId="0" xfId="0" applyNumberFormat="1" applyFill="1" applyBorder="1"/>
    <xf numFmtId="0" fontId="0" fillId="25" borderId="0" xfId="0" applyFill="1" applyBorder="1"/>
    <xf numFmtId="0" fontId="0" fillId="25" borderId="39" xfId="0" applyFill="1" applyBorder="1"/>
    <xf numFmtId="10" fontId="0" fillId="15" borderId="0" xfId="0" applyNumberFormat="1" applyFill="1" applyBorder="1"/>
    <xf numFmtId="10" fontId="0" fillId="25" borderId="0" xfId="0" applyNumberFormat="1" applyFill="1" applyBorder="1"/>
    <xf numFmtId="10" fontId="0" fillId="25" borderId="39" xfId="0" applyNumberFormat="1" applyFill="1" applyBorder="1"/>
    <xf numFmtId="0" fontId="0" fillId="0" borderId="55" xfId="0" applyBorder="1"/>
    <xf numFmtId="10" fontId="15" fillId="18" borderId="56" xfId="10" applyNumberFormat="1" applyFont="1" applyFill="1" applyBorder="1" applyAlignment="1" applyProtection="1"/>
    <xf numFmtId="10" fontId="86" fillId="26" borderId="56" xfId="10" applyNumberFormat="1" applyFont="1" applyFill="1" applyBorder="1"/>
    <xf numFmtId="10" fontId="0" fillId="25" borderId="56" xfId="0" applyNumberFormat="1" applyFill="1" applyBorder="1"/>
    <xf numFmtId="10" fontId="0" fillId="25" borderId="57" xfId="0" applyNumberFormat="1" applyFill="1" applyBorder="1"/>
    <xf numFmtId="0" fontId="15" fillId="17" borderId="60" xfId="0" applyFont="1" applyFill="1" applyBorder="1" applyAlignment="1" applyProtection="1"/>
    <xf numFmtId="0" fontId="12" fillId="8" borderId="82" xfId="0" applyFont="1" applyFill="1" applyBorder="1" applyAlignment="1" applyProtection="1"/>
    <xf numFmtId="0" fontId="4" fillId="17" borderId="77" xfId="0" applyFont="1" applyFill="1" applyBorder="1" applyAlignment="1" applyProtection="1"/>
    <xf numFmtId="0" fontId="15" fillId="18" borderId="77" xfId="0" applyFont="1" applyFill="1" applyBorder="1" applyAlignment="1" applyProtection="1"/>
    <xf numFmtId="3" fontId="86" fillId="26" borderId="0" xfId="0" applyNumberFormat="1" applyFont="1" applyFill="1" applyBorder="1"/>
    <xf numFmtId="3" fontId="0" fillId="25" borderId="0" xfId="0" applyNumberFormat="1" applyFill="1" applyBorder="1"/>
    <xf numFmtId="3" fontId="0" fillId="25" borderId="39" xfId="0" applyNumberFormat="1" applyFill="1" applyBorder="1"/>
    <xf numFmtId="3" fontId="86" fillId="27" borderId="0" xfId="0" applyNumberFormat="1" applyFont="1" applyFill="1" applyBorder="1"/>
    <xf numFmtId="0" fontId="4" fillId="15" borderId="0" xfId="0" applyFont="1" applyFill="1" applyBorder="1"/>
    <xf numFmtId="0" fontId="4" fillId="15" borderId="39" xfId="0" applyFont="1" applyFill="1" applyBorder="1"/>
    <xf numFmtId="1" fontId="0" fillId="25" borderId="0" xfId="0" applyNumberFormat="1" applyFill="1" applyBorder="1"/>
    <xf numFmtId="1" fontId="0" fillId="25" borderId="39" xfId="0" applyNumberFormat="1" applyFill="1" applyBorder="1"/>
    <xf numFmtId="0" fontId="15" fillId="18" borderId="63" xfId="0" applyFont="1" applyFill="1" applyBorder="1" applyAlignment="1" applyProtection="1"/>
    <xf numFmtId="0" fontId="15" fillId="18" borderId="56" xfId="0" applyFont="1" applyFill="1" applyBorder="1" applyAlignment="1" applyProtection="1"/>
    <xf numFmtId="171" fontId="0" fillId="25" borderId="56" xfId="0" applyNumberFormat="1" applyFill="1" applyBorder="1"/>
    <xf numFmtId="171" fontId="0" fillId="25" borderId="57" xfId="0" applyNumberFormat="1" applyFill="1" applyBorder="1"/>
    <xf numFmtId="0" fontId="12" fillId="8" borderId="155" xfId="0" applyFont="1" applyFill="1" applyBorder="1" applyAlignment="1" applyProtection="1"/>
    <xf numFmtId="179" fontId="12" fillId="7" borderId="190" xfId="0" applyNumberFormat="1" applyFont="1" applyFill="1" applyBorder="1" applyAlignment="1" applyProtection="1">
      <alignment horizontal="center"/>
    </xf>
    <xf numFmtId="0" fontId="15" fillId="17" borderId="77" xfId="0" applyFont="1" applyFill="1" applyBorder="1" applyAlignment="1" applyProtection="1"/>
    <xf numFmtId="0" fontId="23" fillId="5" borderId="214" xfId="0" applyFont="1" applyFill="1" applyBorder="1" applyAlignment="1"/>
    <xf numFmtId="0" fontId="23" fillId="5" borderId="215" xfId="0" applyFont="1" applyFill="1" applyBorder="1" applyAlignment="1"/>
    <xf numFmtId="0" fontId="23" fillId="5" borderId="216" xfId="0" applyFont="1" applyFill="1" applyBorder="1" applyAlignment="1"/>
    <xf numFmtId="0" fontId="22" fillId="0" borderId="235" xfId="0" applyFont="1" applyBorder="1" applyAlignment="1"/>
    <xf numFmtId="0" fontId="22" fillId="0" borderId="217" xfId="0" applyFont="1" applyBorder="1" applyAlignment="1"/>
    <xf numFmtId="0" fontId="22" fillId="0" borderId="236" xfId="0" applyFont="1" applyBorder="1" applyAlignment="1"/>
    <xf numFmtId="0" fontId="22" fillId="0" borderId="237" xfId="0" applyFont="1" applyBorder="1" applyAlignment="1"/>
    <xf numFmtId="0" fontId="22" fillId="0" borderId="194" xfId="0" applyFont="1" applyBorder="1" applyAlignment="1"/>
    <xf numFmtId="0" fontId="22" fillId="0" borderId="11" xfId="0" applyFont="1" applyBorder="1" applyAlignment="1"/>
    <xf numFmtId="0" fontId="22" fillId="0" borderId="238" xfId="0" applyFont="1" applyBorder="1" applyAlignment="1"/>
    <xf numFmtId="0" fontId="22" fillId="0" borderId="239" xfId="0" applyFont="1" applyBorder="1" applyAlignment="1"/>
    <xf numFmtId="0" fontId="22" fillId="0" borderId="240" xfId="0" applyFont="1" applyBorder="1" applyAlignment="1"/>
    <xf numFmtId="0" fontId="22" fillId="0" borderId="32" xfId="0" applyFont="1" applyBorder="1" applyAlignment="1"/>
    <xf numFmtId="0" fontId="22" fillId="0" borderId="34" xfId="0" applyFont="1" applyBorder="1" applyAlignment="1"/>
    <xf numFmtId="0" fontId="22" fillId="0" borderId="215" xfId="0" applyFont="1" applyBorder="1" applyAlignment="1"/>
    <xf numFmtId="0" fontId="22" fillId="0" borderId="0" xfId="0" quotePrefix="1" applyFont="1" applyBorder="1" applyAlignment="1">
      <alignment horizontal="justify" vertical="top" wrapText="1"/>
    </xf>
    <xf numFmtId="0" fontId="22" fillId="0" borderId="0" xfId="0" applyFont="1" applyBorder="1" applyAlignment="1">
      <alignment horizontal="justify" vertical="top" wrapText="1"/>
    </xf>
    <xf numFmtId="0" fontId="24" fillId="0" borderId="0" xfId="0" applyFont="1" applyBorder="1" applyAlignment="1" applyProtection="1">
      <alignment horizontal="right"/>
    </xf>
    <xf numFmtId="0" fontId="24" fillId="0" borderId="0" xfId="0" applyFont="1" applyBorder="1" applyAlignment="1">
      <alignment horizontal="right"/>
    </xf>
    <xf numFmtId="3" fontId="9" fillId="5" borderId="58" xfId="7" applyNumberFormat="1" applyFont="1" applyFill="1" applyBorder="1" applyAlignment="1">
      <alignment horizontal="center"/>
    </xf>
    <xf numFmtId="0" fontId="5" fillId="0" borderId="0"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0" xfId="0" applyFont="1" applyBorder="1" applyAlignment="1" applyProtection="1">
      <alignment horizontal="justify" vertical="center"/>
      <protection locked="0"/>
    </xf>
    <xf numFmtId="0" fontId="9" fillId="0" borderId="44" xfId="0" applyFont="1" applyBorder="1" applyAlignment="1" applyProtection="1">
      <alignment horizontal="center" vertical="center"/>
    </xf>
    <xf numFmtId="164" fontId="9" fillId="3" borderId="0" xfId="0" applyNumberFormat="1"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3" fontId="5" fillId="0" borderId="0" xfId="0" applyNumberFormat="1" applyFont="1" applyBorder="1" applyAlignment="1" applyProtection="1">
      <alignment horizontal="center" vertical="center"/>
      <protection locked="0"/>
    </xf>
    <xf numFmtId="10" fontId="5" fillId="0" borderId="0" xfId="0" applyNumberFormat="1" applyFont="1" applyBorder="1" applyAlignment="1" applyProtection="1">
      <alignment horizontal="center" vertical="center"/>
      <protection locked="0"/>
    </xf>
    <xf numFmtId="10" fontId="5" fillId="0" borderId="0" xfId="0" applyNumberFormat="1" applyFont="1" applyFill="1" applyBorder="1" applyAlignment="1" applyProtection="1">
      <alignment horizontal="center" vertical="center"/>
      <protection locked="0"/>
    </xf>
    <xf numFmtId="0" fontId="8" fillId="0" borderId="0" xfId="5" applyFont="1" applyFill="1" applyBorder="1" applyAlignment="1">
      <alignment horizontal="left" vertical="top" wrapText="1"/>
    </xf>
    <xf numFmtId="0" fontId="8" fillId="0" borderId="39" xfId="5" applyFont="1" applyFill="1" applyBorder="1" applyAlignment="1">
      <alignment horizontal="left" vertical="top" wrapText="1"/>
    </xf>
    <xf numFmtId="168" fontId="23" fillId="0" borderId="118" xfId="1" applyFont="1" applyBorder="1" applyAlignment="1" applyProtection="1">
      <alignment horizontal="center"/>
      <protection locked="0"/>
    </xf>
    <xf numFmtId="168" fontId="23" fillId="0" borderId="0" xfId="1" applyFont="1" applyBorder="1" applyProtection="1"/>
    <xf numFmtId="193" fontId="23" fillId="0" borderId="118" xfId="1" applyNumberFormat="1" applyFont="1" applyBorder="1" applyAlignment="1" applyProtection="1">
      <alignment horizontal="center"/>
      <protection locked="0"/>
    </xf>
    <xf numFmtId="193" fontId="23" fillId="0" borderId="0" xfId="1" applyNumberFormat="1" applyFont="1" applyBorder="1" applyProtection="1"/>
    <xf numFmtId="168" fontId="23" fillId="0" borderId="118" xfId="1" applyNumberFormat="1" applyFont="1" applyBorder="1" applyAlignment="1" applyProtection="1">
      <alignment horizontal="center"/>
      <protection locked="0"/>
    </xf>
    <xf numFmtId="168" fontId="23" fillId="0" borderId="0" xfId="1" applyNumberFormat="1" applyFont="1" applyBorder="1" applyProtection="1"/>
    <xf numFmtId="4" fontId="23" fillId="0" borderId="23" xfId="0" applyNumberFormat="1" applyFont="1" applyBorder="1" applyAlignment="1">
      <alignment horizontal="center"/>
    </xf>
    <xf numFmtId="4" fontId="5" fillId="0" borderId="58" xfId="0" applyNumberFormat="1" applyFont="1" applyBorder="1"/>
    <xf numFmtId="4" fontId="8" fillId="3" borderId="70" xfId="5" applyNumberFormat="1" applyFont="1" applyFill="1" applyBorder="1" applyAlignment="1">
      <alignment horizontal="center"/>
    </xf>
    <xf numFmtId="3" fontId="5" fillId="0" borderId="39" xfId="0" applyNumberFormat="1" applyFont="1" applyBorder="1" applyAlignment="1" applyProtection="1">
      <alignment vertical="center"/>
      <protection locked="0"/>
    </xf>
    <xf numFmtId="0" fontId="5" fillId="0" borderId="0" xfId="0" applyNumberFormat="1" applyFont="1" applyBorder="1" applyAlignment="1" applyProtection="1">
      <alignment horizontal="center" vertical="center"/>
      <protection locked="0"/>
    </xf>
    <xf numFmtId="0" fontId="12" fillId="16" borderId="35" xfId="0" applyFont="1" applyFill="1" applyBorder="1" applyAlignment="1" applyProtection="1">
      <alignment horizontal="center" vertical="top"/>
      <protection locked="0"/>
    </xf>
    <xf numFmtId="0" fontId="12" fillId="16" borderId="36" xfId="0" applyFont="1" applyFill="1" applyBorder="1" applyAlignment="1" applyProtection="1">
      <alignment horizontal="center" vertical="top"/>
      <protection locked="0"/>
    </xf>
    <xf numFmtId="0" fontId="12" fillId="16" borderId="36" xfId="0" applyFont="1" applyFill="1" applyBorder="1" applyAlignment="1" applyProtection="1">
      <alignment vertical="top"/>
      <protection locked="0"/>
    </xf>
    <xf numFmtId="0" fontId="12" fillId="16" borderId="37" xfId="0" applyFont="1" applyFill="1" applyBorder="1" applyAlignment="1" applyProtection="1">
      <alignment vertical="top"/>
      <protection locked="0"/>
    </xf>
    <xf numFmtId="186" fontId="0" fillId="0" borderId="55" xfId="1" applyNumberFormat="1" applyFont="1" applyBorder="1" applyAlignment="1" applyProtection="1">
      <alignment horizontal="center" vertical="top"/>
      <protection locked="0"/>
    </xf>
    <xf numFmtId="186" fontId="0" fillId="0" borderId="56" xfId="1" applyNumberFormat="1" applyFont="1" applyBorder="1" applyAlignment="1" applyProtection="1">
      <alignment horizontal="center" vertical="top"/>
      <protection locked="0"/>
    </xf>
    <xf numFmtId="0" fontId="0" fillId="0" borderId="57" xfId="0" applyBorder="1" applyAlignment="1" applyProtection="1">
      <alignment vertical="top"/>
      <protection locked="0"/>
    </xf>
    <xf numFmtId="186" fontId="0" fillId="0" borderId="57" xfId="0" applyNumberFormat="1" applyBorder="1" applyAlignment="1" applyProtection="1">
      <alignment vertical="top"/>
      <protection locked="0"/>
    </xf>
    <xf numFmtId="168" fontId="4" fillId="0" borderId="0" xfId="1" applyFont="1"/>
    <xf numFmtId="0" fontId="15" fillId="17" borderId="69" xfId="0" applyFont="1" applyFill="1" applyBorder="1" applyAlignment="1" applyProtection="1"/>
    <xf numFmtId="179" fontId="12" fillId="7" borderId="107" xfId="0" applyNumberFormat="1" applyFont="1" applyFill="1" applyBorder="1" applyAlignment="1" applyProtection="1">
      <alignment horizontal="center"/>
    </xf>
    <xf numFmtId="0" fontId="15" fillId="19" borderId="77" xfId="0" applyFont="1" applyFill="1" applyBorder="1" applyAlignment="1" applyProtection="1"/>
    <xf numFmtId="4" fontId="0" fillId="25" borderId="39" xfId="0" applyNumberFormat="1" applyFill="1" applyBorder="1"/>
    <xf numFmtId="0" fontId="12" fillId="0" borderId="0" xfId="0" applyFont="1"/>
    <xf numFmtId="0" fontId="0" fillId="0" borderId="40" xfId="0" applyBorder="1"/>
    <xf numFmtId="0" fontId="0" fillId="0" borderId="41" xfId="0" applyBorder="1"/>
    <xf numFmtId="0" fontId="0" fillId="0" borderId="42" xfId="0" applyBorder="1"/>
    <xf numFmtId="0" fontId="86" fillId="0" borderId="70" xfId="0" applyFont="1" applyBorder="1"/>
    <xf numFmtId="0" fontId="12" fillId="16" borderId="41" xfId="0" applyFont="1" applyFill="1" applyBorder="1" applyAlignment="1" applyProtection="1">
      <alignment horizontal="center" vertical="top"/>
      <protection locked="0"/>
    </xf>
    <xf numFmtId="0" fontId="4" fillId="0" borderId="70" xfId="0" applyFont="1" applyBorder="1"/>
    <xf numFmtId="10" fontId="4" fillId="17" borderId="0" xfId="0" applyNumberFormat="1" applyFont="1" applyFill="1" applyBorder="1" applyAlignment="1" applyProtection="1"/>
    <xf numFmtId="10" fontId="15" fillId="17" borderId="0" xfId="0" applyNumberFormat="1" applyFont="1" applyFill="1" applyBorder="1" applyAlignment="1" applyProtection="1"/>
    <xf numFmtId="3" fontId="15" fillId="10" borderId="45" xfId="0" applyNumberFormat="1" applyFont="1" applyFill="1" applyBorder="1" applyAlignment="1" applyProtection="1">
      <protection locked="0"/>
    </xf>
    <xf numFmtId="0" fontId="4" fillId="17" borderId="63" xfId="0" applyFont="1" applyFill="1" applyBorder="1" applyAlignment="1" applyProtection="1"/>
    <xf numFmtId="186" fontId="15" fillId="17" borderId="56" xfId="1" applyNumberFormat="1" applyFont="1" applyFill="1" applyBorder="1" applyAlignment="1" applyProtection="1">
      <alignment horizontal="center"/>
    </xf>
    <xf numFmtId="186" fontId="87" fillId="27" borderId="56" xfId="1" applyNumberFormat="1" applyFont="1" applyFill="1" applyBorder="1"/>
    <xf numFmtId="186" fontId="15" fillId="17" borderId="57" xfId="1" applyNumberFormat="1" applyFont="1" applyFill="1" applyBorder="1" applyAlignment="1" applyProtection="1">
      <alignment horizontal="center"/>
    </xf>
    <xf numFmtId="173" fontId="86" fillId="26" borderId="56" xfId="0" applyNumberFormat="1" applyFont="1" applyFill="1" applyBorder="1"/>
    <xf numFmtId="172" fontId="4" fillId="0" borderId="40" xfId="0" applyNumberFormat="1" applyFont="1" applyBorder="1" applyAlignment="1">
      <alignment horizontal="center"/>
    </xf>
    <xf numFmtId="172" fontId="4" fillId="0" borderId="41" xfId="0" applyNumberFormat="1" applyFont="1" applyBorder="1" applyAlignment="1">
      <alignment horizontal="center"/>
    </xf>
    <xf numFmtId="172" fontId="4" fillId="0" borderId="42" xfId="0" applyNumberFormat="1" applyFont="1" applyBorder="1" applyAlignment="1">
      <alignment horizontal="center"/>
    </xf>
    <xf numFmtId="0" fontId="4" fillId="12" borderId="70" xfId="0" applyFont="1" applyFill="1" applyBorder="1"/>
    <xf numFmtId="186" fontId="0" fillId="12" borderId="41" xfId="0" applyNumberFormat="1" applyFill="1" applyBorder="1"/>
    <xf numFmtId="0" fontId="4" fillId="12" borderId="166" xfId="0" quotePrefix="1" applyFont="1" applyFill="1" applyBorder="1"/>
    <xf numFmtId="186" fontId="0" fillId="12" borderId="0" xfId="0" applyNumberFormat="1" applyFill="1" applyBorder="1"/>
    <xf numFmtId="0" fontId="12" fillId="12" borderId="70" xfId="0" applyFont="1" applyFill="1" applyBorder="1"/>
    <xf numFmtId="186" fontId="12" fillId="12" borderId="41" xfId="0" applyNumberFormat="1" applyFont="1" applyFill="1" applyBorder="1"/>
    <xf numFmtId="0" fontId="4" fillId="12" borderId="166" xfId="0" applyFont="1" applyFill="1" applyBorder="1"/>
    <xf numFmtId="186" fontId="0" fillId="12" borderId="56" xfId="1" applyNumberFormat="1" applyFont="1" applyFill="1" applyBorder="1" applyAlignment="1" applyProtection="1">
      <alignment horizontal="center" vertical="top"/>
      <protection locked="0"/>
    </xf>
    <xf numFmtId="186" fontId="0" fillId="12" borderId="41" xfId="1" applyNumberFormat="1" applyFont="1" applyFill="1" applyBorder="1"/>
    <xf numFmtId="168" fontId="0" fillId="12" borderId="41" xfId="1" applyFont="1" applyFill="1" applyBorder="1"/>
    <xf numFmtId="0" fontId="12" fillId="12" borderId="104" xfId="0" applyFont="1" applyFill="1" applyBorder="1"/>
    <xf numFmtId="186" fontId="4" fillId="12" borderId="41" xfId="0" applyNumberFormat="1" applyFont="1" applyFill="1" applyBorder="1"/>
    <xf numFmtId="172" fontId="12" fillId="12" borderId="40" xfId="0" applyNumberFormat="1" applyFont="1" applyFill="1" applyBorder="1" applyAlignment="1">
      <alignment horizontal="center"/>
    </xf>
    <xf numFmtId="172" fontId="12" fillId="12" borderId="41" xfId="0" applyNumberFormat="1" applyFont="1" applyFill="1" applyBorder="1" applyAlignment="1">
      <alignment horizontal="center"/>
    </xf>
    <xf numFmtId="0" fontId="12" fillId="16" borderId="40" xfId="0" applyFont="1" applyFill="1" applyBorder="1" applyAlignment="1" applyProtection="1">
      <alignment horizontal="center" vertical="top"/>
      <protection locked="0"/>
    </xf>
    <xf numFmtId="186" fontId="0" fillId="12" borderId="40" xfId="0" applyNumberFormat="1" applyFill="1" applyBorder="1"/>
    <xf numFmtId="186" fontId="0" fillId="12" borderId="38" xfId="0" applyNumberFormat="1" applyFill="1" applyBorder="1"/>
    <xf numFmtId="186" fontId="12" fillId="12" borderId="40" xfId="0" applyNumberFormat="1" applyFont="1" applyFill="1" applyBorder="1"/>
    <xf numFmtId="186" fontId="0" fillId="12" borderId="55" xfId="1" applyNumberFormat="1" applyFont="1" applyFill="1" applyBorder="1" applyAlignment="1" applyProtection="1">
      <alignment horizontal="center" vertical="top"/>
      <protection locked="0"/>
    </xf>
    <xf numFmtId="186" fontId="0" fillId="12" borderId="40" xfId="1" applyNumberFormat="1" applyFont="1" applyFill="1" applyBorder="1"/>
    <xf numFmtId="186" fontId="4" fillId="12" borderId="40" xfId="0" applyNumberFormat="1" applyFont="1" applyFill="1" applyBorder="1"/>
    <xf numFmtId="0" fontId="12" fillId="0" borderId="38" xfId="0" applyFont="1" applyBorder="1"/>
    <xf numFmtId="186" fontId="4" fillId="0" borderId="0" xfId="1" applyNumberFormat="1" applyFont="1" applyBorder="1"/>
    <xf numFmtId="0" fontId="4" fillId="0" borderId="38" xfId="0" applyFont="1" applyBorder="1"/>
    <xf numFmtId="0" fontId="12" fillId="0" borderId="40" xfId="0" applyFont="1" applyBorder="1"/>
    <xf numFmtId="0" fontId="12" fillId="16" borderId="40" xfId="0" applyFont="1" applyFill="1" applyBorder="1"/>
    <xf numFmtId="0" fontId="12" fillId="16" borderId="41" xfId="0" applyFont="1" applyFill="1" applyBorder="1" applyAlignment="1">
      <alignment horizontal="center"/>
    </xf>
    <xf numFmtId="186" fontId="12" fillId="0" borderId="41" xfId="1" applyNumberFormat="1" applyFont="1" applyBorder="1"/>
    <xf numFmtId="0" fontId="12" fillId="16" borderId="70" xfId="0" applyFont="1" applyFill="1" applyBorder="1" applyAlignment="1">
      <alignment horizontal="center"/>
    </xf>
    <xf numFmtId="186" fontId="4" fillId="0" borderId="166" xfId="1" applyNumberFormat="1" applyFont="1" applyBorder="1"/>
    <xf numFmtId="186" fontId="12" fillId="0" borderId="70" xfId="1" applyNumberFormat="1" applyFont="1" applyBorder="1"/>
    <xf numFmtId="0" fontId="12" fillId="16" borderId="70" xfId="0" applyFont="1" applyFill="1" applyBorder="1" applyAlignment="1" applyProtection="1">
      <alignment vertical="top"/>
      <protection locked="0"/>
    </xf>
    <xf numFmtId="186" fontId="0" fillId="12" borderId="70" xfId="0" applyNumberFormat="1" applyFill="1" applyBorder="1"/>
    <xf numFmtId="186" fontId="0" fillId="12" borderId="166" xfId="0" applyNumberFormat="1" applyFill="1" applyBorder="1"/>
    <xf numFmtId="186" fontId="12" fillId="12" borderId="70" xfId="0" applyNumberFormat="1" applyFont="1" applyFill="1" applyBorder="1"/>
    <xf numFmtId="186" fontId="0" fillId="12" borderId="104" xfId="0" applyNumberFormat="1" applyFill="1" applyBorder="1" applyAlignment="1" applyProtection="1">
      <alignment vertical="top"/>
      <protection locked="0"/>
    </xf>
    <xf numFmtId="186" fontId="4" fillId="12" borderId="70" xfId="0" applyNumberFormat="1" applyFont="1" applyFill="1" applyBorder="1"/>
    <xf numFmtId="172" fontId="12" fillId="12" borderId="70" xfId="0" applyNumberFormat="1" applyFont="1" applyFill="1" applyBorder="1" applyAlignment="1">
      <alignment horizontal="center"/>
    </xf>
    <xf numFmtId="0" fontId="88" fillId="0" borderId="0" xfId="0" applyFont="1"/>
    <xf numFmtId="0" fontId="89" fillId="0" borderId="0" xfId="0" applyFont="1"/>
    <xf numFmtId="3" fontId="89" fillId="0" borderId="0" xfId="0" applyNumberFormat="1" applyFont="1"/>
    <xf numFmtId="0" fontId="89" fillId="0" borderId="38" xfId="0" applyFont="1" applyBorder="1"/>
    <xf numFmtId="3" fontId="89" fillId="0" borderId="0" xfId="0" applyNumberFormat="1" applyFont="1" applyBorder="1"/>
    <xf numFmtId="186" fontId="89" fillId="0" borderId="0" xfId="0" applyNumberFormat="1" applyFont="1" applyBorder="1"/>
    <xf numFmtId="186" fontId="89" fillId="0" borderId="39" xfId="0" applyNumberFormat="1" applyFont="1" applyBorder="1"/>
    <xf numFmtId="0" fontId="89" fillId="0" borderId="55" xfId="0" applyFont="1" applyBorder="1"/>
    <xf numFmtId="3" fontId="89" fillId="0" borderId="56" xfId="0" applyNumberFormat="1" applyFont="1" applyBorder="1"/>
    <xf numFmtId="186" fontId="89" fillId="0" borderId="56" xfId="0" applyNumberFormat="1" applyFont="1" applyBorder="1"/>
    <xf numFmtId="186" fontId="89" fillId="0" borderId="57" xfId="0" applyNumberFormat="1" applyFont="1" applyBorder="1"/>
    <xf numFmtId="0" fontId="88" fillId="0" borderId="40" xfId="0" applyFont="1" applyBorder="1"/>
    <xf numFmtId="0" fontId="88" fillId="0" borderId="41" xfId="0" applyFont="1" applyBorder="1"/>
    <xf numFmtId="0" fontId="88" fillId="0" borderId="42" xfId="0" applyFont="1" applyBorder="1"/>
    <xf numFmtId="3" fontId="88" fillId="0" borderId="41" xfId="0" applyNumberFormat="1" applyFont="1" applyBorder="1"/>
    <xf numFmtId="3" fontId="89" fillId="0" borderId="41" xfId="0" applyNumberFormat="1" applyFont="1" applyBorder="1"/>
    <xf numFmtId="3" fontId="89" fillId="0" borderId="42" xfId="0" applyNumberFormat="1" applyFont="1" applyBorder="1"/>
    <xf numFmtId="10" fontId="89" fillId="0" borderId="0" xfId="10" applyNumberFormat="1" applyFont="1"/>
    <xf numFmtId="168" fontId="88" fillId="0" borderId="0" xfId="1" applyFont="1"/>
    <xf numFmtId="168" fontId="89" fillId="0" borderId="0" xfId="1" applyFont="1"/>
    <xf numFmtId="172" fontId="89" fillId="0" borderId="0" xfId="0" applyNumberFormat="1" applyFont="1"/>
    <xf numFmtId="0" fontId="38" fillId="0" borderId="0" xfId="0" applyFont="1" applyAlignment="1">
      <alignment horizontal="center"/>
    </xf>
    <xf numFmtId="0" fontId="38" fillId="0" borderId="0" xfId="0" applyFont="1"/>
    <xf numFmtId="175" fontId="38" fillId="5" borderId="58" xfId="7" applyNumberFormat="1" applyFont="1" applyFill="1" applyBorder="1" applyAlignment="1">
      <alignment horizontal="center"/>
    </xf>
    <xf numFmtId="3" fontId="44" fillId="0" borderId="58" xfId="7" applyNumberFormat="1" applyFont="1" applyBorder="1" applyAlignment="1">
      <alignment horizontal="center"/>
    </xf>
    <xf numFmtId="173" fontId="44" fillId="0" borderId="58" xfId="7" applyNumberFormat="1" applyFont="1" applyBorder="1" applyAlignment="1">
      <alignment horizontal="center"/>
    </xf>
    <xf numFmtId="3" fontId="44" fillId="0" borderId="58" xfId="7" applyNumberFormat="1" applyFont="1" applyBorder="1"/>
    <xf numFmtId="10" fontId="44" fillId="0" borderId="58" xfId="10" applyNumberFormat="1" applyFont="1" applyBorder="1" applyAlignment="1">
      <alignment horizontal="center"/>
    </xf>
    <xf numFmtId="169" fontId="44" fillId="0" borderId="58" xfId="10" applyNumberFormat="1" applyFont="1" applyBorder="1" applyAlignment="1">
      <alignment horizontal="right"/>
    </xf>
    <xf numFmtId="0" fontId="44" fillId="0" borderId="67" xfId="0" applyFont="1" applyBorder="1"/>
    <xf numFmtId="0" fontId="91" fillId="0" borderId="0" xfId="0" applyFont="1"/>
    <xf numFmtId="3" fontId="38" fillId="5" borderId="58" xfId="7" applyNumberFormat="1" applyFont="1" applyFill="1" applyBorder="1" applyAlignment="1">
      <alignment horizontal="center"/>
    </xf>
    <xf numFmtId="169" fontId="44" fillId="0" borderId="58" xfId="10" applyNumberFormat="1" applyFont="1" applyBorder="1"/>
    <xf numFmtId="3" fontId="44" fillId="0" borderId="58" xfId="7" applyNumberFormat="1" applyFont="1" applyFill="1" applyBorder="1" applyAlignment="1">
      <alignment horizontal="right"/>
    </xf>
    <xf numFmtId="0" fontId="44" fillId="0" borderId="0" xfId="0" applyFont="1" applyFill="1" applyBorder="1" applyAlignment="1">
      <alignment horizontal="center"/>
    </xf>
    <xf numFmtId="0" fontId="44" fillId="0" borderId="0" xfId="0" applyFont="1" applyFill="1" applyBorder="1" applyAlignment="1"/>
    <xf numFmtId="3" fontId="38" fillId="5" borderId="58" xfId="7" applyNumberFormat="1" applyFont="1" applyFill="1" applyBorder="1" applyAlignment="1">
      <alignment horizontal="right"/>
    </xf>
    <xf numFmtId="0" fontId="44" fillId="0" borderId="58" xfId="7" applyFont="1" applyFill="1" applyBorder="1"/>
    <xf numFmtId="3" fontId="44" fillId="0" borderId="0" xfId="7" applyNumberFormat="1" applyFont="1"/>
    <xf numFmtId="3" fontId="44" fillId="5" borderId="58" xfId="7" applyNumberFormat="1" applyFont="1" applyFill="1" applyBorder="1" applyAlignment="1">
      <alignment horizontal="center"/>
    </xf>
    <xf numFmtId="176" fontId="44" fillId="0" borderId="58" xfId="7" applyNumberFormat="1" applyFont="1" applyBorder="1"/>
    <xf numFmtId="176" fontId="44" fillId="0" borderId="58" xfId="1" applyNumberFormat="1" applyFont="1" applyBorder="1" applyAlignment="1"/>
    <xf numFmtId="169" fontId="44" fillId="0" borderId="58" xfId="10" applyNumberFormat="1" applyFont="1" applyBorder="1" applyAlignment="1"/>
    <xf numFmtId="3" fontId="44" fillId="0" borderId="67" xfId="7" applyNumberFormat="1" applyFont="1" applyFill="1" applyBorder="1" applyAlignment="1"/>
    <xf numFmtId="0" fontId="92" fillId="0" borderId="67" xfId="0" applyFont="1" applyBorder="1" applyAlignment="1"/>
    <xf numFmtId="3" fontId="93" fillId="0" borderId="67" xfId="7" applyNumberFormat="1" applyFont="1" applyFill="1" applyBorder="1" applyAlignment="1">
      <alignment horizontal="right"/>
    </xf>
    <xf numFmtId="0" fontId="94" fillId="0" borderId="0" xfId="0" applyFont="1"/>
    <xf numFmtId="0" fontId="95" fillId="0" borderId="0" xfId="0" applyFont="1" applyAlignment="1">
      <alignment horizontal="left"/>
    </xf>
    <xf numFmtId="0" fontId="94" fillId="0" borderId="0" xfId="0" applyFont="1" applyProtection="1"/>
    <xf numFmtId="3" fontId="94" fillId="0" borderId="0" xfId="0" applyNumberFormat="1" applyFont="1" applyAlignment="1">
      <alignment vertical="top"/>
    </xf>
    <xf numFmtId="169" fontId="94" fillId="0" borderId="0" xfId="0" applyNumberFormat="1" applyFont="1" applyAlignment="1">
      <alignment vertical="top"/>
    </xf>
    <xf numFmtId="3" fontId="94" fillId="0" borderId="0" xfId="0" applyNumberFormat="1" applyFont="1" applyAlignment="1" applyProtection="1">
      <alignment vertical="top"/>
    </xf>
    <xf numFmtId="169" fontId="94" fillId="0" borderId="0" xfId="0" applyNumberFormat="1" applyFont="1" applyAlignment="1" applyProtection="1">
      <alignment vertical="top"/>
    </xf>
    <xf numFmtId="0" fontId="95" fillId="0" borderId="0" xfId="0" applyFont="1" applyAlignment="1" applyProtection="1">
      <alignment horizontal="right"/>
    </xf>
    <xf numFmtId="169" fontId="94" fillId="0" borderId="0" xfId="0" applyNumberFormat="1" applyFont="1" applyBorder="1" applyAlignment="1" applyProtection="1">
      <alignment vertical="top"/>
    </xf>
    <xf numFmtId="0" fontId="95" fillId="0" borderId="0" xfId="0" applyFont="1" applyBorder="1" applyAlignment="1" applyProtection="1">
      <alignment horizontal="right"/>
    </xf>
    <xf numFmtId="3" fontId="94" fillId="0" borderId="0" xfId="0" applyNumberFormat="1" applyFont="1" applyBorder="1" applyAlignment="1">
      <alignment vertical="top"/>
    </xf>
    <xf numFmtId="169" fontId="94" fillId="0" borderId="0" xfId="0" applyNumberFormat="1" applyFont="1" applyBorder="1" applyAlignment="1">
      <alignment vertical="top"/>
    </xf>
    <xf numFmtId="0" fontId="94" fillId="0" borderId="0" xfId="0" applyFont="1" applyBorder="1"/>
    <xf numFmtId="3" fontId="94" fillId="0" borderId="0" xfId="0" applyNumberFormat="1" applyFont="1" applyBorder="1" applyAlignment="1" applyProtection="1">
      <alignment vertical="top"/>
    </xf>
    <xf numFmtId="0" fontId="95" fillId="0" borderId="0" xfId="0" applyFont="1" applyAlignment="1" applyProtection="1">
      <alignment horizontal="left"/>
    </xf>
    <xf numFmtId="0" fontId="96" fillId="0" borderId="53" xfId="0" applyFont="1" applyBorder="1" applyAlignment="1" applyProtection="1">
      <alignment horizontal="left"/>
    </xf>
    <xf numFmtId="169" fontId="94" fillId="0" borderId="53" xfId="0" applyNumberFormat="1" applyFont="1" applyBorder="1" applyAlignment="1" applyProtection="1">
      <alignment vertical="top"/>
    </xf>
    <xf numFmtId="3" fontId="94" fillId="0" borderId="53" xfId="0" applyNumberFormat="1" applyFont="1" applyBorder="1" applyAlignment="1" applyProtection="1">
      <alignment vertical="top"/>
    </xf>
    <xf numFmtId="3" fontId="94" fillId="0" borderId="53" xfId="0" applyNumberFormat="1" applyFont="1" applyBorder="1" applyAlignment="1">
      <alignment vertical="top"/>
    </xf>
    <xf numFmtId="169" fontId="94" fillId="0" borderId="53" xfId="0" applyNumberFormat="1" applyFont="1" applyBorder="1" applyAlignment="1">
      <alignment vertical="top"/>
    </xf>
    <xf numFmtId="0" fontId="96" fillId="0" borderId="44" xfId="0" applyFont="1" applyBorder="1" applyAlignment="1" applyProtection="1">
      <alignment horizontal="left"/>
    </xf>
    <xf numFmtId="169" fontId="94" fillId="0" borderId="44" xfId="0" applyNumberFormat="1" applyFont="1" applyBorder="1" applyAlignment="1" applyProtection="1">
      <alignment vertical="top"/>
    </xf>
    <xf numFmtId="3" fontId="94" fillId="0" borderId="44" xfId="0" applyNumberFormat="1" applyFont="1" applyBorder="1" applyAlignment="1" applyProtection="1">
      <alignment vertical="top"/>
    </xf>
    <xf numFmtId="3" fontId="94" fillId="0" borderId="44" xfId="0" applyNumberFormat="1" applyFont="1" applyBorder="1" applyAlignment="1">
      <alignment vertical="top"/>
    </xf>
    <xf numFmtId="169" fontId="94" fillId="0" borderId="44" xfId="0" applyNumberFormat="1" applyFont="1" applyBorder="1" applyAlignment="1">
      <alignment vertical="top"/>
    </xf>
    <xf numFmtId="0" fontId="95" fillId="0" borderId="0" xfId="0" applyFont="1" applyBorder="1" applyProtection="1"/>
    <xf numFmtId="0" fontId="96" fillId="0" borderId="44" xfId="0" applyFont="1" applyBorder="1" applyAlignment="1" applyProtection="1">
      <alignment horizontal="center"/>
    </xf>
    <xf numFmtId="0" fontId="96" fillId="0" borderId="0" xfId="0" applyFont="1" applyBorder="1" applyAlignment="1" applyProtection="1">
      <alignment horizontal="center"/>
    </xf>
    <xf numFmtId="0" fontId="95" fillId="0" borderId="0" xfId="0" applyFont="1"/>
    <xf numFmtId="0" fontId="95" fillId="0" borderId="53" xfId="0" applyFont="1" applyBorder="1"/>
    <xf numFmtId="0" fontId="95" fillId="0" borderId="0" xfId="0" applyFont="1" applyBorder="1"/>
    <xf numFmtId="3" fontId="95" fillId="0" borderId="0" xfId="0" applyNumberFormat="1" applyFont="1" applyProtection="1"/>
    <xf numFmtId="169" fontId="95" fillId="0" borderId="0" xfId="0" applyNumberFormat="1" applyFont="1" applyProtection="1"/>
    <xf numFmtId="3" fontId="98" fillId="0" borderId="117" xfId="0" applyNumberFormat="1" applyFont="1" applyBorder="1" applyAlignment="1" applyProtection="1">
      <alignment horizontal="center"/>
    </xf>
    <xf numFmtId="169" fontId="95" fillId="0" borderId="0" xfId="0" applyNumberFormat="1" applyFont="1" applyBorder="1" applyProtection="1"/>
    <xf numFmtId="15" fontId="95" fillId="0" borderId="118" xfId="0" applyNumberFormat="1" applyFont="1" applyBorder="1" applyAlignment="1" applyProtection="1">
      <alignment horizontal="center"/>
      <protection locked="0"/>
    </xf>
    <xf numFmtId="0" fontId="95" fillId="0" borderId="0" xfId="0" applyFont="1" applyProtection="1"/>
    <xf numFmtId="3" fontId="95" fillId="0" borderId="110" xfId="0" applyNumberFormat="1" applyFont="1" applyBorder="1" applyAlignment="1" applyProtection="1">
      <alignment horizontal="center"/>
    </xf>
    <xf numFmtId="169" fontId="95" fillId="0" borderId="110" xfId="0" applyNumberFormat="1" applyFont="1" applyBorder="1" applyAlignment="1" applyProtection="1">
      <alignment horizontal="center"/>
    </xf>
    <xf numFmtId="38" fontId="94" fillId="0" borderId="119" xfId="0" applyNumberFormat="1" applyFont="1" applyBorder="1" applyAlignment="1" applyProtection="1">
      <alignment vertical="top"/>
      <protection locked="0"/>
    </xf>
    <xf numFmtId="169" fontId="94" fillId="0" borderId="120" xfId="0" applyNumberFormat="1" applyFont="1" applyBorder="1" applyAlignment="1" applyProtection="1">
      <alignment vertical="top"/>
    </xf>
    <xf numFmtId="169" fontId="94" fillId="0" borderId="11" xfId="0" applyNumberFormat="1" applyFont="1" applyBorder="1" applyAlignment="1" applyProtection="1">
      <alignment vertical="top"/>
    </xf>
    <xf numFmtId="38" fontId="94" fillId="0" borderId="10" xfId="0" applyNumberFormat="1" applyFont="1" applyBorder="1" applyAlignment="1" applyProtection="1">
      <alignment vertical="top"/>
      <protection locked="0"/>
    </xf>
    <xf numFmtId="38" fontId="94" fillId="0" borderId="12" xfId="0" applyNumberFormat="1" applyFont="1" applyBorder="1" applyAlignment="1" applyProtection="1">
      <alignment vertical="top"/>
      <protection locked="0"/>
    </xf>
    <xf numFmtId="169" fontId="94" fillId="0" borderId="13" xfId="0" applyNumberFormat="1" applyFont="1" applyBorder="1" applyAlignment="1" applyProtection="1">
      <alignment vertical="top"/>
    </xf>
    <xf numFmtId="38" fontId="95" fillId="0" borderId="14" xfId="0" applyNumberFormat="1" applyFont="1" applyBorder="1" applyAlignment="1" applyProtection="1">
      <alignment vertical="top"/>
    </xf>
    <xf numFmtId="169" fontId="95" fillId="0" borderId="15" xfId="0" applyNumberFormat="1" applyFont="1" applyBorder="1" applyAlignment="1" applyProtection="1">
      <alignment vertical="top"/>
    </xf>
    <xf numFmtId="38" fontId="94" fillId="0" borderId="111" xfId="0" applyNumberFormat="1" applyFont="1" applyBorder="1" applyAlignment="1" applyProtection="1">
      <alignment vertical="top"/>
      <protection locked="0"/>
    </xf>
    <xf numFmtId="169" fontId="94" fillId="0" borderId="112" xfId="0" applyNumberFormat="1" applyFont="1" applyBorder="1" applyAlignment="1" applyProtection="1">
      <alignment vertical="top"/>
    </xf>
    <xf numFmtId="38" fontId="95" fillId="5" borderId="113" xfId="0" applyNumberFormat="1" applyFont="1" applyFill="1" applyBorder="1" applyAlignment="1" applyProtection="1">
      <alignment horizontal="right"/>
    </xf>
    <xf numFmtId="169" fontId="95" fillId="5" borderId="114" xfId="0" applyNumberFormat="1" applyFont="1" applyFill="1" applyBorder="1" applyAlignment="1" applyProtection="1">
      <alignment horizontal="right"/>
    </xf>
    <xf numFmtId="38" fontId="94" fillId="0" borderId="115" xfId="0" applyNumberFormat="1" applyFont="1" applyBorder="1" applyAlignment="1" applyProtection="1">
      <alignment vertical="top"/>
      <protection locked="0"/>
    </xf>
    <xf numFmtId="169" fontId="94" fillId="0" borderId="116" xfId="0" applyNumberFormat="1" applyFont="1" applyBorder="1" applyAlignment="1" applyProtection="1">
      <alignment vertical="top"/>
    </xf>
    <xf numFmtId="38" fontId="94" fillId="0" borderId="0" xfId="0" applyNumberFormat="1" applyFont="1"/>
    <xf numFmtId="38" fontId="94" fillId="0" borderId="10" xfId="0" applyNumberFormat="1" applyFont="1" applyFill="1" applyBorder="1" applyAlignment="1" applyProtection="1">
      <alignment vertical="top"/>
      <protection locked="0"/>
    </xf>
    <xf numFmtId="38" fontId="95" fillId="5" borderId="132" xfId="0" applyNumberFormat="1" applyFont="1" applyFill="1" applyBorder="1" applyAlignment="1" applyProtection="1">
      <alignment horizontal="right"/>
    </xf>
    <xf numFmtId="169" fontId="95" fillId="5" borderId="141" xfId="0" applyNumberFormat="1" applyFont="1" applyFill="1" applyBorder="1" applyAlignment="1" applyProtection="1">
      <alignment horizontal="right"/>
    </xf>
    <xf numFmtId="38" fontId="94" fillId="0" borderId="0" xfId="0" applyNumberFormat="1" applyFont="1" applyBorder="1" applyAlignment="1" applyProtection="1">
      <alignment vertical="top"/>
    </xf>
    <xf numFmtId="3" fontId="95" fillId="6" borderId="132" xfId="0" applyNumberFormat="1" applyFont="1" applyFill="1" applyBorder="1" applyAlignment="1" applyProtection="1">
      <alignment horizontal="center"/>
    </xf>
    <xf numFmtId="9" fontId="95" fillId="6" borderId="141" xfId="0" applyNumberFormat="1" applyFont="1" applyFill="1" applyBorder="1" applyAlignment="1" applyProtection="1">
      <alignment horizontal="center"/>
    </xf>
    <xf numFmtId="0" fontId="94" fillId="0" borderId="0" xfId="0" applyFont="1" applyBorder="1" applyProtection="1">
      <protection locked="0"/>
    </xf>
    <xf numFmtId="0" fontId="97" fillId="0" borderId="0" xfId="0" applyFont="1" applyBorder="1" applyProtection="1">
      <protection locked="0"/>
    </xf>
    <xf numFmtId="40" fontId="95" fillId="0" borderId="0" xfId="0" applyNumberFormat="1" applyFont="1" applyBorder="1" applyProtection="1">
      <protection locked="0"/>
    </xf>
    <xf numFmtId="169" fontId="94" fillId="0" borderId="0" xfId="0" applyNumberFormat="1" applyFont="1" applyBorder="1" applyAlignment="1" applyProtection="1">
      <alignment vertical="top"/>
      <protection locked="0"/>
    </xf>
    <xf numFmtId="3" fontId="94" fillId="0" borderId="0" xfId="0" applyNumberFormat="1" applyFont="1" applyBorder="1" applyAlignment="1" applyProtection="1">
      <alignment vertical="top"/>
      <protection locked="0"/>
    </xf>
    <xf numFmtId="0" fontId="94" fillId="0" borderId="0" xfId="0" applyFont="1" applyProtection="1">
      <protection locked="0"/>
    </xf>
    <xf numFmtId="0" fontId="92" fillId="0" borderId="35" xfId="0" applyFont="1" applyBorder="1" applyProtection="1">
      <protection locked="0"/>
    </xf>
    <xf numFmtId="0" fontId="92" fillId="0" borderId="36" xfId="0" applyFont="1" applyBorder="1" applyProtection="1">
      <protection locked="0"/>
    </xf>
    <xf numFmtId="0" fontId="92" fillId="0" borderId="37" xfId="0" applyFont="1" applyBorder="1" applyProtection="1">
      <protection locked="0"/>
    </xf>
    <xf numFmtId="0" fontId="92" fillId="0" borderId="38" xfId="0" applyFont="1" applyBorder="1" applyAlignment="1" applyProtection="1">
      <alignment vertical="top"/>
      <protection locked="0"/>
    </xf>
    <xf numFmtId="0" fontId="92" fillId="0" borderId="0" xfId="0" applyFont="1" applyBorder="1" applyAlignment="1" applyProtection="1">
      <alignment vertical="top"/>
      <protection locked="0"/>
    </xf>
    <xf numFmtId="0" fontId="92" fillId="0" borderId="39" xfId="0" applyFont="1" applyBorder="1" applyAlignment="1" applyProtection="1">
      <alignment vertical="top"/>
      <protection locked="0"/>
    </xf>
    <xf numFmtId="0" fontId="92" fillId="0" borderId="55" xfId="0" applyFont="1" applyBorder="1" applyProtection="1">
      <protection locked="0"/>
    </xf>
    <xf numFmtId="0" fontId="92" fillId="0" borderId="56" xfId="0" applyFont="1" applyBorder="1" applyProtection="1">
      <protection locked="0"/>
    </xf>
    <xf numFmtId="0" fontId="92" fillId="0" borderId="57" xfId="0" applyFont="1" applyBorder="1" applyProtection="1">
      <protection locked="0"/>
    </xf>
    <xf numFmtId="0" fontId="92" fillId="0" borderId="0" xfId="0" applyFont="1"/>
    <xf numFmtId="0" fontId="95" fillId="0" borderId="0" xfId="0" applyFont="1" applyAlignment="1">
      <alignment horizontal="right"/>
    </xf>
    <xf numFmtId="0" fontId="96" fillId="0" borderId="22" xfId="0" applyFont="1" applyBorder="1" applyAlignment="1">
      <alignment horizontal="left"/>
    </xf>
    <xf numFmtId="0" fontId="96" fillId="0" borderId="22" xfId="0" applyFont="1" applyBorder="1" applyAlignment="1">
      <alignment horizontal="center"/>
    </xf>
    <xf numFmtId="0" fontId="96" fillId="0" borderId="0" xfId="0" applyFont="1" applyBorder="1" applyAlignment="1">
      <alignment horizontal="center"/>
    </xf>
    <xf numFmtId="0" fontId="96" fillId="0" borderId="0" xfId="0" applyFont="1" applyBorder="1" applyAlignment="1">
      <alignment horizontal="left"/>
    </xf>
    <xf numFmtId="169" fontId="95" fillId="0" borderId="0" xfId="0" applyNumberFormat="1" applyFont="1"/>
    <xf numFmtId="3" fontId="95" fillId="0" borderId="0" xfId="0" applyNumberFormat="1" applyFont="1"/>
    <xf numFmtId="38" fontId="94" fillId="0" borderId="119" xfId="0" applyNumberFormat="1" applyFont="1" applyBorder="1" applyAlignment="1" applyProtection="1">
      <alignment horizontal="right" vertical="top"/>
      <protection locked="0"/>
    </xf>
    <xf numFmtId="169" fontId="94" fillId="0" borderId="120" xfId="0" applyNumberFormat="1" applyFont="1" applyBorder="1" applyAlignment="1">
      <alignment horizontal="right" vertical="top"/>
    </xf>
    <xf numFmtId="169" fontId="94" fillId="0" borderId="124" xfId="0" applyNumberFormat="1" applyFont="1" applyBorder="1" applyAlignment="1">
      <alignment horizontal="right" vertical="top"/>
    </xf>
    <xf numFmtId="38" fontId="94" fillId="0" borderId="10" xfId="0" applyNumberFormat="1" applyFont="1" applyBorder="1" applyAlignment="1" applyProtection="1">
      <alignment horizontal="right" vertical="top"/>
      <protection locked="0"/>
    </xf>
    <xf numFmtId="169" fontId="94" fillId="0" borderId="11" xfId="0" applyNumberFormat="1" applyFont="1" applyBorder="1" applyAlignment="1">
      <alignment horizontal="right" vertical="top"/>
    </xf>
    <xf numFmtId="169" fontId="94" fillId="0" borderId="121" xfId="0" applyNumberFormat="1" applyFont="1" applyBorder="1" applyAlignment="1">
      <alignment horizontal="right" vertical="top"/>
    </xf>
    <xf numFmtId="38" fontId="94" fillId="0" borderId="12" xfId="0" applyNumberFormat="1" applyFont="1" applyBorder="1" applyAlignment="1" applyProtection="1">
      <alignment horizontal="right" vertical="top"/>
      <protection locked="0"/>
    </xf>
    <xf numFmtId="169" fontId="94" fillId="0" borderId="13" xfId="0" applyNumberFormat="1" applyFont="1" applyBorder="1" applyAlignment="1">
      <alignment horizontal="right" vertical="top"/>
    </xf>
    <xf numFmtId="169" fontId="94" fillId="0" borderId="122" xfId="0" applyNumberFormat="1" applyFont="1" applyBorder="1" applyAlignment="1">
      <alignment horizontal="right" vertical="top"/>
    </xf>
    <xf numFmtId="38" fontId="94" fillId="0" borderId="12" xfId="0" applyNumberFormat="1" applyFont="1" applyFill="1" applyBorder="1" applyAlignment="1" applyProtection="1">
      <alignment horizontal="right" vertical="top"/>
      <protection locked="0"/>
    </xf>
    <xf numFmtId="38" fontId="94" fillId="0" borderId="111" xfId="0" applyNumberFormat="1" applyFont="1" applyBorder="1" applyAlignment="1" applyProtection="1">
      <alignment horizontal="right" vertical="top"/>
      <protection locked="0"/>
    </xf>
    <xf numFmtId="169" fontId="94" fillId="0" borderId="112" xfId="0" applyNumberFormat="1" applyFont="1" applyBorder="1" applyAlignment="1">
      <alignment horizontal="right" vertical="top"/>
    </xf>
    <xf numFmtId="169" fontId="94" fillId="0" borderId="123" xfId="0" applyNumberFormat="1" applyFont="1" applyBorder="1" applyAlignment="1">
      <alignment horizontal="right" vertical="top"/>
    </xf>
    <xf numFmtId="38" fontId="95" fillId="5" borderId="113" xfId="0" applyNumberFormat="1" applyFont="1" applyFill="1" applyBorder="1" applyAlignment="1">
      <alignment horizontal="right" vertical="top"/>
    </xf>
    <xf numFmtId="169" fontId="95" fillId="5" borderId="114" xfId="0" applyNumberFormat="1" applyFont="1" applyFill="1" applyBorder="1" applyAlignment="1">
      <alignment horizontal="right" vertical="top"/>
    </xf>
    <xf numFmtId="169" fontId="95" fillId="5" borderId="128" xfId="0" applyNumberFormat="1" applyFont="1" applyFill="1" applyBorder="1" applyAlignment="1">
      <alignment horizontal="right" vertical="top"/>
    </xf>
    <xf numFmtId="38" fontId="94" fillId="0" borderId="125" xfId="0" applyNumberFormat="1" applyFont="1" applyBorder="1" applyAlignment="1" applyProtection="1">
      <alignment horizontal="right" vertical="top"/>
      <protection locked="0"/>
    </xf>
    <xf numFmtId="169" fontId="94" fillId="0" borderId="126" xfId="0" applyNumberFormat="1" applyFont="1" applyBorder="1" applyAlignment="1">
      <alignment horizontal="right" vertical="top"/>
    </xf>
    <xf numFmtId="169" fontId="94" fillId="0" borderId="127" xfId="0" applyNumberFormat="1" applyFont="1" applyBorder="1" applyAlignment="1">
      <alignment horizontal="right" vertical="top"/>
    </xf>
    <xf numFmtId="38" fontId="100" fillId="0" borderId="12" xfId="0" applyNumberFormat="1" applyFont="1" applyBorder="1" applyAlignment="1" applyProtection="1">
      <alignment horizontal="right" vertical="top"/>
    </xf>
    <xf numFmtId="38" fontId="100" fillId="0" borderId="111" xfId="0" applyNumberFormat="1" applyFont="1" applyBorder="1" applyAlignment="1" applyProtection="1">
      <alignment horizontal="right" vertical="top"/>
    </xf>
    <xf numFmtId="38" fontId="94" fillId="0" borderId="132" xfId="0" applyNumberFormat="1" applyFont="1" applyBorder="1" applyAlignment="1">
      <alignment horizontal="right" vertical="top"/>
    </xf>
    <xf numFmtId="169" fontId="94" fillId="0" borderId="133" xfId="0" applyNumberFormat="1" applyFont="1" applyBorder="1" applyAlignment="1">
      <alignment horizontal="right" vertical="top"/>
    </xf>
    <xf numFmtId="38" fontId="94" fillId="0" borderId="132" xfId="0" applyNumberFormat="1" applyFont="1" applyFill="1" applyBorder="1" applyAlignment="1" applyProtection="1">
      <alignment horizontal="right" vertical="top"/>
      <protection locked="0"/>
    </xf>
    <xf numFmtId="169" fontId="94" fillId="0" borderId="134" xfId="0" applyNumberFormat="1" applyFont="1" applyBorder="1" applyAlignment="1">
      <alignment horizontal="right" vertical="top"/>
    </xf>
    <xf numFmtId="38" fontId="95" fillId="5" borderId="129" xfId="0" applyNumberFormat="1" applyFont="1" applyFill="1" applyBorder="1" applyAlignment="1">
      <alignment horizontal="right" vertical="top"/>
    </xf>
    <xf numFmtId="169" fontId="95" fillId="5" borderId="130" xfId="0" applyNumberFormat="1" applyFont="1" applyFill="1" applyBorder="1" applyAlignment="1">
      <alignment horizontal="right" vertical="top"/>
    </xf>
    <xf numFmtId="169" fontId="95" fillId="5" borderId="131" xfId="0" applyNumberFormat="1" applyFont="1" applyFill="1" applyBorder="1" applyAlignment="1">
      <alignment horizontal="right" vertical="top"/>
    </xf>
    <xf numFmtId="3" fontId="94" fillId="0" borderId="0" xfId="0" applyNumberFormat="1" applyFont="1" applyFill="1" applyBorder="1" applyAlignment="1">
      <alignment vertical="top"/>
    </xf>
    <xf numFmtId="169" fontId="94" fillId="0" borderId="140" xfId="0" applyNumberFormat="1" applyFont="1" applyBorder="1" applyAlignment="1">
      <alignment vertical="top"/>
    </xf>
    <xf numFmtId="0" fontId="95" fillId="0" borderId="0" xfId="0" applyFont="1" applyBorder="1" applyAlignment="1">
      <alignment horizontal="justify" vertical="top" wrapText="1"/>
    </xf>
    <xf numFmtId="173" fontId="95" fillId="0" borderId="0" xfId="0" applyNumberFormat="1" applyFont="1" applyFill="1" applyBorder="1" applyAlignment="1">
      <alignment horizontal="center" vertical="top"/>
    </xf>
    <xf numFmtId="173" fontId="95" fillId="0" borderId="0" xfId="0" applyNumberFormat="1" applyFont="1" applyBorder="1" applyAlignment="1">
      <alignment horizontal="center" vertical="top"/>
    </xf>
    <xf numFmtId="173" fontId="95" fillId="0" borderId="76" xfId="0" applyNumberFormat="1" applyFont="1" applyFill="1" applyBorder="1" applyAlignment="1">
      <alignment horizontal="center" vertical="top"/>
    </xf>
    <xf numFmtId="0" fontId="101" fillId="0" borderId="0" xfId="0" applyFont="1" applyBorder="1" applyAlignment="1">
      <alignment horizontal="justify" vertical="top" wrapText="1"/>
    </xf>
    <xf numFmtId="173" fontId="101" fillId="0" borderId="0" xfId="0" applyNumberFormat="1" applyFont="1" applyFill="1" applyBorder="1" applyAlignment="1">
      <alignment horizontal="center" vertical="top"/>
    </xf>
    <xf numFmtId="173" fontId="101" fillId="0" borderId="0" xfId="0" applyNumberFormat="1" applyFont="1" applyBorder="1" applyAlignment="1">
      <alignment horizontal="center" vertical="top"/>
    </xf>
    <xf numFmtId="0" fontId="97" fillId="0" borderId="0" xfId="0" applyFont="1" applyBorder="1"/>
    <xf numFmtId="40" fontId="95" fillId="0" borderId="0" xfId="0" applyNumberFormat="1" applyFont="1" applyBorder="1"/>
    <xf numFmtId="169" fontId="94" fillId="0" borderId="120" xfId="0" applyNumberFormat="1" applyFont="1" applyBorder="1" applyAlignment="1">
      <alignment vertical="top"/>
    </xf>
    <xf numFmtId="169" fontId="94" fillId="0" borderId="186" xfId="0" applyNumberFormat="1" applyFont="1" applyBorder="1" applyAlignment="1">
      <alignment vertical="top"/>
    </xf>
    <xf numFmtId="0" fontId="94" fillId="0" borderId="71" xfId="0" applyFont="1" applyBorder="1"/>
    <xf numFmtId="169" fontId="94" fillId="0" borderId="112" xfId="0" applyNumberFormat="1" applyFont="1" applyBorder="1" applyAlignment="1">
      <alignment vertical="top"/>
    </xf>
    <xf numFmtId="169" fontId="94" fillId="0" borderId="137" xfId="0" applyNumberFormat="1" applyFont="1" applyBorder="1" applyAlignment="1">
      <alignment vertical="top"/>
    </xf>
    <xf numFmtId="0" fontId="94" fillId="0" borderId="0" xfId="0" applyFont="1" applyAlignment="1">
      <alignment horizontal="right"/>
    </xf>
    <xf numFmtId="169" fontId="94" fillId="0" borderId="116" xfId="0" applyNumberFormat="1" applyFont="1" applyBorder="1" applyAlignment="1">
      <alignment vertical="top"/>
    </xf>
    <xf numFmtId="169" fontId="94" fillId="0" borderId="136" xfId="0" applyNumberFormat="1" applyFont="1" applyBorder="1" applyAlignment="1">
      <alignment vertical="top"/>
    </xf>
    <xf numFmtId="169" fontId="94" fillId="0" borderId="11" xfId="0" applyNumberFormat="1" applyFont="1" applyBorder="1" applyAlignment="1">
      <alignment vertical="top"/>
    </xf>
    <xf numFmtId="169" fontId="94" fillId="0" borderId="135" xfId="0" applyNumberFormat="1" applyFont="1" applyBorder="1" applyAlignment="1">
      <alignment vertical="top"/>
    </xf>
    <xf numFmtId="38" fontId="95" fillId="0" borderId="111" xfId="0" applyNumberFormat="1" applyFont="1" applyBorder="1" applyAlignment="1" applyProtection="1">
      <alignment vertical="top"/>
      <protection locked="0"/>
    </xf>
    <xf numFmtId="169" fontId="95" fillId="0" borderId="112" xfId="0" applyNumberFormat="1" applyFont="1" applyBorder="1" applyAlignment="1">
      <alignment vertical="top"/>
    </xf>
    <xf numFmtId="169" fontId="95" fillId="0" borderId="137" xfId="0" applyNumberFormat="1" applyFont="1" applyBorder="1" applyAlignment="1">
      <alignment vertical="top"/>
    </xf>
    <xf numFmtId="38" fontId="95" fillId="0" borderId="10" xfId="0" applyNumberFormat="1" applyFont="1" applyBorder="1" applyAlignment="1">
      <alignment vertical="top"/>
    </xf>
    <xf numFmtId="169" fontId="95" fillId="0" borderId="11" xfId="0" applyNumberFormat="1" applyFont="1" applyBorder="1" applyAlignment="1">
      <alignment vertical="top"/>
    </xf>
    <xf numFmtId="169" fontId="95" fillId="0" borderId="135" xfId="0" applyNumberFormat="1" applyFont="1" applyBorder="1" applyAlignment="1">
      <alignment vertical="top"/>
    </xf>
    <xf numFmtId="38" fontId="94" fillId="0" borderId="132" xfId="0" applyNumberFormat="1" applyFont="1" applyFill="1" applyBorder="1" applyAlignment="1" applyProtection="1">
      <alignment vertical="top"/>
      <protection locked="0"/>
    </xf>
    <xf numFmtId="169" fontId="94" fillId="0" borderId="133" xfId="0" applyNumberFormat="1" applyFont="1" applyBorder="1" applyAlignment="1">
      <alignment vertical="top"/>
    </xf>
    <xf numFmtId="38" fontId="94" fillId="0" borderId="132" xfId="0" applyNumberFormat="1" applyFont="1" applyBorder="1" applyAlignment="1" applyProtection="1">
      <alignment vertical="top"/>
      <protection locked="0"/>
    </xf>
    <xf numFmtId="169" fontId="94" fillId="0" borderId="138" xfId="0" applyNumberFormat="1" applyFont="1" applyBorder="1" applyAlignment="1">
      <alignment vertical="top"/>
    </xf>
    <xf numFmtId="0" fontId="94" fillId="0" borderId="0" xfId="0" quotePrefix="1" applyFont="1" applyBorder="1" applyAlignment="1">
      <alignment horizontal="justify" vertical="top" wrapText="1"/>
    </xf>
    <xf numFmtId="0" fontId="94" fillId="0" borderId="0" xfId="0" applyFont="1" applyBorder="1" applyAlignment="1">
      <alignment horizontal="justify" vertical="top" wrapText="1"/>
    </xf>
    <xf numFmtId="0" fontId="96" fillId="0" borderId="53" xfId="0" applyFont="1" applyBorder="1" applyAlignment="1">
      <alignment horizontal="left"/>
    </xf>
    <xf numFmtId="0" fontId="95" fillId="0" borderId="0" xfId="0" applyFont="1" applyBorder="1" applyAlignment="1">
      <alignment horizontal="right"/>
    </xf>
    <xf numFmtId="0" fontId="96" fillId="0" borderId="44" xfId="0" applyFont="1" applyBorder="1" applyAlignment="1">
      <alignment horizontal="left"/>
    </xf>
    <xf numFmtId="15" fontId="95" fillId="0" borderId="23" xfId="0" applyNumberFormat="1" applyFont="1" applyBorder="1" applyAlignment="1">
      <alignment horizontal="center"/>
    </xf>
    <xf numFmtId="15" fontId="95" fillId="0" borderId="24" xfId="0" applyNumberFormat="1" applyFont="1" applyBorder="1" applyAlignment="1">
      <alignment horizontal="center"/>
    </xf>
    <xf numFmtId="15" fontId="95" fillId="0" borderId="25" xfId="0" applyNumberFormat="1" applyFont="1" applyBorder="1" applyAlignment="1">
      <alignment horizontal="center"/>
    </xf>
    <xf numFmtId="0" fontId="95" fillId="0" borderId="23" xfId="0" applyNumberFormat="1" applyFont="1" applyBorder="1" applyAlignment="1">
      <alignment horizontal="center"/>
    </xf>
    <xf numFmtId="0" fontId="95" fillId="0" borderId="24" xfId="0" applyNumberFormat="1" applyFont="1" applyBorder="1" applyAlignment="1">
      <alignment horizontal="center"/>
    </xf>
    <xf numFmtId="0" fontId="95" fillId="0" borderId="25" xfId="0" applyNumberFormat="1" applyFont="1" applyBorder="1" applyAlignment="1">
      <alignment horizontal="center"/>
    </xf>
    <xf numFmtId="0" fontId="95" fillId="5" borderId="214" xfId="0" applyFont="1" applyFill="1" applyBorder="1" applyAlignment="1"/>
    <xf numFmtId="0" fontId="95" fillId="5" borderId="215" xfId="0" applyFont="1" applyFill="1" applyBorder="1" applyAlignment="1"/>
    <xf numFmtId="0" fontId="95" fillId="5" borderId="216" xfId="0" applyFont="1" applyFill="1" applyBorder="1" applyAlignment="1"/>
    <xf numFmtId="15" fontId="95" fillId="0" borderId="0" xfId="0" applyNumberFormat="1" applyFont="1" applyBorder="1" applyAlignment="1">
      <alignment horizontal="center"/>
    </xf>
    <xf numFmtId="3" fontId="103" fillId="0" borderId="0" xfId="0" applyNumberFormat="1" applyFont="1" applyBorder="1" applyAlignment="1">
      <alignment horizontal="center"/>
    </xf>
    <xf numFmtId="0" fontId="94" fillId="0" borderId="235" xfId="0" applyFont="1" applyBorder="1" applyAlignment="1"/>
    <xf numFmtId="0" fontId="94" fillId="0" borderId="217" xfId="0" applyFont="1" applyBorder="1" applyAlignment="1"/>
    <xf numFmtId="0" fontId="94" fillId="0" borderId="236" xfId="0" applyFont="1" applyBorder="1" applyAlignment="1"/>
    <xf numFmtId="169" fontId="94" fillId="0" borderId="26" xfId="10" applyNumberFormat="1" applyFont="1" applyBorder="1" applyAlignment="1">
      <alignment horizontal="center"/>
    </xf>
    <xf numFmtId="169" fontId="94" fillId="0" borderId="27" xfId="10" applyNumberFormat="1" applyFont="1" applyBorder="1" applyAlignment="1">
      <alignment horizontal="center"/>
    </xf>
    <xf numFmtId="0" fontId="94" fillId="0" borderId="237" xfId="0" applyFont="1" applyBorder="1" applyAlignment="1"/>
    <xf numFmtId="0" fontId="94" fillId="0" borderId="194" xfId="0" applyFont="1" applyBorder="1" applyAlignment="1"/>
    <xf numFmtId="0" fontId="94" fillId="0" borderId="11" xfId="0" applyFont="1" applyBorder="1" applyAlignment="1"/>
    <xf numFmtId="173" fontId="94" fillId="0" borderId="28" xfId="10" applyNumberFormat="1" applyFont="1" applyBorder="1" applyAlignment="1">
      <alignment horizontal="center"/>
    </xf>
    <xf numFmtId="173" fontId="94" fillId="0" borderId="29" xfId="10" applyNumberFormat="1" applyFont="1" applyBorder="1" applyAlignment="1">
      <alignment horizontal="center"/>
    </xf>
    <xf numFmtId="169" fontId="94" fillId="0" borderId="28" xfId="10" applyNumberFormat="1" applyFont="1" applyBorder="1" applyAlignment="1">
      <alignment horizontal="center"/>
    </xf>
    <xf numFmtId="169" fontId="94" fillId="0" borderId="29" xfId="10" applyNumberFormat="1" applyFont="1" applyBorder="1" applyAlignment="1">
      <alignment horizontal="center"/>
    </xf>
    <xf numFmtId="0" fontId="94" fillId="0" borderId="238" xfId="0" applyFont="1" applyBorder="1" applyAlignment="1"/>
    <xf numFmtId="0" fontId="94" fillId="0" borderId="239" xfId="0" applyFont="1" applyBorder="1" applyAlignment="1"/>
    <xf numFmtId="0" fontId="94" fillId="0" borderId="240" xfId="0" applyFont="1" applyBorder="1" applyAlignment="1"/>
    <xf numFmtId="169" fontId="94" fillId="0" borderId="30" xfId="10" applyNumberFormat="1" applyFont="1" applyBorder="1" applyAlignment="1">
      <alignment horizontal="center"/>
    </xf>
    <xf numFmtId="169" fontId="94" fillId="0" borderId="31" xfId="10" applyNumberFormat="1" applyFont="1" applyBorder="1" applyAlignment="1">
      <alignment horizontal="center"/>
    </xf>
    <xf numFmtId="0" fontId="94" fillId="0" borderId="32" xfId="0" applyFont="1" applyBorder="1" applyAlignment="1"/>
    <xf numFmtId="0" fontId="94" fillId="0" borderId="34" xfId="0" applyFont="1" applyBorder="1" applyAlignment="1"/>
    <xf numFmtId="174" fontId="94" fillId="0" borderId="28" xfId="10" applyNumberFormat="1" applyFont="1" applyBorder="1" applyAlignment="1">
      <alignment horizontal="center"/>
    </xf>
    <xf numFmtId="173" fontId="94" fillId="0" borderId="30" xfId="10" applyNumberFormat="1" applyFont="1" applyBorder="1" applyAlignment="1">
      <alignment horizontal="center"/>
    </xf>
    <xf numFmtId="173" fontId="94" fillId="0" borderId="31" xfId="10" applyNumberFormat="1" applyFont="1" applyBorder="1" applyAlignment="1">
      <alignment horizontal="center"/>
    </xf>
    <xf numFmtId="0" fontId="94" fillId="0" borderId="215" xfId="0" applyFont="1" applyBorder="1" applyAlignment="1"/>
    <xf numFmtId="3" fontId="97" fillId="0" borderId="0" xfId="0" applyNumberFormat="1" applyFont="1" applyBorder="1" applyAlignment="1">
      <alignment horizontal="center"/>
    </xf>
    <xf numFmtId="3" fontId="94" fillId="0" borderId="0" xfId="0" applyNumberFormat="1" applyFont="1" applyBorder="1" applyAlignment="1">
      <alignment horizontal="center"/>
    </xf>
    <xf numFmtId="38" fontId="94" fillId="0" borderId="26" xfId="0" applyNumberFormat="1" applyFont="1" applyBorder="1" applyAlignment="1">
      <alignment horizontal="center"/>
    </xf>
    <xf numFmtId="38" fontId="94" fillId="0" borderId="27" xfId="0" applyNumberFormat="1" applyFont="1" applyBorder="1" applyAlignment="1">
      <alignment horizontal="center"/>
    </xf>
    <xf numFmtId="38" fontId="94" fillId="0" borderId="28" xfId="0" applyNumberFormat="1" applyFont="1" applyBorder="1" applyAlignment="1">
      <alignment horizontal="center"/>
    </xf>
    <xf numFmtId="38" fontId="94" fillId="0" borderId="29" xfId="0" applyNumberFormat="1" applyFont="1" applyBorder="1" applyAlignment="1">
      <alignment horizontal="center"/>
    </xf>
    <xf numFmtId="3" fontId="94" fillId="0" borderId="28" xfId="0" applyNumberFormat="1" applyFont="1" applyBorder="1" applyAlignment="1">
      <alignment horizontal="center"/>
    </xf>
    <xf numFmtId="3" fontId="94" fillId="0" borderId="29" xfId="0" applyNumberFormat="1" applyFont="1" applyBorder="1" applyAlignment="1">
      <alignment horizontal="center"/>
    </xf>
    <xf numFmtId="173" fontId="94" fillId="0" borderId="30" xfId="0" applyNumberFormat="1" applyFont="1" applyBorder="1" applyAlignment="1">
      <alignment horizontal="center"/>
    </xf>
    <xf numFmtId="173" fontId="94" fillId="0" borderId="31" xfId="0" applyNumberFormat="1" applyFont="1" applyBorder="1" applyAlignment="1">
      <alignment horizontal="center"/>
    </xf>
    <xf numFmtId="0" fontId="94" fillId="0" borderId="32" xfId="0" applyFont="1" applyBorder="1"/>
    <xf numFmtId="15" fontId="95" fillId="0" borderId="33" xfId="0" applyNumberFormat="1" applyFont="1" applyBorder="1" applyAlignment="1">
      <alignment horizontal="center"/>
    </xf>
    <xf numFmtId="15" fontId="95" fillId="0" borderId="34" xfId="0" applyNumberFormat="1" applyFont="1" applyBorder="1" applyAlignment="1">
      <alignment horizontal="center"/>
    </xf>
    <xf numFmtId="173" fontId="94" fillId="0" borderId="28" xfId="0" applyNumberFormat="1" applyFont="1" applyBorder="1" applyAlignment="1">
      <alignment horizontal="center"/>
    </xf>
    <xf numFmtId="173" fontId="94" fillId="0" borderId="29" xfId="0" applyNumberFormat="1" applyFont="1" applyBorder="1" applyAlignment="1">
      <alignment horizontal="center"/>
    </xf>
    <xf numFmtId="191" fontId="94" fillId="0" borderId="28" xfId="0" applyNumberFormat="1" applyFont="1" applyBorder="1" applyAlignment="1">
      <alignment horizontal="center"/>
    </xf>
    <xf numFmtId="191" fontId="94" fillId="0" borderId="29" xfId="0" applyNumberFormat="1" applyFont="1" applyBorder="1" applyAlignment="1">
      <alignment horizontal="center"/>
    </xf>
    <xf numFmtId="9" fontId="94" fillId="0" borderId="28" xfId="10" applyFont="1" applyBorder="1" applyAlignment="1">
      <alignment horizontal="center"/>
    </xf>
    <xf numFmtId="9" fontId="94" fillId="0" borderId="29" xfId="10" applyFont="1" applyBorder="1" applyAlignment="1">
      <alignment horizontal="center"/>
    </xf>
    <xf numFmtId="173" fontId="94" fillId="0" borderId="0" xfId="0" applyNumberFormat="1" applyFont="1" applyBorder="1" applyAlignment="1">
      <alignment horizontal="center"/>
    </xf>
    <xf numFmtId="3" fontId="44" fillId="16" borderId="0" xfId="0" applyNumberFormat="1" applyFont="1" applyFill="1" applyBorder="1" applyAlignment="1">
      <alignment horizontal="right" wrapText="1"/>
    </xf>
    <xf numFmtId="0" fontId="104" fillId="0" borderId="0" xfId="0" applyFont="1"/>
    <xf numFmtId="173" fontId="44" fillId="16" borderId="0" xfId="0" applyNumberFormat="1" applyFont="1" applyFill="1" applyBorder="1" applyAlignment="1">
      <alignment horizontal="right" wrapText="1"/>
    </xf>
    <xf numFmtId="0" fontId="105" fillId="0" borderId="0" xfId="0" applyFont="1" applyBorder="1"/>
    <xf numFmtId="0" fontId="107" fillId="0" borderId="0" xfId="0" applyFont="1" applyBorder="1"/>
    <xf numFmtId="0" fontId="108" fillId="0" borderId="0" xfId="0" applyFont="1"/>
    <xf numFmtId="0" fontId="107" fillId="0" borderId="0" xfId="0" applyFont="1"/>
    <xf numFmtId="0" fontId="107" fillId="0" borderId="0" xfId="0" applyFont="1" applyAlignment="1">
      <alignment horizontal="right"/>
    </xf>
    <xf numFmtId="0" fontId="71" fillId="0" borderId="0" xfId="0" applyFont="1" applyBorder="1"/>
    <xf numFmtId="0" fontId="109" fillId="0" borderId="0" xfId="0" applyFont="1" applyBorder="1"/>
    <xf numFmtId="0" fontId="110" fillId="0" borderId="0" xfId="0" applyFont="1" applyBorder="1" applyAlignment="1">
      <alignment horizontal="right"/>
    </xf>
    <xf numFmtId="0" fontId="109" fillId="0" borderId="0" xfId="0" applyFont="1" applyBorder="1" applyAlignment="1">
      <alignment horizontal="right"/>
    </xf>
    <xf numFmtId="3" fontId="109" fillId="0" borderId="0" xfId="0" applyNumberFormat="1" applyFont="1" applyBorder="1" applyAlignment="1">
      <alignment horizontal="right"/>
    </xf>
    <xf numFmtId="3" fontId="110" fillId="0" borderId="0" xfId="0" applyNumberFormat="1" applyFont="1" applyBorder="1" applyAlignment="1">
      <alignment horizontal="right"/>
    </xf>
    <xf numFmtId="0" fontId="110" fillId="0" borderId="0" xfId="0" applyFont="1"/>
    <xf numFmtId="0" fontId="106" fillId="0" borderId="0" xfId="0" applyFont="1"/>
    <xf numFmtId="0" fontId="109" fillId="0" borderId="0" xfId="0" applyFont="1"/>
    <xf numFmtId="0" fontId="105" fillId="0" borderId="0" xfId="0" applyFont="1"/>
    <xf numFmtId="0" fontId="109" fillId="0" borderId="0" xfId="0" applyFont="1" applyAlignment="1">
      <alignment horizontal="right"/>
    </xf>
    <xf numFmtId="0" fontId="105" fillId="0" borderId="0" xfId="0" applyFont="1" applyAlignment="1">
      <alignment horizontal="right"/>
    </xf>
    <xf numFmtId="9" fontId="109" fillId="0" borderId="0" xfId="10" applyFont="1"/>
    <xf numFmtId="9" fontId="109" fillId="0" borderId="0" xfId="10" applyFont="1" applyBorder="1"/>
    <xf numFmtId="9" fontId="110" fillId="0" borderId="0" xfId="10" applyFont="1" applyBorder="1"/>
    <xf numFmtId="3" fontId="38" fillId="5" borderId="82" xfId="7" applyNumberFormat="1" applyFont="1" applyFill="1" applyBorder="1" applyAlignment="1">
      <alignment horizontal="center"/>
    </xf>
    <xf numFmtId="175" fontId="38" fillId="5" borderId="83" xfId="7" applyNumberFormat="1" applyFont="1" applyFill="1" applyBorder="1" applyAlignment="1">
      <alignment horizontal="center"/>
    </xf>
    <xf numFmtId="175" fontId="38" fillId="5" borderId="84" xfId="7" quotePrefix="1" applyNumberFormat="1" applyFont="1" applyFill="1" applyBorder="1" applyAlignment="1">
      <alignment horizontal="center"/>
    </xf>
    <xf numFmtId="3" fontId="38" fillId="0" borderId="0" xfId="7" applyNumberFormat="1" applyFont="1" applyFill="1" applyBorder="1" applyAlignment="1">
      <alignment horizontal="center"/>
    </xf>
    <xf numFmtId="0" fontId="44" fillId="0" borderId="0" xfId="0" applyFont="1" applyAlignment="1"/>
    <xf numFmtId="173" fontId="44" fillId="0" borderId="58" xfId="7" applyNumberFormat="1" applyFont="1" applyBorder="1"/>
    <xf numFmtId="3" fontId="44" fillId="0" borderId="77" xfId="7" applyNumberFormat="1" applyFont="1" applyBorder="1"/>
    <xf numFmtId="173" fontId="44" fillId="0" borderId="62" xfId="7" applyNumberFormat="1" applyFont="1" applyBorder="1"/>
    <xf numFmtId="175" fontId="38" fillId="0" borderId="0" xfId="7" applyNumberFormat="1" applyFont="1" applyFill="1" applyBorder="1" applyAlignment="1">
      <alignment horizontal="center"/>
    </xf>
    <xf numFmtId="175" fontId="38" fillId="0" borderId="0" xfId="7" quotePrefix="1" applyNumberFormat="1" applyFont="1" applyFill="1" applyBorder="1" applyAlignment="1">
      <alignment horizontal="center"/>
    </xf>
    <xf numFmtId="3" fontId="44" fillId="0" borderId="0" xfId="7" applyNumberFormat="1" applyFont="1" applyFill="1" applyBorder="1" applyAlignment="1"/>
    <xf numFmtId="173" fontId="44" fillId="0" borderId="0" xfId="7" applyNumberFormat="1" applyFont="1" applyFill="1" applyBorder="1" applyAlignment="1"/>
    <xf numFmtId="3" fontId="44" fillId="0" borderId="63" xfId="7" applyNumberFormat="1" applyFont="1" applyBorder="1"/>
    <xf numFmtId="169" fontId="44" fillId="0" borderId="64" xfId="10" applyNumberFormat="1" applyFont="1" applyBorder="1" applyAlignment="1">
      <alignment horizontal="right"/>
    </xf>
    <xf numFmtId="169" fontId="44" fillId="0" borderId="65" xfId="10" applyNumberFormat="1" applyFont="1" applyBorder="1"/>
    <xf numFmtId="0" fontId="44" fillId="0" borderId="0" xfId="7" applyFont="1"/>
    <xf numFmtId="175" fontId="38" fillId="0" borderId="0" xfId="7" applyNumberFormat="1" applyFont="1"/>
    <xf numFmtId="3" fontId="38" fillId="0" borderId="0" xfId="7" applyNumberFormat="1" applyFont="1"/>
    <xf numFmtId="0" fontId="38" fillId="0" borderId="0" xfId="7" applyFont="1"/>
    <xf numFmtId="0" fontId="44" fillId="0" borderId="82" xfId="0" applyFont="1" applyBorder="1"/>
    <xf numFmtId="169" fontId="44" fillId="0" borderId="0" xfId="10" applyNumberFormat="1" applyFont="1" applyFill="1" applyBorder="1" applyAlignment="1"/>
    <xf numFmtId="3" fontId="44" fillId="0" borderId="63" xfId="7" applyNumberFormat="1" applyFont="1" applyFill="1" applyBorder="1"/>
    <xf numFmtId="173" fontId="44" fillId="0" borderId="64" xfId="7" applyNumberFormat="1" applyFont="1" applyFill="1" applyBorder="1"/>
    <xf numFmtId="173" fontId="44" fillId="0" borderId="65" xfId="7" applyNumberFormat="1" applyFont="1" applyFill="1" applyBorder="1"/>
    <xf numFmtId="3" fontId="44" fillId="0" borderId="0" xfId="7" applyNumberFormat="1" applyFont="1" applyFill="1" applyBorder="1"/>
    <xf numFmtId="173" fontId="44" fillId="0" borderId="0" xfId="7" applyNumberFormat="1" applyFont="1" applyFill="1" applyBorder="1"/>
    <xf numFmtId="173" fontId="44" fillId="0" borderId="0" xfId="10" applyNumberFormat="1" applyFont="1" applyFill="1" applyBorder="1"/>
    <xf numFmtId="0" fontId="44" fillId="0" borderId="0" xfId="0" applyFont="1" applyFill="1" applyBorder="1"/>
    <xf numFmtId="0" fontId="44" fillId="0" borderId="0" xfId="7" applyFont="1" applyFill="1" applyBorder="1" applyAlignment="1"/>
    <xf numFmtId="176" fontId="44" fillId="0" borderId="0" xfId="7" applyNumberFormat="1" applyFont="1" applyFill="1" applyBorder="1" applyAlignment="1"/>
    <xf numFmtId="0" fontId="44" fillId="0" borderId="0" xfId="0" applyFont="1" applyAlignment="1">
      <alignment vertical="center"/>
    </xf>
    <xf numFmtId="175" fontId="38" fillId="5" borderId="79" xfId="7" applyNumberFormat="1" applyFont="1" applyFill="1" applyBorder="1" applyAlignment="1">
      <alignment horizontal="center" vertical="center"/>
    </xf>
    <xf numFmtId="175" fontId="38" fillId="5" borderId="80" xfId="7" applyNumberFormat="1" applyFont="1" applyFill="1" applyBorder="1" applyAlignment="1">
      <alignment horizontal="center" vertical="center"/>
    </xf>
    <xf numFmtId="175" fontId="38" fillId="7" borderId="77" xfId="0" applyNumberFormat="1" applyFont="1" applyFill="1" applyBorder="1" applyAlignment="1" applyProtection="1">
      <alignment horizontal="center"/>
    </xf>
    <xf numFmtId="175" fontId="38" fillId="7" borderId="58" xfId="0" applyNumberFormat="1" applyFont="1" applyFill="1" applyBorder="1" applyAlignment="1" applyProtection="1">
      <alignment horizontal="center"/>
    </xf>
    <xf numFmtId="175" fontId="38" fillId="7" borderId="156" xfId="0" applyNumberFormat="1" applyFont="1" applyFill="1" applyBorder="1" applyAlignment="1" applyProtection="1">
      <alignment horizontal="center"/>
    </xf>
    <xf numFmtId="175" fontId="38" fillId="7" borderId="45" xfId="0" applyNumberFormat="1" applyFont="1" applyFill="1" applyBorder="1" applyAlignment="1" applyProtection="1">
      <alignment horizontal="center"/>
    </xf>
    <xf numFmtId="3" fontId="44" fillId="12" borderId="83" xfId="7" applyNumberFormat="1" applyFont="1" applyFill="1" applyBorder="1" applyAlignment="1">
      <alignment horizontal="right" vertical="center"/>
    </xf>
    <xf numFmtId="3" fontId="44" fillId="12" borderId="241" xfId="7" applyNumberFormat="1" applyFont="1" applyFill="1" applyBorder="1" applyAlignment="1">
      <alignment horizontal="right" vertical="center"/>
    </xf>
    <xf numFmtId="3" fontId="44" fillId="12" borderId="82" xfId="7" applyNumberFormat="1" applyFont="1" applyFill="1" applyBorder="1" applyAlignment="1">
      <alignment horizontal="right" vertical="center"/>
    </xf>
    <xf numFmtId="3" fontId="44" fillId="12" borderId="107" xfId="7" applyNumberFormat="1" applyFont="1" applyFill="1" applyBorder="1" applyAlignment="1">
      <alignment horizontal="right" vertical="center"/>
    </xf>
    <xf numFmtId="3" fontId="44" fillId="12" borderId="190" xfId="7" applyNumberFormat="1" applyFont="1" applyFill="1" applyBorder="1" applyAlignment="1">
      <alignment horizontal="right" vertical="center"/>
    </xf>
    <xf numFmtId="3" fontId="44" fillId="12" borderId="58" xfId="7" applyNumberFormat="1" applyFont="1" applyFill="1" applyBorder="1" applyAlignment="1">
      <alignment horizontal="right" vertical="center"/>
    </xf>
    <xf numFmtId="3" fontId="44" fillId="12" borderId="43" xfId="7" applyNumberFormat="1" applyFont="1" applyFill="1" applyBorder="1" applyAlignment="1">
      <alignment horizontal="right" vertical="center"/>
    </xf>
    <xf numFmtId="3" fontId="44" fillId="12" borderId="77" xfId="7" applyNumberFormat="1" applyFont="1" applyFill="1" applyBorder="1" applyAlignment="1">
      <alignment horizontal="right" vertical="center"/>
    </xf>
    <xf numFmtId="3" fontId="44" fillId="12" borderId="156" xfId="7" applyNumberFormat="1" applyFont="1" applyFill="1" applyBorder="1" applyAlignment="1">
      <alignment horizontal="right" vertical="center"/>
    </xf>
    <xf numFmtId="3" fontId="44" fillId="12" borderId="45" xfId="7" applyNumberFormat="1" applyFont="1" applyFill="1" applyBorder="1" applyAlignment="1">
      <alignment horizontal="right" vertical="center"/>
    </xf>
    <xf numFmtId="3" fontId="44" fillId="12" borderId="72" xfId="7" applyNumberFormat="1" applyFont="1" applyFill="1" applyBorder="1" applyAlignment="1">
      <alignment horizontal="right" vertical="center"/>
    </xf>
    <xf numFmtId="3" fontId="44" fillId="12" borderId="71" xfId="7" applyNumberFormat="1" applyFont="1" applyFill="1" applyBorder="1" applyAlignment="1">
      <alignment horizontal="right" vertical="center"/>
    </xf>
    <xf numFmtId="3" fontId="44" fillId="12" borderId="243" xfId="7" applyNumberFormat="1" applyFont="1" applyFill="1" applyBorder="1" applyAlignment="1">
      <alignment horizontal="right" vertical="center"/>
    </xf>
    <xf numFmtId="3" fontId="44" fillId="12" borderId="39" xfId="7" applyNumberFormat="1" applyFont="1" applyFill="1" applyBorder="1" applyAlignment="1">
      <alignment horizontal="right" vertical="center"/>
    </xf>
    <xf numFmtId="3" fontId="44" fillId="12" borderId="66" xfId="7" applyNumberFormat="1" applyFont="1" applyFill="1" applyBorder="1" applyAlignment="1">
      <alignment horizontal="right" vertical="center"/>
    </xf>
    <xf numFmtId="3" fontId="38" fillId="5" borderId="231" xfId="7" applyNumberFormat="1" applyFont="1" applyFill="1" applyBorder="1" applyAlignment="1">
      <alignment horizontal="right" vertical="center"/>
    </xf>
    <xf numFmtId="3" fontId="38" fillId="5" borderId="242" xfId="7" applyNumberFormat="1" applyFont="1" applyFill="1" applyBorder="1" applyAlignment="1">
      <alignment horizontal="right" vertical="center"/>
    </xf>
    <xf numFmtId="3" fontId="38" fillId="5" borderId="230" xfId="7" applyNumberFormat="1" applyFont="1" applyFill="1" applyBorder="1" applyAlignment="1">
      <alignment horizontal="right" vertical="center"/>
    </xf>
    <xf numFmtId="3" fontId="38" fillId="5" borderId="37" xfId="7" applyNumberFormat="1" applyFont="1" applyFill="1" applyBorder="1" applyAlignment="1">
      <alignment horizontal="right" vertical="center"/>
    </xf>
    <xf numFmtId="3" fontId="38" fillId="5" borderId="234" xfId="7" applyNumberFormat="1" applyFont="1" applyFill="1" applyBorder="1" applyAlignment="1">
      <alignment horizontal="right" vertical="center"/>
    </xf>
    <xf numFmtId="3" fontId="38" fillId="5" borderId="85" xfId="7" applyNumberFormat="1" applyFont="1" applyFill="1" applyBorder="1" applyAlignment="1">
      <alignment horizontal="right" vertical="center"/>
    </xf>
    <xf numFmtId="3" fontId="38" fillId="5" borderId="233" xfId="7" applyNumberFormat="1" applyFont="1" applyFill="1" applyBorder="1" applyAlignment="1">
      <alignment horizontal="right" vertical="center"/>
    </xf>
    <xf numFmtId="3" fontId="38" fillId="5" borderId="229" xfId="7" applyNumberFormat="1" applyFont="1" applyFill="1" applyBorder="1" applyAlignment="1">
      <alignment horizontal="right" vertical="center"/>
    </xf>
    <xf numFmtId="3" fontId="38" fillId="5" borderId="57" xfId="7" applyNumberFormat="1" applyFont="1" applyFill="1" applyBorder="1" applyAlignment="1">
      <alignment horizontal="right" vertical="center"/>
    </xf>
    <xf numFmtId="3" fontId="38" fillId="5" borderId="185" xfId="7" applyNumberFormat="1" applyFont="1" applyFill="1" applyBorder="1" applyAlignment="1">
      <alignment horizontal="right" vertical="center"/>
    </xf>
    <xf numFmtId="3" fontId="44" fillId="12" borderId="69" xfId="7" applyNumberFormat="1" applyFont="1" applyFill="1" applyBorder="1" applyAlignment="1">
      <alignment horizontal="right" vertical="center"/>
    </xf>
    <xf numFmtId="3" fontId="44" fillId="12" borderId="73" xfId="7" applyNumberFormat="1" applyFont="1" applyFill="1" applyBorder="1" applyAlignment="1">
      <alignment horizontal="right" vertical="center"/>
    </xf>
    <xf numFmtId="3" fontId="44" fillId="12" borderId="87" xfId="7" applyNumberFormat="1" applyFont="1" applyFill="1" applyBorder="1" applyAlignment="1">
      <alignment horizontal="right" vertical="center"/>
    </xf>
    <xf numFmtId="3" fontId="44" fillId="12" borderId="157" xfId="7" applyNumberFormat="1" applyFont="1" applyFill="1" applyBorder="1" applyAlignment="1">
      <alignment horizontal="right" vertical="center"/>
    </xf>
    <xf numFmtId="3" fontId="44" fillId="12" borderId="68" xfId="7" applyNumberFormat="1" applyFont="1" applyFill="1" applyBorder="1" applyAlignment="1">
      <alignment horizontal="right" vertical="center"/>
    </xf>
    <xf numFmtId="0" fontId="44" fillId="12" borderId="0" xfId="0" applyFont="1" applyFill="1" applyAlignment="1">
      <alignment vertical="center"/>
    </xf>
    <xf numFmtId="3" fontId="93" fillId="12" borderId="0" xfId="7" applyNumberFormat="1" applyFont="1" applyFill="1" applyBorder="1" applyAlignment="1">
      <alignment vertical="center"/>
    </xf>
    <xf numFmtId="3" fontId="93" fillId="12" borderId="0" xfId="7" applyNumberFormat="1" applyFont="1" applyFill="1" applyBorder="1" applyAlignment="1">
      <alignment horizontal="right" vertical="center"/>
    </xf>
    <xf numFmtId="0" fontId="44" fillId="5" borderId="40" xfId="0" applyFont="1" applyFill="1" applyBorder="1"/>
    <xf numFmtId="3" fontId="38" fillId="5" borderId="55" xfId="7" applyNumberFormat="1" applyFont="1" applyFill="1" applyBorder="1" applyAlignment="1">
      <alignment horizontal="center"/>
    </xf>
    <xf numFmtId="175" fontId="38" fillId="5" borderId="85" xfId="7" applyNumberFormat="1" applyFont="1" applyFill="1" applyBorder="1" applyAlignment="1">
      <alignment horizontal="center"/>
    </xf>
    <xf numFmtId="3" fontId="44" fillId="0" borderId="82" xfId="7" applyNumberFormat="1" applyFont="1" applyFill="1" applyBorder="1"/>
    <xf numFmtId="173" fontId="44" fillId="0" borderId="83" xfId="7" applyNumberFormat="1" applyFont="1" applyFill="1" applyBorder="1" applyAlignment="1">
      <alignment horizontal="right"/>
    </xf>
    <xf numFmtId="0" fontId="44" fillId="0" borderId="77" xfId="7" quotePrefix="1" applyFont="1" applyFill="1" applyBorder="1"/>
    <xf numFmtId="173" fontId="44" fillId="0" borderId="58" xfId="7" applyNumberFormat="1" applyFont="1" applyFill="1" applyBorder="1" applyAlignment="1">
      <alignment horizontal="right"/>
    </xf>
    <xf numFmtId="3" fontId="38" fillId="0" borderId="0" xfId="7" applyNumberFormat="1" applyFont="1" applyFill="1" applyBorder="1"/>
    <xf numFmtId="0" fontId="38" fillId="0" borderId="0" xfId="7" applyNumberFormat="1" applyFont="1" applyFill="1" applyBorder="1" applyAlignment="1">
      <alignment horizontal="center"/>
    </xf>
    <xf numFmtId="3" fontId="44" fillId="0" borderId="77" xfId="7" applyNumberFormat="1" applyFont="1" applyFill="1" applyBorder="1"/>
    <xf numFmtId="17" fontId="44" fillId="0" borderId="0" xfId="7" applyNumberFormat="1" applyFont="1" applyFill="1" applyBorder="1"/>
    <xf numFmtId="3" fontId="44" fillId="0" borderId="0" xfId="7" applyNumberFormat="1" applyFont="1" applyFill="1" applyBorder="1" applyAlignment="1">
      <alignment horizontal="center"/>
    </xf>
    <xf numFmtId="3" fontId="44" fillId="0" borderId="77" xfId="7" quotePrefix="1" applyNumberFormat="1" applyFont="1" applyFill="1" applyBorder="1"/>
    <xf numFmtId="3" fontId="44" fillId="0" borderId="38" xfId="7" quotePrefix="1" applyNumberFormat="1" applyFont="1" applyBorder="1"/>
    <xf numFmtId="173" fontId="44" fillId="0" borderId="72" xfId="7" applyNumberFormat="1" applyFont="1" applyFill="1" applyBorder="1" applyAlignment="1">
      <alignment horizontal="right"/>
    </xf>
    <xf numFmtId="173" fontId="44" fillId="0" borderId="0" xfId="7" applyNumberFormat="1" applyFont="1" applyFill="1" applyBorder="1" applyAlignment="1">
      <alignment horizontal="center"/>
    </xf>
    <xf numFmtId="3" fontId="38" fillId="5" borderId="40" xfId="7" applyNumberFormat="1" applyFont="1" applyFill="1" applyBorder="1"/>
    <xf numFmtId="173" fontId="38" fillId="5" borderId="79" xfId="7" applyNumberFormat="1" applyFont="1" applyFill="1" applyBorder="1" applyAlignment="1">
      <alignment horizontal="right"/>
    </xf>
    <xf numFmtId="173" fontId="44" fillId="0" borderId="72" xfId="7" applyNumberFormat="1" applyFont="1" applyBorder="1" applyAlignment="1">
      <alignment horizontal="right"/>
    </xf>
    <xf numFmtId="9" fontId="44" fillId="0" borderId="0" xfId="10" applyFont="1" applyFill="1" applyBorder="1" applyAlignment="1"/>
    <xf numFmtId="3" fontId="44" fillId="0" borderId="0" xfId="7" applyNumberFormat="1" applyFont="1" applyBorder="1"/>
    <xf numFmtId="0" fontId="44" fillId="0" borderId="55" xfId="7" quotePrefix="1" applyFont="1" applyFill="1" applyBorder="1"/>
    <xf numFmtId="173" fontId="44" fillId="0" borderId="85" xfId="7" applyNumberFormat="1" applyFont="1" applyFill="1" applyBorder="1" applyAlignment="1">
      <alignment horizontal="right"/>
    </xf>
    <xf numFmtId="3" fontId="44" fillId="0" borderId="87" xfId="7" applyNumberFormat="1" applyFont="1" applyFill="1" applyBorder="1"/>
    <xf numFmtId="173" fontId="44" fillId="0" borderId="69" xfId="7" applyNumberFormat="1" applyFont="1" applyFill="1" applyBorder="1" applyAlignment="1">
      <alignment horizontal="right"/>
    </xf>
    <xf numFmtId="0" fontId="38" fillId="0" borderId="0" xfId="0" applyFont="1" applyBorder="1"/>
    <xf numFmtId="173" fontId="44" fillId="0" borderId="64" xfId="7" applyNumberFormat="1" applyFont="1" applyFill="1" applyBorder="1" applyAlignment="1">
      <alignment horizontal="right"/>
    </xf>
    <xf numFmtId="3" fontId="93" fillId="0" borderId="0" xfId="7" applyNumberFormat="1" applyFont="1" applyFill="1" applyBorder="1"/>
    <xf numFmtId="173" fontId="93" fillId="0" borderId="0" xfId="7" applyNumberFormat="1" applyFont="1" applyFill="1" applyBorder="1" applyAlignment="1">
      <alignment horizontal="right"/>
    </xf>
    <xf numFmtId="176" fontId="95" fillId="0" borderId="76" xfId="0" applyNumberFormat="1" applyFont="1" applyFill="1" applyBorder="1" applyAlignment="1">
      <alignment horizontal="center" vertical="top"/>
    </xf>
    <xf numFmtId="176" fontId="94" fillId="0" borderId="0" xfId="0" applyNumberFormat="1" applyFont="1" applyBorder="1" applyAlignment="1">
      <alignment vertical="top"/>
    </xf>
    <xf numFmtId="3" fontId="44" fillId="12" borderId="0" xfId="7" applyNumberFormat="1" applyFont="1" applyFill="1" applyBorder="1" applyAlignment="1">
      <alignment horizontal="right" vertical="center"/>
    </xf>
    <xf numFmtId="196" fontId="44" fillId="0" borderId="0" xfId="0" applyNumberFormat="1" applyFont="1" applyAlignment="1">
      <alignment vertical="center"/>
    </xf>
    <xf numFmtId="196" fontId="44" fillId="0" borderId="0" xfId="7" applyNumberFormat="1" applyFont="1" applyAlignment="1">
      <alignment vertical="center"/>
    </xf>
    <xf numFmtId="0" fontId="113" fillId="14" borderId="0" xfId="11" applyFont="1" applyFill="1" applyBorder="1" applyAlignment="1">
      <alignment horizontal="right" vertical="justify"/>
    </xf>
    <xf numFmtId="0" fontId="67" fillId="16" borderId="0" xfId="11" applyFont="1" applyFill="1" applyBorder="1" applyAlignment="1">
      <alignment horizontal="right" vertical="justify"/>
    </xf>
    <xf numFmtId="0" fontId="44" fillId="0" borderId="108" xfId="11" applyFont="1" applyBorder="1" applyAlignment="1">
      <alignment horizontal="right" vertical="justify"/>
    </xf>
    <xf numFmtId="196" fontId="44" fillId="0" borderId="108" xfId="11" applyNumberFormat="1" applyFont="1" applyBorder="1" applyAlignment="1">
      <alignment horizontal="right" vertical="center" wrapText="1"/>
    </xf>
    <xf numFmtId="196" fontId="44" fillId="0" borderId="108" xfId="11" applyNumberFormat="1" applyFont="1" applyBorder="1" applyAlignment="1">
      <alignment horizontal="right" vertical="justify"/>
    </xf>
    <xf numFmtId="197" fontId="44" fillId="0" borderId="108" xfId="11" applyNumberFormat="1" applyFont="1" applyBorder="1" applyAlignment="1">
      <alignment horizontal="right" vertical="justify"/>
    </xf>
    <xf numFmtId="196" fontId="44" fillId="0" borderId="0" xfId="7" applyNumberFormat="1" applyFont="1" applyBorder="1" applyAlignment="1">
      <alignment horizontal="right"/>
    </xf>
    <xf numFmtId="196" fontId="44" fillId="0" borderId="0" xfId="7" applyNumberFormat="1" applyFont="1" applyBorder="1" applyAlignment="1">
      <alignment horizontal="right" vertical="center"/>
    </xf>
    <xf numFmtId="196" fontId="38" fillId="16" borderId="108" xfId="11" applyNumberFormat="1" applyFont="1" applyFill="1" applyBorder="1" applyAlignment="1">
      <alignment horizontal="right" vertical="center" wrapText="1"/>
    </xf>
    <xf numFmtId="197" fontId="38" fillId="16" borderId="108" xfId="11" applyNumberFormat="1" applyFont="1" applyFill="1" applyBorder="1" applyAlignment="1">
      <alignment horizontal="right" vertical="center" wrapText="1"/>
    </xf>
    <xf numFmtId="3" fontId="65" fillId="0" borderId="58" xfId="7" applyNumberFormat="1" applyFont="1" applyFill="1" applyBorder="1" applyAlignment="1">
      <alignment horizontal="right" vertical="center"/>
    </xf>
    <xf numFmtId="0" fontId="38" fillId="0" borderId="0" xfId="0" applyFont="1" applyBorder="1" applyAlignment="1" applyProtection="1">
      <alignment vertical="center"/>
    </xf>
    <xf numFmtId="0" fontId="44" fillId="0" borderId="0" xfId="0" applyFont="1" applyBorder="1" applyAlignment="1" applyProtection="1">
      <alignment vertical="center"/>
      <protection locked="0"/>
    </xf>
    <xf numFmtId="0" fontId="38" fillId="0" borderId="0" xfId="0" applyFont="1" applyBorder="1" applyAlignment="1" applyProtection="1">
      <alignment horizontal="right" vertical="center"/>
    </xf>
    <xf numFmtId="0" fontId="38" fillId="0" borderId="39" xfId="0" applyFont="1" applyBorder="1" applyAlignment="1" applyProtection="1">
      <alignment horizontal="center" vertical="center"/>
      <protection locked="0"/>
    </xf>
    <xf numFmtId="0" fontId="44" fillId="0" borderId="38" xfId="0" applyFont="1" applyBorder="1" applyAlignment="1" applyProtection="1">
      <alignment vertical="center"/>
      <protection locked="0"/>
    </xf>
    <xf numFmtId="0" fontId="38" fillId="0" borderId="0" xfId="0" applyFont="1" applyFill="1" applyBorder="1" applyAlignment="1" applyProtection="1">
      <alignment vertical="center"/>
    </xf>
    <xf numFmtId="170" fontId="44" fillId="0" borderId="0" xfId="0" quotePrefix="1" applyNumberFormat="1" applyFont="1" applyFill="1" applyBorder="1" applyAlignment="1" applyProtection="1">
      <alignment horizontal="left" vertical="center"/>
      <protection locked="0"/>
    </xf>
    <xf numFmtId="0" fontId="44" fillId="0" borderId="0" xfId="0" applyFont="1" applyFill="1" applyBorder="1" applyAlignment="1" applyProtection="1">
      <alignment vertical="center"/>
      <protection locked="0"/>
    </xf>
    <xf numFmtId="0" fontId="38" fillId="0" borderId="0" xfId="0" applyFont="1" applyFill="1" applyBorder="1" applyAlignment="1" applyProtection="1">
      <alignment vertical="center"/>
      <protection locked="0"/>
    </xf>
    <xf numFmtId="170" fontId="44" fillId="0" borderId="0" xfId="0" applyNumberFormat="1" applyFont="1" applyFill="1" applyBorder="1" applyAlignment="1" applyProtection="1">
      <alignment vertical="center"/>
      <protection locked="0"/>
    </xf>
    <xf numFmtId="0" fontId="120" fillId="0" borderId="52" xfId="0" applyFont="1" applyBorder="1" applyAlignment="1" applyProtection="1">
      <alignment vertical="center"/>
      <protection locked="0"/>
    </xf>
    <xf numFmtId="0" fontId="44" fillId="0" borderId="53" xfId="0" applyFont="1" applyBorder="1" applyAlignment="1" applyProtection="1">
      <alignment vertical="center"/>
      <protection locked="0"/>
    </xf>
    <xf numFmtId="0" fontId="38" fillId="0" borderId="53" xfId="0" applyFont="1" applyFill="1" applyBorder="1" applyAlignment="1" applyProtection="1">
      <alignment vertical="center"/>
      <protection locked="0"/>
    </xf>
    <xf numFmtId="170" fontId="44" fillId="0" borderId="53" xfId="0" applyNumberFormat="1" applyFont="1" applyFill="1" applyBorder="1" applyAlignment="1" applyProtection="1">
      <alignment horizontal="left" vertical="center"/>
      <protection locked="0"/>
    </xf>
    <xf numFmtId="0" fontId="44" fillId="0" borderId="53" xfId="0" applyFont="1" applyFill="1" applyBorder="1" applyAlignment="1" applyProtection="1">
      <alignment vertical="center"/>
      <protection locked="0"/>
    </xf>
    <xf numFmtId="170" fontId="44" fillId="0" borderId="53" xfId="0" applyNumberFormat="1" applyFont="1" applyBorder="1" applyAlignment="1" applyProtection="1">
      <alignment vertical="center"/>
      <protection locked="0"/>
    </xf>
    <xf numFmtId="0" fontId="38" fillId="0" borderId="38" xfId="0" applyFont="1" applyBorder="1" applyAlignment="1" applyProtection="1">
      <alignment vertical="center"/>
    </xf>
    <xf numFmtId="0" fontId="44" fillId="0" borderId="0" xfId="0" applyFont="1" applyBorder="1" applyAlignment="1" applyProtection="1">
      <alignment vertical="center"/>
    </xf>
    <xf numFmtId="0" fontId="38" fillId="0" borderId="0" xfId="0" applyFont="1" applyBorder="1" applyAlignment="1" applyProtection="1">
      <alignment vertical="center"/>
      <protection locked="0"/>
    </xf>
    <xf numFmtId="0" fontId="43" fillId="0" borderId="0" xfId="0" applyFont="1" applyBorder="1" applyAlignment="1" applyProtection="1">
      <alignment vertical="center"/>
    </xf>
    <xf numFmtId="0" fontId="43" fillId="0" borderId="67" xfId="0" applyFont="1" applyBorder="1" applyAlignment="1" applyProtection="1">
      <alignment vertical="center"/>
    </xf>
    <xf numFmtId="0" fontId="44" fillId="0" borderId="0" xfId="0" applyFont="1" applyFill="1" applyBorder="1" applyAlignment="1" applyProtection="1">
      <alignment horizontal="center" vertical="center"/>
    </xf>
    <xf numFmtId="0" fontId="43" fillId="0" borderId="0" xfId="0" applyFont="1" applyBorder="1" applyAlignment="1" applyProtection="1">
      <alignment vertical="center"/>
      <protection locked="0"/>
    </xf>
    <xf numFmtId="0" fontId="121" fillId="0" borderId="0" xfId="0" applyFont="1" applyBorder="1" applyAlignment="1" applyProtection="1">
      <alignment vertical="center"/>
      <protection locked="0"/>
    </xf>
    <xf numFmtId="0" fontId="121" fillId="0" borderId="0" xfId="0" applyFont="1" applyBorder="1" applyAlignment="1" applyProtection="1">
      <alignment vertical="center"/>
    </xf>
    <xf numFmtId="0" fontId="121" fillId="0" borderId="39" xfId="0" applyFont="1" applyBorder="1" applyAlignment="1" applyProtection="1">
      <alignment vertical="center"/>
    </xf>
    <xf numFmtId="3" fontId="44" fillId="0" borderId="0" xfId="0" applyNumberFormat="1" applyFont="1" applyFill="1" applyBorder="1" applyAlignment="1" applyProtection="1">
      <alignment vertical="center"/>
    </xf>
    <xf numFmtId="178" fontId="38" fillId="0" borderId="0" xfId="0" applyNumberFormat="1" applyFont="1" applyBorder="1" applyAlignment="1" applyProtection="1">
      <alignment horizontal="right" vertical="center"/>
      <protection locked="0"/>
    </xf>
    <xf numFmtId="0" fontId="122" fillId="0" borderId="0" xfId="0" applyFont="1" applyBorder="1" applyAlignment="1" applyProtection="1">
      <alignment vertical="center"/>
      <protection locked="0"/>
    </xf>
    <xf numFmtId="14" fontId="121" fillId="0" borderId="39" xfId="0" applyNumberFormat="1" applyFont="1" applyBorder="1" applyAlignment="1" applyProtection="1">
      <alignment horizontal="center" vertical="center"/>
      <protection locked="0"/>
    </xf>
    <xf numFmtId="0" fontId="121" fillId="0" borderId="38" xfId="0" applyFont="1" applyBorder="1" applyAlignment="1" applyProtection="1">
      <alignment vertical="center"/>
    </xf>
    <xf numFmtId="0" fontId="44" fillId="0" borderId="0" xfId="0" applyFont="1" applyBorder="1" applyProtection="1">
      <protection locked="0"/>
    </xf>
    <xf numFmtId="171" fontId="121" fillId="0" borderId="39" xfId="0" applyNumberFormat="1" applyFont="1" applyBorder="1" applyAlignment="1" applyProtection="1">
      <alignment horizontal="center" vertical="center"/>
      <protection locked="0"/>
    </xf>
    <xf numFmtId="171" fontId="121" fillId="0" borderId="0" xfId="0" applyNumberFormat="1" applyFont="1" applyBorder="1" applyAlignment="1" applyProtection="1">
      <alignment horizontal="center" vertical="center"/>
      <protection locked="0"/>
    </xf>
    <xf numFmtId="175" fontId="44" fillId="0" borderId="0" xfId="0" applyNumberFormat="1" applyFont="1" applyBorder="1" applyAlignment="1" applyProtection="1">
      <alignment horizontal="left" vertical="center"/>
      <protection locked="0"/>
    </xf>
    <xf numFmtId="0" fontId="38" fillId="0" borderId="0" xfId="0" applyFont="1" applyAlignment="1" applyProtection="1">
      <alignment vertical="center"/>
      <protection locked="0"/>
    </xf>
    <xf numFmtId="10" fontId="121" fillId="0" borderId="39" xfId="10" applyNumberFormat="1" applyFont="1" applyBorder="1" applyAlignment="1" applyProtection="1">
      <alignment horizontal="center" vertical="center"/>
      <protection locked="0"/>
    </xf>
    <xf numFmtId="0" fontId="43" fillId="3" borderId="38" xfId="0" applyFont="1" applyFill="1" applyBorder="1" applyAlignment="1" applyProtection="1">
      <alignment vertical="center"/>
    </xf>
    <xf numFmtId="0" fontId="44" fillId="0" borderId="0" xfId="0" applyFont="1" applyBorder="1" applyAlignment="1" applyProtection="1">
      <alignment horizontal="left" vertical="center"/>
      <protection locked="0"/>
    </xf>
    <xf numFmtId="0" fontId="121" fillId="0" borderId="53" xfId="0" applyFont="1" applyBorder="1" applyAlignment="1" applyProtection="1">
      <alignment vertical="center"/>
    </xf>
    <xf numFmtId="10" fontId="121" fillId="0" borderId="39" xfId="0" applyNumberFormat="1" applyFont="1" applyBorder="1" applyAlignment="1" applyProtection="1">
      <alignment horizontal="center" vertical="center"/>
      <protection locked="0"/>
    </xf>
    <xf numFmtId="0" fontId="122" fillId="0" borderId="0" xfId="0" applyFont="1" applyBorder="1" applyAlignment="1" applyProtection="1">
      <alignment vertical="center"/>
    </xf>
    <xf numFmtId="0" fontId="38" fillId="0" borderId="155" xfId="0" applyFont="1" applyBorder="1" applyAlignment="1" applyProtection="1">
      <alignment vertical="center"/>
    </xf>
    <xf numFmtId="0" fontId="38" fillId="0" borderId="44" xfId="0" applyFont="1" applyBorder="1" applyAlignment="1" applyProtection="1">
      <alignment vertical="center"/>
    </xf>
    <xf numFmtId="0" fontId="38" fillId="0" borderId="44" xfId="0" applyFont="1" applyBorder="1" applyAlignment="1" applyProtection="1">
      <alignment vertical="center"/>
      <protection locked="0"/>
    </xf>
    <xf numFmtId="0" fontId="44" fillId="0" borderId="38" xfId="0" applyFont="1" applyBorder="1" applyAlignment="1" applyProtection="1">
      <alignment vertical="center"/>
    </xf>
    <xf numFmtId="0" fontId="38" fillId="0" borderId="0" xfId="0" applyFont="1" applyBorder="1" applyAlignment="1" applyProtection="1">
      <alignment horizontal="center" vertical="center"/>
    </xf>
    <xf numFmtId="15" fontId="38" fillId="0" borderId="0" xfId="0" applyNumberFormat="1" applyFont="1" applyBorder="1" applyAlignment="1" applyProtection="1">
      <alignment horizontal="center" vertical="center"/>
    </xf>
    <xf numFmtId="0" fontId="44" fillId="0" borderId="0" xfId="0" applyFont="1" applyAlignment="1" applyProtection="1">
      <alignment vertical="center"/>
      <protection locked="0"/>
    </xf>
    <xf numFmtId="15" fontId="44" fillId="0" borderId="0" xfId="0" applyNumberFormat="1" applyFont="1" applyBorder="1" applyAlignment="1" applyProtection="1">
      <alignment vertical="center"/>
    </xf>
    <xf numFmtId="15" fontId="38" fillId="0" borderId="39" xfId="0" applyNumberFormat="1" applyFont="1" applyBorder="1" applyAlignment="1" applyProtection="1">
      <alignment horizontal="center" vertical="center"/>
    </xf>
    <xf numFmtId="3" fontId="122" fillId="0" borderId="0" xfId="0" applyNumberFormat="1" applyFont="1" applyBorder="1" applyAlignment="1" applyProtection="1">
      <alignment horizontal="center" vertical="center"/>
    </xf>
    <xf numFmtId="3" fontId="44" fillId="0" borderId="0" xfId="0" applyNumberFormat="1" applyFont="1" applyBorder="1" applyAlignment="1" applyProtection="1">
      <alignment horizontal="center" vertical="center"/>
    </xf>
    <xf numFmtId="38" fontId="44" fillId="0" borderId="0" xfId="0" applyNumberFormat="1" applyFont="1" applyBorder="1" applyAlignment="1" applyProtection="1">
      <alignment horizontal="right" vertical="center"/>
    </xf>
    <xf numFmtId="169" fontId="44" fillId="0" borderId="0" xfId="10" applyNumberFormat="1" applyFont="1" applyAlignment="1" applyProtection="1">
      <alignment horizontal="right" vertical="center"/>
      <protection locked="0"/>
    </xf>
    <xf numFmtId="169" fontId="44" fillId="0" borderId="39" xfId="10" applyNumberFormat="1" applyFont="1" applyBorder="1" applyAlignment="1" applyProtection="1">
      <alignment horizontal="right" vertical="center"/>
    </xf>
    <xf numFmtId="3" fontId="44" fillId="0" borderId="0" xfId="0" applyNumberFormat="1" applyFont="1" applyAlignment="1" applyProtection="1">
      <alignment vertical="center"/>
      <protection locked="0"/>
    </xf>
    <xf numFmtId="3" fontId="44" fillId="0" borderId="39" xfId="0" applyNumberFormat="1" applyFont="1" applyBorder="1" applyAlignment="1" applyProtection="1">
      <alignment horizontal="right" vertical="center"/>
      <protection locked="0"/>
    </xf>
    <xf numFmtId="169" fontId="44" fillId="0" borderId="0" xfId="10" applyNumberFormat="1" applyFont="1" applyAlignment="1" applyProtection="1">
      <alignment vertical="center"/>
      <protection locked="0"/>
    </xf>
    <xf numFmtId="2" fontId="44" fillId="0" borderId="0" xfId="0" applyNumberFormat="1" applyFont="1" applyAlignment="1" applyProtection="1">
      <alignment vertical="center"/>
      <protection locked="0"/>
    </xf>
    <xf numFmtId="173" fontId="44" fillId="0" borderId="39" xfId="0" applyNumberFormat="1" applyFont="1" applyBorder="1" applyAlignment="1" applyProtection="1">
      <alignment horizontal="right" vertical="center"/>
      <protection locked="0"/>
    </xf>
    <xf numFmtId="171" fontId="44" fillId="0" borderId="0" xfId="0" applyNumberFormat="1" applyFont="1" applyAlignment="1" applyProtection="1">
      <alignment vertical="center"/>
      <protection locked="0"/>
    </xf>
    <xf numFmtId="0" fontId="44" fillId="0" borderId="155" xfId="0" applyFont="1" applyBorder="1" applyAlignment="1" applyProtection="1">
      <alignment vertical="center"/>
    </xf>
    <xf numFmtId="0" fontId="44" fillId="0" borderId="44" xfId="0" applyFont="1" applyBorder="1" applyAlignment="1" applyProtection="1">
      <alignment vertical="center"/>
    </xf>
    <xf numFmtId="1" fontId="44" fillId="0" borderId="0" xfId="0" applyNumberFormat="1" applyFont="1" applyAlignment="1" applyProtection="1">
      <alignment vertical="center"/>
      <protection locked="0"/>
    </xf>
    <xf numFmtId="14" fontId="38" fillId="0" borderId="0" xfId="0" applyNumberFormat="1" applyFont="1" applyBorder="1" applyAlignment="1" applyProtection="1">
      <alignment horizontal="left" vertical="center"/>
    </xf>
    <xf numFmtId="0" fontId="44" fillId="0" borderId="0" xfId="0" applyFont="1" applyBorder="1" applyAlignment="1" applyProtection="1">
      <alignment horizontal="right" vertical="center"/>
    </xf>
    <xf numFmtId="14" fontId="44" fillId="0" borderId="0" xfId="0" applyNumberFormat="1" applyFont="1" applyBorder="1" applyAlignment="1" applyProtection="1">
      <alignment horizontal="center" vertical="center"/>
    </xf>
    <xf numFmtId="0" fontId="44" fillId="0" borderId="0" xfId="0" applyFont="1" applyBorder="1" applyAlignment="1" applyProtection="1">
      <alignment horizontal="center" vertical="center"/>
    </xf>
    <xf numFmtId="14" fontId="38" fillId="0" borderId="38" xfId="0" applyNumberFormat="1" applyFont="1" applyBorder="1" applyAlignment="1" applyProtection="1">
      <alignment vertical="center"/>
      <protection locked="0"/>
    </xf>
    <xf numFmtId="3" fontId="38" fillId="0" borderId="0" xfId="0" applyNumberFormat="1" applyFont="1" applyBorder="1" applyAlignment="1" applyProtection="1">
      <alignment horizontal="center" vertical="center"/>
      <protection locked="0"/>
    </xf>
    <xf numFmtId="0" fontId="38" fillId="0" borderId="0" xfId="0" applyFont="1" applyBorder="1" applyAlignment="1" applyProtection="1">
      <alignment horizontal="center" vertical="center"/>
      <protection locked="0"/>
    </xf>
    <xf numFmtId="3" fontId="44" fillId="0" borderId="38" xfId="0" applyNumberFormat="1" applyFont="1" applyBorder="1" applyAlignment="1" applyProtection="1">
      <alignment vertical="center"/>
      <protection locked="0"/>
    </xf>
    <xf numFmtId="3" fontId="44" fillId="0" borderId="0" xfId="0" applyNumberFormat="1" applyFont="1" applyBorder="1" applyAlignment="1" applyProtection="1">
      <alignment horizontal="center" vertical="center"/>
      <protection locked="0"/>
    </xf>
    <xf numFmtId="38" fontId="44" fillId="0" borderId="0" xfId="0" applyNumberFormat="1" applyFont="1" applyFill="1" applyBorder="1" applyAlignment="1" applyProtection="1">
      <alignment horizontal="right" vertical="center"/>
    </xf>
    <xf numFmtId="17" fontId="44" fillId="0" borderId="0" xfId="0" applyNumberFormat="1" applyFont="1" applyBorder="1" applyAlignment="1" applyProtection="1">
      <alignment horizontal="center" vertical="center"/>
    </xf>
    <xf numFmtId="0" fontId="44" fillId="0" borderId="0" xfId="0" applyFont="1" applyAlignment="1" applyProtection="1">
      <alignment horizontal="center" vertical="center"/>
      <protection locked="0"/>
    </xf>
    <xf numFmtId="17" fontId="44" fillId="0" borderId="39" xfId="0" applyNumberFormat="1" applyFont="1" applyBorder="1" applyAlignment="1" applyProtection="1">
      <alignment horizontal="center" vertical="center"/>
    </xf>
    <xf numFmtId="173" fontId="44" fillId="0" borderId="0" xfId="0" applyNumberFormat="1" applyFont="1" applyBorder="1" applyAlignment="1" applyProtection="1">
      <alignment horizontal="center" vertical="center"/>
      <protection locked="0"/>
    </xf>
    <xf numFmtId="169" fontId="44" fillId="0" borderId="0" xfId="10" applyNumberFormat="1" applyFont="1" applyAlignment="1" applyProtection="1">
      <alignment horizontal="center" vertical="center"/>
      <protection locked="0"/>
    </xf>
    <xf numFmtId="173" fontId="44" fillId="0" borderId="39" xfId="0" applyNumberFormat="1" applyFont="1" applyBorder="1" applyAlignment="1" applyProtection="1">
      <alignment horizontal="center" vertical="center"/>
      <protection locked="0"/>
    </xf>
    <xf numFmtId="169" fontId="44" fillId="0" borderId="0" xfId="10" applyNumberFormat="1" applyFont="1" applyBorder="1" applyAlignment="1" applyProtection="1">
      <alignment horizontal="center" vertical="center"/>
    </xf>
    <xf numFmtId="173" fontId="38" fillId="0" borderId="0" xfId="0" applyNumberFormat="1" applyFont="1" applyBorder="1" applyAlignment="1" applyProtection="1">
      <alignment horizontal="center" vertical="center"/>
      <protection locked="0"/>
    </xf>
    <xf numFmtId="169" fontId="38" fillId="0" borderId="0" xfId="10" applyNumberFormat="1" applyFont="1" applyAlignment="1" applyProtection="1">
      <alignment horizontal="center" vertical="center"/>
      <protection locked="0"/>
    </xf>
    <xf numFmtId="169" fontId="38" fillId="0" borderId="0" xfId="10" applyNumberFormat="1" applyFont="1" applyBorder="1" applyAlignment="1" applyProtection="1">
      <alignment horizontal="center" vertical="center"/>
    </xf>
    <xf numFmtId="173" fontId="38" fillId="0" borderId="39" xfId="0" applyNumberFormat="1" applyFont="1" applyBorder="1" applyAlignment="1" applyProtection="1">
      <alignment horizontal="center" vertical="center"/>
      <protection locked="0"/>
    </xf>
    <xf numFmtId="3" fontId="38" fillId="0" borderId="0" xfId="0" applyNumberFormat="1" applyFont="1" applyBorder="1" applyAlignment="1" applyProtection="1">
      <alignment horizontal="center" vertical="center"/>
    </xf>
    <xf numFmtId="0" fontId="44" fillId="0" borderId="0" xfId="0" applyFont="1" applyBorder="1" applyAlignment="1" applyProtection="1">
      <alignment horizontal="center" vertical="center"/>
      <protection locked="0"/>
    </xf>
    <xf numFmtId="0" fontId="38" fillId="0" borderId="38" xfId="0" applyFont="1" applyBorder="1" applyAlignment="1" applyProtection="1">
      <alignment horizontal="center" vertical="center"/>
    </xf>
    <xf numFmtId="0" fontId="44" fillId="0" borderId="0" xfId="0" applyFont="1" applyBorder="1" applyAlignment="1" applyProtection="1">
      <alignment horizontal="justify" vertical="center"/>
      <protection locked="0"/>
    </xf>
    <xf numFmtId="0" fontId="43" fillId="0" borderId="155" xfId="0" applyFont="1" applyBorder="1" applyAlignment="1" applyProtection="1">
      <alignment vertical="center"/>
    </xf>
    <xf numFmtId="0" fontId="44" fillId="0" borderId="44" xfId="0" applyFont="1" applyBorder="1" applyAlignment="1" applyProtection="1">
      <alignment vertical="center"/>
      <protection locked="0"/>
    </xf>
    <xf numFmtId="3" fontId="44" fillId="0" borderId="44" xfId="0" applyNumberFormat="1" applyFont="1" applyBorder="1" applyAlignment="1" applyProtection="1">
      <alignment vertical="center"/>
    </xf>
    <xf numFmtId="0" fontId="43" fillId="0" borderId="44" xfId="0" applyFont="1" applyBorder="1" applyAlignment="1" applyProtection="1">
      <alignment vertical="center"/>
    </xf>
    <xf numFmtId="14" fontId="44" fillId="0" borderId="44" xfId="0" applyNumberFormat="1" applyFont="1" applyBorder="1" applyAlignment="1" applyProtection="1">
      <alignment horizontal="left" vertical="center"/>
      <protection locked="0"/>
    </xf>
    <xf numFmtId="0" fontId="43" fillId="0" borderId="44" xfId="0" applyFont="1" applyBorder="1" applyAlignment="1" applyProtection="1">
      <alignment vertical="center"/>
      <protection locked="0"/>
    </xf>
    <xf numFmtId="3" fontId="44" fillId="0" borderId="44" xfId="0" applyNumberFormat="1" applyFont="1" applyBorder="1" applyAlignment="1" applyProtection="1">
      <alignment vertical="center"/>
      <protection locked="0"/>
    </xf>
    <xf numFmtId="0" fontId="44" fillId="0" borderId="156" xfId="0" applyFont="1" applyBorder="1" applyAlignment="1" applyProtection="1">
      <alignment vertical="center"/>
      <protection locked="0"/>
    </xf>
    <xf numFmtId="0" fontId="45" fillId="0" borderId="155" xfId="0" applyFont="1" applyBorder="1" applyAlignment="1" applyProtection="1">
      <alignment vertical="center"/>
    </xf>
    <xf numFmtId="3" fontId="38" fillId="0" borderId="44" xfId="0" applyNumberFormat="1" applyFont="1" applyBorder="1" applyAlignment="1" applyProtection="1">
      <alignment vertical="center"/>
    </xf>
    <xf numFmtId="14" fontId="43" fillId="0" borderId="44" xfId="0" applyNumberFormat="1" applyFont="1" applyBorder="1" applyAlignment="1" applyProtection="1">
      <alignment vertical="center"/>
      <protection locked="0"/>
    </xf>
    <xf numFmtId="0" fontId="44" fillId="0" borderId="38" xfId="0" applyFont="1" applyBorder="1" applyAlignment="1" applyProtection="1">
      <alignment horizontal="left" vertical="center"/>
      <protection locked="0"/>
    </xf>
    <xf numFmtId="3" fontId="44" fillId="0" borderId="0" xfId="0" applyNumberFormat="1" applyFont="1" applyBorder="1" applyAlignment="1" applyProtection="1">
      <alignment vertical="center"/>
      <protection locked="0"/>
    </xf>
    <xf numFmtId="10" fontId="44" fillId="0" borderId="0" xfId="0" applyNumberFormat="1" applyFont="1" applyBorder="1" applyAlignment="1" applyProtection="1">
      <alignment vertical="center"/>
      <protection locked="0"/>
    </xf>
    <xf numFmtId="0" fontId="44" fillId="0" borderId="39" xfId="0" applyFont="1" applyBorder="1" applyAlignment="1" applyProtection="1">
      <alignment vertical="center"/>
      <protection locked="0"/>
    </xf>
    <xf numFmtId="0" fontId="38" fillId="0" borderId="39" xfId="0" applyFont="1" applyBorder="1" applyAlignment="1" applyProtection="1">
      <alignment vertical="center"/>
    </xf>
    <xf numFmtId="0" fontId="38" fillId="0" borderId="38" xfId="0" applyFont="1" applyBorder="1" applyAlignment="1" applyProtection="1">
      <alignment horizontal="left" vertical="center"/>
    </xf>
    <xf numFmtId="0" fontId="44" fillId="0" borderId="0" xfId="0" applyFont="1" applyFill="1" applyBorder="1" applyAlignment="1" applyProtection="1">
      <alignment horizontal="center" vertical="center"/>
      <protection locked="0"/>
    </xf>
    <xf numFmtId="10" fontId="44" fillId="0" borderId="0" xfId="0" applyNumberFormat="1" applyFont="1" applyBorder="1" applyAlignment="1" applyProtection="1">
      <alignment horizontal="center" vertical="center"/>
      <protection locked="0"/>
    </xf>
    <xf numFmtId="0" fontId="44" fillId="0" borderId="39" xfId="0" applyFont="1" applyBorder="1" applyAlignment="1" applyProtection="1">
      <alignment horizontal="center" vertical="center"/>
      <protection locked="0"/>
    </xf>
    <xf numFmtId="0" fontId="43" fillId="0" borderId="155" xfId="0" applyFont="1" applyBorder="1" applyAlignment="1" applyProtection="1">
      <alignment horizontal="left" vertical="center"/>
    </xf>
    <xf numFmtId="3" fontId="44" fillId="0" borderId="44" xfId="0" applyNumberFormat="1" applyFont="1" applyBorder="1" applyAlignment="1" applyProtection="1">
      <alignment horizontal="center" vertical="center"/>
    </xf>
    <xf numFmtId="0" fontId="43" fillId="0" borderId="44" xfId="0" applyFont="1" applyBorder="1" applyAlignment="1" applyProtection="1">
      <alignment horizontal="right" vertical="center"/>
    </xf>
    <xf numFmtId="0" fontId="44" fillId="0" borderId="38" xfId="0" applyFont="1" applyBorder="1" applyAlignment="1" applyProtection="1">
      <alignment horizontal="left" vertical="center"/>
    </xf>
    <xf numFmtId="10" fontId="44" fillId="0" borderId="0" xfId="0" applyNumberFormat="1" applyFont="1" applyFill="1" applyBorder="1" applyAlignment="1" applyProtection="1">
      <alignment horizontal="center" vertical="center"/>
      <protection locked="0"/>
    </xf>
    <xf numFmtId="0" fontId="38" fillId="0" borderId="38" xfId="0" applyFont="1" applyBorder="1" applyAlignment="1" applyProtection="1">
      <alignment horizontal="left" vertical="center"/>
      <protection locked="0"/>
    </xf>
    <xf numFmtId="0" fontId="45" fillId="0" borderId="155" xfId="0" applyFont="1" applyBorder="1" applyAlignment="1" applyProtection="1">
      <alignment horizontal="left" vertical="center"/>
    </xf>
    <xf numFmtId="0" fontId="38" fillId="0" borderId="44" xfId="0" applyFont="1" applyBorder="1" applyAlignment="1" applyProtection="1">
      <alignment horizontal="center" vertical="center"/>
    </xf>
    <xf numFmtId="0" fontId="44" fillId="0" borderId="67" xfId="0" applyFont="1" applyBorder="1" applyAlignment="1" applyProtection="1">
      <alignment vertical="center"/>
    </xf>
    <xf numFmtId="0" fontId="44" fillId="0" borderId="158" xfId="0" applyFont="1" applyBorder="1" applyAlignment="1" applyProtection="1">
      <alignment vertical="center"/>
      <protection locked="0"/>
    </xf>
    <xf numFmtId="0" fontId="44" fillId="0" borderId="67" xfId="0" applyFont="1" applyBorder="1" applyAlignment="1" applyProtection="1">
      <alignment vertical="center"/>
      <protection locked="0"/>
    </xf>
    <xf numFmtId="0" fontId="38" fillId="0" borderId="67" xfId="0" applyFont="1" applyBorder="1" applyAlignment="1" applyProtection="1">
      <alignment vertical="center"/>
      <protection locked="0"/>
    </xf>
    <xf numFmtId="0" fontId="38" fillId="0" borderId="68" xfId="0" applyFont="1" applyBorder="1" applyAlignment="1" applyProtection="1">
      <alignment vertical="center"/>
      <protection locked="0"/>
    </xf>
    <xf numFmtId="0" fontId="123" fillId="0" borderId="0" xfId="0" applyFont="1" applyAlignment="1" applyProtection="1">
      <alignment vertical="center"/>
      <protection locked="0"/>
    </xf>
    <xf numFmtId="0" fontId="38" fillId="13" borderId="40" xfId="0" applyFont="1" applyFill="1" applyBorder="1" applyAlignment="1" applyProtection="1">
      <alignment vertical="center"/>
      <protection locked="0"/>
    </xf>
    <xf numFmtId="0" fontId="38" fillId="13" borderId="70" xfId="0" applyFont="1" applyFill="1" applyBorder="1" applyAlignment="1" applyProtection="1">
      <alignment horizontal="center" vertical="center"/>
      <protection locked="0"/>
    </xf>
    <xf numFmtId="0" fontId="38" fillId="13" borderId="42" xfId="0" applyFont="1" applyFill="1" applyBorder="1" applyAlignment="1" applyProtection="1">
      <alignment horizontal="center" vertical="center"/>
      <protection locked="0"/>
    </xf>
    <xf numFmtId="164" fontId="38" fillId="3" borderId="0" xfId="0" applyNumberFormat="1" applyFont="1" applyFill="1" applyBorder="1" applyAlignment="1" applyProtection="1">
      <alignment horizontal="center" vertical="center" wrapText="1"/>
    </xf>
    <xf numFmtId="167" fontId="38" fillId="3" borderId="0" xfId="2" applyFont="1" applyFill="1" applyBorder="1" applyAlignment="1" applyProtection="1">
      <alignment vertical="center" wrapText="1"/>
      <protection locked="0"/>
    </xf>
    <xf numFmtId="167" fontId="38" fillId="3" borderId="39" xfId="2" applyFont="1" applyFill="1" applyBorder="1" applyAlignment="1" applyProtection="1">
      <alignment horizontal="center" vertical="center" wrapText="1"/>
      <protection locked="0"/>
    </xf>
    <xf numFmtId="0" fontId="44" fillId="0" borderId="52" xfId="0" applyFont="1" applyBorder="1" applyAlignment="1" applyProtection="1">
      <alignment vertical="center"/>
      <protection locked="0"/>
    </xf>
    <xf numFmtId="10" fontId="44" fillId="0" borderId="178" xfId="10" applyNumberFormat="1" applyFont="1" applyBorder="1" applyAlignment="1" applyProtection="1">
      <alignment horizontal="center" vertical="center"/>
      <protection locked="0"/>
    </xf>
    <xf numFmtId="186" fontId="44" fillId="0" borderId="54" xfId="1" applyNumberFormat="1" applyFont="1" applyBorder="1" applyAlignment="1" applyProtection="1">
      <alignment vertical="center"/>
      <protection locked="0"/>
    </xf>
    <xf numFmtId="0" fontId="38" fillId="3" borderId="0" xfId="0" applyFont="1" applyFill="1" applyBorder="1" applyAlignment="1" applyProtection="1">
      <alignment horizontal="center" vertical="center" wrapText="1"/>
    </xf>
    <xf numFmtId="14" fontId="38" fillId="3" borderId="39" xfId="2" applyNumberFormat="1" applyFont="1" applyFill="1" applyBorder="1" applyAlignment="1" applyProtection="1">
      <alignment horizontal="center" vertical="center" wrapText="1"/>
      <protection locked="0"/>
    </xf>
    <xf numFmtId="10" fontId="44" fillId="0" borderId="184" xfId="10" applyNumberFormat="1" applyFont="1" applyBorder="1" applyAlignment="1" applyProtection="1">
      <alignment horizontal="center" vertical="center"/>
      <protection locked="0"/>
    </xf>
    <xf numFmtId="186" fontId="44" fillId="0" borderId="157" xfId="1" applyNumberFormat="1" applyFont="1" applyBorder="1" applyAlignment="1" applyProtection="1">
      <alignment vertical="center"/>
      <protection locked="0"/>
    </xf>
    <xf numFmtId="0" fontId="44" fillId="3" borderId="0" xfId="0" applyFont="1" applyFill="1" applyBorder="1" applyAlignment="1">
      <alignment vertical="center"/>
    </xf>
    <xf numFmtId="167" fontId="44" fillId="3" borderId="66" xfId="2" applyFont="1" applyFill="1" applyBorder="1" applyAlignment="1" applyProtection="1">
      <alignment vertical="center"/>
      <protection locked="0"/>
    </xf>
    <xf numFmtId="167" fontId="44" fillId="3" borderId="0" xfId="2" applyFont="1" applyFill="1" applyBorder="1" applyAlignment="1" applyProtection="1">
      <alignment vertical="center"/>
      <protection locked="0"/>
    </xf>
    <xf numFmtId="167" fontId="38" fillId="13" borderId="40" xfId="2" applyFont="1" applyFill="1" applyBorder="1" applyAlignment="1" applyProtection="1">
      <alignment horizontal="center" vertical="center"/>
      <protection locked="0"/>
    </xf>
    <xf numFmtId="0" fontId="38" fillId="13" borderId="70" xfId="0" applyFont="1" applyFill="1" applyBorder="1" applyAlignment="1" applyProtection="1">
      <alignment horizontal="center" vertical="center"/>
    </xf>
    <xf numFmtId="167" fontId="44" fillId="3" borderId="39" xfId="2" applyFont="1" applyFill="1" applyBorder="1" applyAlignment="1" applyProtection="1">
      <alignment vertical="center"/>
      <protection locked="0"/>
    </xf>
    <xf numFmtId="0" fontId="38" fillId="0" borderId="40" xfId="0" applyFont="1" applyBorder="1" applyAlignment="1" applyProtection="1">
      <alignment horizontal="center" vertical="center"/>
      <protection locked="0"/>
    </xf>
    <xf numFmtId="10" fontId="44" fillId="0" borderId="70" xfId="10" applyNumberFormat="1" applyFont="1" applyBorder="1" applyAlignment="1" applyProtection="1">
      <alignment horizontal="center" vertical="center"/>
      <protection locked="0"/>
    </xf>
    <xf numFmtId="186" fontId="44" fillId="0" borderId="42" xfId="1" applyNumberFormat="1" applyFont="1" applyBorder="1" applyAlignment="1" applyProtection="1">
      <alignment vertical="center"/>
      <protection locked="0"/>
    </xf>
    <xf numFmtId="1" fontId="44" fillId="3" borderId="52" xfId="2" applyNumberFormat="1" applyFont="1" applyFill="1" applyBorder="1" applyAlignment="1" applyProtection="1">
      <alignment horizontal="center" vertical="center"/>
      <protection locked="0"/>
    </xf>
    <xf numFmtId="9" fontId="44" fillId="3" borderId="178" xfId="10" applyFont="1" applyFill="1" applyBorder="1" applyAlignment="1" applyProtection="1">
      <alignment horizontal="center" vertical="center"/>
    </xf>
    <xf numFmtId="0" fontId="44" fillId="3" borderId="0" xfId="0" applyFont="1" applyFill="1" applyBorder="1" applyAlignment="1" applyProtection="1">
      <alignment vertical="center"/>
    </xf>
    <xf numFmtId="1" fontId="44" fillId="3" borderId="155" xfId="2" applyNumberFormat="1" applyFont="1" applyFill="1" applyBorder="1" applyAlignment="1" applyProtection="1">
      <alignment horizontal="center" vertical="center"/>
      <protection locked="0"/>
    </xf>
    <xf numFmtId="9" fontId="44" fillId="3" borderId="179" xfId="10" applyFont="1" applyFill="1" applyBorder="1" applyAlignment="1" applyProtection="1">
      <alignment horizontal="center" vertical="center"/>
    </xf>
    <xf numFmtId="0" fontId="38" fillId="0" borderId="38" xfId="0" applyFont="1" applyBorder="1" applyAlignment="1" applyProtection="1">
      <alignment vertical="center"/>
      <protection locked="0"/>
    </xf>
    <xf numFmtId="1" fontId="44" fillId="3" borderId="177" xfId="2" applyNumberFormat="1" applyFont="1" applyFill="1" applyBorder="1" applyAlignment="1" applyProtection="1">
      <alignment horizontal="center" vertical="center"/>
      <protection locked="0"/>
    </xf>
    <xf numFmtId="9" fontId="44" fillId="3" borderId="180" xfId="10" applyFont="1" applyFill="1" applyBorder="1" applyAlignment="1" applyProtection="1">
      <alignment horizontal="center" vertical="center"/>
    </xf>
    <xf numFmtId="0" fontId="38" fillId="13" borderId="40" xfId="0" applyFont="1" applyFill="1" applyBorder="1" applyAlignment="1" applyProtection="1">
      <alignment horizontal="center" vertical="center"/>
      <protection locked="0"/>
    </xf>
    <xf numFmtId="167" fontId="120" fillId="3" borderId="66" xfId="2" applyFont="1" applyFill="1" applyBorder="1" applyAlignment="1" applyProtection="1">
      <alignment vertical="center"/>
    </xf>
    <xf numFmtId="167" fontId="120" fillId="3" borderId="0" xfId="2" applyFont="1" applyFill="1" applyBorder="1" applyAlignment="1" applyProtection="1">
      <alignment vertical="center"/>
    </xf>
    <xf numFmtId="0" fontId="120" fillId="3" borderId="0" xfId="0" applyFont="1" applyFill="1" applyBorder="1" applyAlignment="1" applyProtection="1">
      <alignment vertical="center"/>
    </xf>
    <xf numFmtId="167" fontId="38" fillId="3" borderId="56" xfId="2" applyFont="1" applyFill="1" applyBorder="1" applyAlignment="1" applyProtection="1">
      <alignment vertical="center"/>
      <protection locked="0"/>
    </xf>
    <xf numFmtId="167" fontId="38" fillId="3" borderId="57" xfId="2" applyFont="1" applyFill="1" applyBorder="1" applyAlignment="1" applyProtection="1">
      <alignment vertical="center"/>
      <protection locked="0"/>
    </xf>
    <xf numFmtId="0" fontId="44" fillId="0" borderId="178" xfId="0" applyFont="1" applyBorder="1" applyAlignment="1" applyProtection="1">
      <alignment horizontal="center" vertical="center"/>
      <protection locked="0"/>
    </xf>
    <xf numFmtId="0" fontId="44" fillId="0" borderId="66" xfId="0" applyFont="1" applyBorder="1" applyAlignment="1" applyProtection="1">
      <alignment vertical="center"/>
      <protection locked="0"/>
    </xf>
    <xf numFmtId="164" fontId="38" fillId="0" borderId="0" xfId="0" applyNumberFormat="1" applyFont="1" applyBorder="1" applyAlignment="1" applyProtection="1">
      <alignment horizontal="center" vertical="center"/>
      <protection locked="0"/>
    </xf>
    <xf numFmtId="14" fontId="38" fillId="0" borderId="66" xfId="0" applyNumberFormat="1" applyFont="1" applyBorder="1" applyAlignment="1" applyProtection="1">
      <alignment horizontal="center" vertical="center"/>
      <protection locked="0"/>
    </xf>
    <xf numFmtId="0" fontId="44" fillId="10" borderId="84" xfId="0" applyFont="1" applyFill="1" applyBorder="1" applyAlignment="1" applyProtection="1">
      <alignment horizontal="center" vertical="center"/>
      <protection locked="0"/>
    </xf>
    <xf numFmtId="0" fontId="44" fillId="0" borderId="177" xfId="0" applyFont="1" applyBorder="1" applyAlignment="1" applyProtection="1">
      <alignment vertical="center"/>
      <protection locked="0"/>
    </xf>
    <xf numFmtId="0" fontId="44" fillId="0" borderId="180" xfId="0" applyFont="1" applyBorder="1" applyAlignment="1" applyProtection="1">
      <alignment horizontal="center" vertical="center"/>
      <protection locked="0"/>
    </xf>
    <xf numFmtId="164" fontId="44" fillId="0" borderId="0" xfId="0" applyNumberFormat="1" applyFont="1" applyBorder="1" applyAlignment="1" applyProtection="1">
      <alignment vertical="center"/>
      <protection locked="0"/>
    </xf>
    <xf numFmtId="164" fontId="44" fillId="0" borderId="66" xfId="0" applyNumberFormat="1" applyFont="1" applyBorder="1" applyAlignment="1" applyProtection="1">
      <alignment vertical="center"/>
      <protection locked="0"/>
    </xf>
    <xf numFmtId="0" fontId="44" fillId="10" borderId="77" xfId="0" applyFont="1" applyFill="1" applyBorder="1" applyAlignment="1" applyProtection="1">
      <alignment vertical="center"/>
      <protection locked="0"/>
    </xf>
    <xf numFmtId="10" fontId="44" fillId="10" borderId="62" xfId="10" applyNumberFormat="1" applyFont="1" applyFill="1" applyBorder="1" applyAlignment="1" applyProtection="1">
      <alignment vertical="center"/>
      <protection locked="0"/>
    </xf>
    <xf numFmtId="0" fontId="44" fillId="0" borderId="185" xfId="0" applyFont="1" applyBorder="1" applyAlignment="1" applyProtection="1">
      <alignment vertical="center"/>
      <protection locked="0"/>
    </xf>
    <xf numFmtId="172" fontId="44" fillId="0" borderId="0" xfId="0" applyNumberFormat="1" applyFont="1" applyBorder="1" applyAlignment="1" applyProtection="1">
      <alignment vertical="center"/>
      <protection locked="0"/>
    </xf>
    <xf numFmtId="172" fontId="44" fillId="0" borderId="66" xfId="0" applyNumberFormat="1" applyFont="1" applyBorder="1" applyAlignment="1" applyProtection="1">
      <alignment vertical="center"/>
      <protection locked="0"/>
    </xf>
    <xf numFmtId="0" fontId="44" fillId="10" borderId="87" xfId="0" applyFont="1" applyFill="1" applyBorder="1" applyAlignment="1" applyProtection="1">
      <alignment vertical="center"/>
      <protection locked="0"/>
    </xf>
    <xf numFmtId="10" fontId="44" fillId="10" borderId="88" xfId="10" applyNumberFormat="1" applyFont="1" applyFill="1" applyBorder="1" applyAlignment="1" applyProtection="1">
      <alignment vertical="center"/>
      <protection locked="0"/>
    </xf>
    <xf numFmtId="0" fontId="44" fillId="0" borderId="35" xfId="0" applyFont="1" applyBorder="1" applyAlignment="1" applyProtection="1">
      <alignment vertical="center"/>
      <protection locked="0"/>
    </xf>
    <xf numFmtId="0" fontId="44" fillId="0" borderId="36" xfId="0" applyFont="1" applyBorder="1" applyAlignment="1" applyProtection="1">
      <alignment vertical="center"/>
      <protection locked="0"/>
    </xf>
    <xf numFmtId="0" fontId="44" fillId="0" borderId="37" xfId="0" applyFont="1" applyBorder="1" applyAlignment="1" applyProtection="1">
      <alignment vertical="center"/>
      <protection locked="0"/>
    </xf>
    <xf numFmtId="0" fontId="44" fillId="0" borderId="0" xfId="0" quotePrefix="1" applyFont="1" applyAlignment="1" applyProtection="1">
      <alignment vertical="center"/>
      <protection locked="0"/>
    </xf>
    <xf numFmtId="9" fontId="44" fillId="0" borderId="0" xfId="10" applyFont="1" applyAlignment="1" applyProtection="1">
      <alignment vertical="center"/>
      <protection locked="0"/>
    </xf>
    <xf numFmtId="0" fontId="44" fillId="0" borderId="156" xfId="0" applyFont="1" applyBorder="1" applyAlignment="1" applyProtection="1">
      <alignment vertical="center"/>
    </xf>
    <xf numFmtId="0" fontId="44" fillId="0" borderId="39" xfId="0" applyFont="1" applyBorder="1" applyAlignment="1" applyProtection="1">
      <alignment vertical="center"/>
    </xf>
    <xf numFmtId="0" fontId="44" fillId="0" borderId="157" xfId="0" applyFont="1" applyBorder="1" applyAlignment="1" applyProtection="1">
      <alignment vertical="center"/>
    </xf>
    <xf numFmtId="0" fontId="44" fillId="0" borderId="40" xfId="0" applyFont="1" applyBorder="1" applyAlignment="1" applyProtection="1">
      <alignment horizontal="center" vertical="center"/>
    </xf>
    <xf numFmtId="0" fontId="44" fillId="0" borderId="70" xfId="0" applyFont="1" applyBorder="1" applyAlignment="1" applyProtection="1">
      <alignment horizontal="center" vertical="center"/>
    </xf>
    <xf numFmtId="0" fontId="44" fillId="0" borderId="41" xfId="0" applyFont="1" applyBorder="1" applyAlignment="1" applyProtection="1">
      <alignment horizontal="center" vertical="center"/>
    </xf>
    <xf numFmtId="171" fontId="44" fillId="0" borderId="55" xfId="0" applyNumberFormat="1" applyFont="1" applyBorder="1" applyAlignment="1" applyProtection="1">
      <alignment horizontal="center" vertical="center"/>
    </xf>
    <xf numFmtId="171" fontId="44" fillId="0" borderId="104" xfId="0" applyNumberFormat="1" applyFont="1" applyBorder="1" applyAlignment="1" applyProtection="1">
      <alignment horizontal="center" vertical="center"/>
    </xf>
    <xf numFmtId="171" fontId="44" fillId="0" borderId="56" xfId="0" applyNumberFormat="1" applyFont="1" applyBorder="1" applyAlignment="1" applyProtection="1">
      <alignment horizontal="center" vertical="center"/>
    </xf>
    <xf numFmtId="171" fontId="44" fillId="0" borderId="70" xfId="0" applyNumberFormat="1" applyFont="1" applyBorder="1" applyAlignment="1" applyProtection="1">
      <alignment horizontal="center" vertical="center"/>
    </xf>
    <xf numFmtId="9" fontId="44" fillId="0" borderId="104" xfId="10" applyFont="1" applyBorder="1" applyAlignment="1" applyProtection="1">
      <alignment horizontal="center" vertical="center"/>
    </xf>
    <xf numFmtId="0" fontId="44" fillId="0" borderId="104" xfId="0" applyFont="1" applyBorder="1" applyAlignment="1" applyProtection="1">
      <alignment horizontal="center" vertical="center"/>
      <protection locked="0"/>
    </xf>
    <xf numFmtId="0" fontId="44" fillId="0" borderId="0" xfId="0" applyFont="1" applyBorder="1" applyAlignment="1" applyProtection="1">
      <alignment horizontal="left" vertical="center" indent="1"/>
    </xf>
    <xf numFmtId="0" fontId="44" fillId="0" borderId="105" xfId="0" applyFont="1" applyBorder="1" applyAlignment="1" applyProtection="1">
      <alignment vertical="center"/>
    </xf>
    <xf numFmtId="171" fontId="44" fillId="0" borderId="183" xfId="0" applyNumberFormat="1" applyFont="1" applyBorder="1" applyAlignment="1" applyProtection="1">
      <alignment horizontal="center" vertical="center"/>
    </xf>
    <xf numFmtId="171" fontId="44" fillId="0" borderId="179" xfId="0" applyNumberFormat="1" applyFont="1" applyBorder="1" applyAlignment="1" applyProtection="1">
      <alignment horizontal="center" vertical="center"/>
    </xf>
    <xf numFmtId="0" fontId="38" fillId="0" borderId="177" xfId="0" applyFont="1" applyBorder="1" applyAlignment="1" applyProtection="1">
      <alignment vertical="center"/>
    </xf>
    <xf numFmtId="171" fontId="44" fillId="0" borderId="180" xfId="0" applyNumberFormat="1" applyFont="1" applyBorder="1" applyAlignment="1" applyProtection="1">
      <alignment horizontal="center" vertical="center"/>
    </xf>
    <xf numFmtId="0" fontId="44" fillId="0" borderId="55" xfId="0" applyFont="1" applyBorder="1" applyAlignment="1" applyProtection="1">
      <alignment vertical="center"/>
    </xf>
    <xf numFmtId="0" fontId="44" fillId="0" borderId="56" xfId="0" applyFont="1" applyBorder="1" applyAlignment="1" applyProtection="1">
      <alignment vertical="center"/>
    </xf>
    <xf numFmtId="0" fontId="44" fillId="0" borderId="57" xfId="0" applyFont="1" applyBorder="1" applyAlignment="1" applyProtection="1">
      <alignment vertical="center"/>
    </xf>
    <xf numFmtId="0" fontId="38" fillId="5" borderId="40" xfId="0" applyFont="1" applyFill="1" applyBorder="1" applyAlignment="1" applyProtection="1">
      <alignment vertical="center"/>
    </xf>
    <xf numFmtId="0" fontId="38" fillId="5" borderId="41" xfId="0" applyFont="1" applyFill="1" applyBorder="1" applyAlignment="1" applyProtection="1">
      <alignment vertical="center"/>
    </xf>
    <xf numFmtId="0" fontId="38" fillId="5" borderId="42" xfId="0" applyFont="1" applyFill="1" applyBorder="1" applyAlignment="1" applyProtection="1">
      <alignment vertical="center"/>
    </xf>
    <xf numFmtId="0" fontId="38" fillId="0" borderId="38" xfId="0" applyFont="1" applyBorder="1" applyAlignment="1" applyProtection="1">
      <alignment horizontal="center" vertical="center"/>
      <protection locked="0"/>
    </xf>
    <xf numFmtId="0" fontId="44" fillId="0" borderId="38" xfId="0" applyFont="1" applyBorder="1" applyAlignment="1" applyProtection="1">
      <alignment horizontal="center" vertical="center"/>
      <protection locked="0"/>
    </xf>
    <xf numFmtId="0" fontId="44" fillId="0" borderId="54" xfId="0" applyFont="1" applyBorder="1" applyAlignment="1" applyProtection="1">
      <alignment vertical="center"/>
      <protection locked="0"/>
    </xf>
    <xf numFmtId="0" fontId="38" fillId="5" borderId="155" xfId="0" applyFont="1" applyFill="1" applyBorder="1" applyAlignment="1" applyProtection="1">
      <alignment vertical="center"/>
    </xf>
    <xf numFmtId="0" fontId="38" fillId="5" borderId="44" xfId="0" applyFont="1" applyFill="1" applyBorder="1" applyAlignment="1" applyProtection="1">
      <alignment vertical="center"/>
    </xf>
    <xf numFmtId="0" fontId="38" fillId="5" borderId="67" xfId="0" applyFont="1" applyFill="1" applyBorder="1" applyAlignment="1" applyProtection="1">
      <alignment vertical="center"/>
    </xf>
    <xf numFmtId="0" fontId="38" fillId="5" borderId="157" xfId="0" applyFont="1" applyFill="1" applyBorder="1" applyAlignment="1" applyProtection="1">
      <alignment vertical="center"/>
    </xf>
    <xf numFmtId="0" fontId="38" fillId="5" borderId="105" xfId="0" applyFont="1" applyFill="1" applyBorder="1" applyAlignment="1" applyProtection="1">
      <alignment vertical="center"/>
    </xf>
    <xf numFmtId="0" fontId="44" fillId="5" borderId="106" xfId="0" applyFont="1" applyFill="1" applyBorder="1" applyAlignment="1" applyProtection="1">
      <alignment vertical="center"/>
    </xf>
    <xf numFmtId="0" fontId="44" fillId="5" borderId="107" xfId="0" applyFont="1" applyFill="1" applyBorder="1" applyAlignment="1" applyProtection="1">
      <alignment vertical="center"/>
    </xf>
    <xf numFmtId="0" fontId="44" fillId="0" borderId="157" xfId="0" applyFont="1" applyBorder="1" applyAlignment="1" applyProtection="1">
      <alignment vertical="center"/>
      <protection locked="0"/>
    </xf>
    <xf numFmtId="0" fontId="44" fillId="0" borderId="55" xfId="0" applyFont="1" applyBorder="1" applyAlignment="1" applyProtection="1">
      <alignment vertical="center"/>
      <protection locked="0"/>
    </xf>
    <xf numFmtId="0" fontId="44" fillId="0" borderId="56" xfId="0" applyFont="1" applyBorder="1" applyAlignment="1" applyProtection="1">
      <alignment vertical="center"/>
      <protection locked="0"/>
    </xf>
    <xf numFmtId="0" fontId="44" fillId="0" borderId="57" xfId="0" applyFont="1" applyBorder="1" applyAlignment="1" applyProtection="1">
      <alignment vertical="center"/>
      <protection locked="0"/>
    </xf>
    <xf numFmtId="199" fontId="38" fillId="12" borderId="0" xfId="0" applyNumberFormat="1" applyFont="1" applyFill="1" applyBorder="1" applyAlignment="1">
      <alignment horizontal="center" vertical="center"/>
    </xf>
    <xf numFmtId="0" fontId="44" fillId="0" borderId="0" xfId="0" applyFont="1" applyBorder="1" applyAlignment="1">
      <alignment horizontal="right"/>
    </xf>
    <xf numFmtId="3" fontId="44" fillId="0" borderId="0" xfId="7" applyNumberFormat="1" applyFont="1" applyBorder="1" applyAlignment="1">
      <alignment horizontal="right"/>
    </xf>
    <xf numFmtId="197" fontId="44" fillId="0" borderId="0" xfId="7" applyNumberFormat="1" applyFont="1" applyBorder="1" applyAlignment="1">
      <alignment horizontal="right"/>
    </xf>
    <xf numFmtId="197" fontId="44" fillId="0" borderId="0" xfId="7" applyNumberFormat="1" applyFont="1" applyBorder="1" applyAlignment="1">
      <alignment horizontal="right" vertical="center"/>
    </xf>
    <xf numFmtId="3" fontId="44" fillId="0" borderId="0" xfId="7" applyNumberFormat="1" applyFont="1" applyBorder="1" applyAlignment="1">
      <alignment horizontal="right" vertical="center"/>
    </xf>
    <xf numFmtId="0" fontId="44" fillId="0" borderId="0" xfId="0" applyFont="1" applyAlignment="1">
      <alignment horizontal="right" vertical="center"/>
    </xf>
    <xf numFmtId="3" fontId="38" fillId="0" borderId="0" xfId="7" applyNumberFormat="1" applyFont="1" applyBorder="1" applyAlignment="1">
      <alignment horizontal="right" vertical="center"/>
    </xf>
    <xf numFmtId="9" fontId="44" fillId="0" borderId="0" xfId="10" applyFont="1" applyAlignment="1">
      <alignment horizontal="right" vertical="center"/>
    </xf>
    <xf numFmtId="3" fontId="38" fillId="5" borderId="82" xfId="7" applyNumberFormat="1" applyFont="1" applyFill="1" applyBorder="1" applyAlignment="1">
      <alignment horizontal="right"/>
    </xf>
    <xf numFmtId="179" fontId="38" fillId="5" borderId="84" xfId="7" applyNumberFormat="1" applyFont="1" applyFill="1" applyBorder="1" applyAlignment="1">
      <alignment horizontal="right"/>
    </xf>
    <xf numFmtId="0" fontId="44" fillId="0" borderId="77" xfId="0" applyFont="1" applyBorder="1" applyAlignment="1">
      <alignment horizontal="right" vertical="center"/>
    </xf>
    <xf numFmtId="3" fontId="44" fillId="0" borderId="62" xfId="0" applyNumberFormat="1" applyFont="1" applyBorder="1" applyAlignment="1">
      <alignment horizontal="right" vertical="center"/>
    </xf>
    <xf numFmtId="3" fontId="38" fillId="0" borderId="0" xfId="7" applyNumberFormat="1" applyFont="1" applyFill="1" applyBorder="1" applyAlignment="1">
      <alignment horizontal="right" vertical="center"/>
    </xf>
    <xf numFmtId="3" fontId="44" fillId="0" borderId="63" xfId="7" applyNumberFormat="1" applyFont="1" applyBorder="1" applyAlignment="1">
      <alignment horizontal="right"/>
    </xf>
    <xf numFmtId="3" fontId="44" fillId="0" borderId="65" xfId="7" applyNumberFormat="1" applyFont="1" applyBorder="1" applyAlignment="1">
      <alignment horizontal="right"/>
    </xf>
    <xf numFmtId="169" fontId="44" fillId="0" borderId="0" xfId="10" applyNumberFormat="1" applyFont="1" applyFill="1" applyBorder="1" applyAlignment="1">
      <alignment horizontal="right" vertical="center"/>
    </xf>
    <xf numFmtId="3" fontId="38" fillId="5" borderId="78" xfId="7" applyNumberFormat="1" applyFont="1" applyFill="1" applyBorder="1" applyAlignment="1">
      <alignment horizontal="right" vertical="center"/>
    </xf>
    <xf numFmtId="3" fontId="38" fillId="5" borderId="81" xfId="7" applyNumberFormat="1" applyFont="1" applyFill="1" applyBorder="1" applyAlignment="1">
      <alignment horizontal="right" vertical="center"/>
    </xf>
    <xf numFmtId="0" fontId="44" fillId="0" borderId="59" xfId="0" applyFont="1" applyBorder="1" applyAlignment="1">
      <alignment horizontal="right" vertical="center"/>
    </xf>
    <xf numFmtId="10" fontId="44" fillId="0" borderId="61" xfId="0" applyNumberFormat="1" applyFont="1" applyBorder="1" applyAlignment="1">
      <alignment horizontal="right" vertical="center"/>
    </xf>
    <xf numFmtId="3" fontId="38" fillId="5" borderId="79" xfId="7" applyNumberFormat="1" applyFont="1" applyFill="1" applyBorder="1" applyAlignment="1">
      <alignment horizontal="right" vertical="center"/>
    </xf>
    <xf numFmtId="10" fontId="44" fillId="0" borderId="62" xfId="0" applyNumberFormat="1" applyFont="1" applyBorder="1" applyAlignment="1">
      <alignment horizontal="right" vertical="center"/>
    </xf>
    <xf numFmtId="0" fontId="44" fillId="0" borderId="89" xfId="0" applyFont="1" applyBorder="1" applyAlignment="1">
      <alignment horizontal="right" vertical="center"/>
    </xf>
    <xf numFmtId="3" fontId="44" fillId="0" borderId="90" xfId="0" applyNumberFormat="1" applyFont="1" applyBorder="1" applyAlignment="1">
      <alignment horizontal="right" vertical="center"/>
    </xf>
    <xf numFmtId="10" fontId="44" fillId="0" borderId="91" xfId="10" applyNumberFormat="1" applyFont="1" applyBorder="1" applyAlignment="1">
      <alignment horizontal="right" vertical="center"/>
    </xf>
    <xf numFmtId="0" fontId="44" fillId="0" borderId="92" xfId="0" applyFont="1" applyBorder="1" applyAlignment="1">
      <alignment horizontal="right" vertical="center"/>
    </xf>
    <xf numFmtId="3" fontId="44" fillId="0" borderId="93" xfId="0" applyNumberFormat="1" applyFont="1" applyBorder="1" applyAlignment="1">
      <alignment horizontal="right" vertical="center"/>
    </xf>
    <xf numFmtId="0" fontId="44" fillId="0" borderId="63" xfId="0" applyFont="1" applyBorder="1" applyAlignment="1">
      <alignment horizontal="right" vertical="center"/>
    </xf>
    <xf numFmtId="10" fontId="44" fillId="0" borderId="65" xfId="0" applyNumberFormat="1" applyFont="1" applyBorder="1" applyAlignment="1">
      <alignment horizontal="right" vertical="center"/>
    </xf>
    <xf numFmtId="169" fontId="38" fillId="0" borderId="0" xfId="10" applyNumberFormat="1" applyFont="1" applyFill="1" applyBorder="1" applyAlignment="1">
      <alignment horizontal="right" vertical="center"/>
    </xf>
    <xf numFmtId="0" fontId="44" fillId="0" borderId="142" xfId="0" applyFont="1" applyBorder="1" applyAlignment="1">
      <alignment horizontal="right" vertical="center" wrapText="1"/>
    </xf>
    <xf numFmtId="0" fontId="44" fillId="0" borderId="0" xfId="0" applyFont="1" applyFill="1" applyAlignment="1">
      <alignment horizontal="right" vertical="center"/>
    </xf>
    <xf numFmtId="0" fontId="44" fillId="0" borderId="108" xfId="0" applyFont="1" applyBorder="1" applyAlignment="1">
      <alignment horizontal="right" vertical="center" wrapText="1"/>
    </xf>
    <xf numFmtId="3" fontId="38" fillId="0" borderId="78" xfId="7" applyNumberFormat="1" applyFont="1" applyBorder="1" applyAlignment="1">
      <alignment horizontal="right" vertical="center"/>
    </xf>
    <xf numFmtId="3" fontId="38" fillId="0" borderId="80" xfId="7" applyNumberFormat="1" applyFont="1" applyBorder="1" applyAlignment="1">
      <alignment horizontal="right" vertical="center"/>
    </xf>
    <xf numFmtId="10" fontId="38" fillId="0" borderId="81" xfId="10" applyNumberFormat="1" applyFont="1" applyBorder="1" applyAlignment="1">
      <alignment horizontal="right" vertical="center"/>
    </xf>
    <xf numFmtId="175" fontId="38" fillId="5" borderId="79" xfId="7" applyNumberFormat="1" applyFont="1" applyFill="1" applyBorder="1" applyAlignment="1">
      <alignment horizontal="right" vertical="center"/>
    </xf>
    <xf numFmtId="0" fontId="61" fillId="16" borderId="58" xfId="0" applyFont="1" applyFill="1" applyBorder="1" applyAlignment="1">
      <alignment horizontal="right"/>
    </xf>
    <xf numFmtId="0" fontId="44" fillId="0" borderId="89" xfId="9" applyFont="1" applyBorder="1" applyAlignment="1">
      <alignment horizontal="right" vertical="center"/>
    </xf>
    <xf numFmtId="0" fontId="44" fillId="0" borderId="90" xfId="9" applyFont="1" applyBorder="1" applyAlignment="1">
      <alignment horizontal="right" vertical="center"/>
    </xf>
    <xf numFmtId="171" fontId="44" fillId="0" borderId="91" xfId="9" applyNumberFormat="1" applyFont="1" applyBorder="1" applyAlignment="1">
      <alignment horizontal="right" vertical="center"/>
    </xf>
    <xf numFmtId="171" fontId="44" fillId="0" borderId="0" xfId="9" applyNumberFormat="1" applyFont="1" applyFill="1" applyBorder="1" applyAlignment="1">
      <alignment horizontal="right" vertical="center"/>
    </xf>
    <xf numFmtId="0" fontId="92" fillId="0" borderId="58" xfId="0" applyFont="1" applyBorder="1" applyAlignment="1">
      <alignment horizontal="right"/>
    </xf>
    <xf numFmtId="4" fontId="44" fillId="0" borderId="60" xfId="7" applyNumberFormat="1" applyFont="1" applyBorder="1" applyAlignment="1">
      <alignment horizontal="right" vertical="center"/>
    </xf>
    <xf numFmtId="10" fontId="44" fillId="0" borderId="58" xfId="10" applyNumberFormat="1" applyFont="1" applyBorder="1" applyAlignment="1">
      <alignment horizontal="right" vertical="center"/>
    </xf>
    <xf numFmtId="0" fontId="44" fillId="0" borderId="92" xfId="9" applyFont="1" applyBorder="1" applyAlignment="1">
      <alignment horizontal="right" vertical="center"/>
    </xf>
    <xf numFmtId="0" fontId="44" fillId="0" borderId="93" xfId="9" applyFont="1" applyBorder="1" applyAlignment="1">
      <alignment horizontal="right" vertical="center"/>
    </xf>
    <xf numFmtId="171" fontId="44" fillId="0" borderId="94" xfId="9" applyNumberFormat="1" applyFont="1" applyBorder="1" applyAlignment="1">
      <alignment horizontal="right" vertical="center"/>
    </xf>
    <xf numFmtId="0" fontId="44" fillId="0" borderId="144" xfId="9" applyFont="1" applyBorder="1" applyAlignment="1">
      <alignment horizontal="right" vertical="center"/>
    </xf>
    <xf numFmtId="0" fontId="44" fillId="0" borderId="145" xfId="9" applyFont="1" applyBorder="1" applyAlignment="1">
      <alignment horizontal="right" vertical="center"/>
    </xf>
    <xf numFmtId="171" fontId="44" fillId="0" borderId="146" xfId="9" applyNumberFormat="1" applyFont="1" applyBorder="1" applyAlignment="1">
      <alignment horizontal="right" vertical="center"/>
    </xf>
    <xf numFmtId="0" fontId="38" fillId="5" borderId="78" xfId="9" applyFont="1" applyFill="1" applyBorder="1" applyAlignment="1">
      <alignment horizontal="right" vertical="center"/>
    </xf>
    <xf numFmtId="0" fontId="38" fillId="5" borderId="79" xfId="9" applyFont="1" applyFill="1" applyBorder="1" applyAlignment="1">
      <alignment horizontal="right" vertical="center"/>
    </xf>
    <xf numFmtId="0" fontId="38" fillId="5" borderId="81" xfId="9" applyFont="1" applyFill="1" applyBorder="1" applyAlignment="1">
      <alignment horizontal="right" vertical="center"/>
    </xf>
    <xf numFmtId="0" fontId="38" fillId="0" borderId="0" xfId="9" applyFont="1" applyFill="1" applyBorder="1" applyAlignment="1">
      <alignment horizontal="right" vertical="center"/>
    </xf>
    <xf numFmtId="0" fontId="38" fillId="0" borderId="89" xfId="9" applyFont="1" applyBorder="1" applyAlignment="1">
      <alignment horizontal="right"/>
    </xf>
    <xf numFmtId="0" fontId="38" fillId="0" borderId="90" xfId="9" applyFont="1" applyBorder="1" applyAlignment="1">
      <alignment horizontal="right"/>
    </xf>
    <xf numFmtId="0" fontId="38" fillId="0" borderId="91" xfId="9" applyFont="1" applyBorder="1" applyAlignment="1">
      <alignment horizontal="right"/>
    </xf>
    <xf numFmtId="0" fontId="38" fillId="0" borderId="0" xfId="9" applyFont="1" applyFill="1" applyBorder="1" applyAlignment="1">
      <alignment horizontal="right"/>
    </xf>
    <xf numFmtId="0" fontId="44" fillId="0" borderId="0" xfId="0" applyFont="1" applyAlignment="1">
      <alignment horizontal="right"/>
    </xf>
    <xf numFmtId="0" fontId="44" fillId="0" borderId="92" xfId="9" applyFont="1" applyBorder="1" applyAlignment="1">
      <alignment horizontal="right"/>
    </xf>
    <xf numFmtId="0" fontId="44" fillId="0" borderId="93" xfId="9" applyFont="1" applyBorder="1" applyAlignment="1">
      <alignment horizontal="right"/>
    </xf>
    <xf numFmtId="0" fontId="44" fillId="0" borderId="94" xfId="9" applyFont="1" applyBorder="1" applyAlignment="1">
      <alignment horizontal="right"/>
    </xf>
    <xf numFmtId="0" fontId="44" fillId="0" borderId="0" xfId="9" applyFont="1" applyFill="1" applyBorder="1" applyAlignment="1">
      <alignment horizontal="right"/>
    </xf>
    <xf numFmtId="0" fontId="44" fillId="0" borderId="95" xfId="9" applyFont="1" applyBorder="1" applyAlignment="1">
      <alignment horizontal="right"/>
    </xf>
    <xf numFmtId="0" fontId="44" fillId="0" borderId="96" xfId="9" applyFont="1" applyBorder="1" applyAlignment="1">
      <alignment horizontal="right"/>
    </xf>
    <xf numFmtId="0" fontId="44" fillId="0" borderId="97" xfId="9" applyFont="1" applyBorder="1" applyAlignment="1">
      <alignment horizontal="right"/>
    </xf>
    <xf numFmtId="0" fontId="44" fillId="0" borderId="0" xfId="9" applyFont="1" applyBorder="1" applyAlignment="1">
      <alignment horizontal="right"/>
    </xf>
    <xf numFmtId="0" fontId="44" fillId="0" borderId="0" xfId="0" applyFont="1" applyFill="1" applyAlignment="1">
      <alignment horizontal="right"/>
    </xf>
    <xf numFmtId="3" fontId="38" fillId="5" borderId="40" xfId="7" applyNumberFormat="1" applyFont="1" applyFill="1" applyBorder="1" applyAlignment="1">
      <alignment horizontal="right"/>
    </xf>
    <xf numFmtId="0" fontId="38" fillId="5" borderId="70" xfId="7" applyFont="1" applyFill="1" applyBorder="1" applyAlignment="1">
      <alignment horizontal="right"/>
    </xf>
    <xf numFmtId="0" fontId="38" fillId="0" borderId="38" xfId="7" applyFont="1" applyFill="1" applyBorder="1" applyAlignment="1">
      <alignment horizontal="right"/>
    </xf>
    <xf numFmtId="0" fontId="38" fillId="0" borderId="0" xfId="7" applyFont="1" applyFill="1" applyBorder="1" applyAlignment="1">
      <alignment horizontal="right"/>
    </xf>
    <xf numFmtId="0" fontId="44" fillId="0" borderId="98" xfId="7" applyFont="1" applyBorder="1" applyAlignment="1">
      <alignment horizontal="right"/>
    </xf>
    <xf numFmtId="3" fontId="44" fillId="0" borderId="99" xfId="7" applyNumberFormat="1" applyFont="1" applyBorder="1" applyAlignment="1">
      <alignment horizontal="right"/>
    </xf>
    <xf numFmtId="3" fontId="44" fillId="0" borderId="38" xfId="7" applyNumberFormat="1" applyFont="1" applyFill="1" applyBorder="1" applyAlignment="1">
      <alignment horizontal="right"/>
    </xf>
    <xf numFmtId="0" fontId="44" fillId="0" borderId="100" xfId="7" applyFont="1" applyBorder="1" applyAlignment="1">
      <alignment horizontal="right"/>
    </xf>
    <xf numFmtId="3" fontId="44" fillId="0" borderId="101" xfId="7" applyNumberFormat="1" applyFont="1" applyBorder="1" applyAlignment="1">
      <alignment horizontal="right"/>
    </xf>
    <xf numFmtId="3" fontId="44" fillId="0" borderId="100" xfId="7" applyNumberFormat="1" applyFont="1" applyBorder="1" applyAlignment="1">
      <alignment horizontal="right"/>
    </xf>
    <xf numFmtId="3" fontId="44" fillId="0" borderId="102" xfId="7" applyNumberFormat="1" applyFont="1" applyBorder="1" applyAlignment="1">
      <alignment horizontal="right"/>
    </xf>
    <xf numFmtId="3" fontId="44" fillId="0" borderId="103" xfId="7" applyNumberFormat="1" applyFont="1" applyBorder="1" applyAlignment="1">
      <alignment horizontal="right"/>
    </xf>
    <xf numFmtId="0" fontId="38" fillId="0" borderId="40" xfId="7" applyFont="1" applyBorder="1" applyAlignment="1">
      <alignment horizontal="right"/>
    </xf>
    <xf numFmtId="3" fontId="38" fillId="0" borderId="70" xfId="7" applyNumberFormat="1" applyFont="1" applyBorder="1" applyAlignment="1">
      <alignment horizontal="right"/>
    </xf>
    <xf numFmtId="3" fontId="38" fillId="0" borderId="38" xfId="7" applyNumberFormat="1" applyFont="1" applyFill="1" applyBorder="1" applyAlignment="1">
      <alignment horizontal="right"/>
    </xf>
    <xf numFmtId="3" fontId="38" fillId="0" borderId="0" xfId="7" applyNumberFormat="1" applyFont="1" applyBorder="1" applyAlignment="1">
      <alignment horizontal="right"/>
    </xf>
    <xf numFmtId="0" fontId="44" fillId="0" borderId="98" xfId="0" applyFont="1" applyBorder="1" applyAlignment="1">
      <alignment horizontal="right"/>
    </xf>
    <xf numFmtId="0" fontId="44" fillId="0" borderId="100" xfId="0" applyFont="1" applyBorder="1" applyAlignment="1">
      <alignment horizontal="right"/>
    </xf>
    <xf numFmtId="3" fontId="38" fillId="0" borderId="40" xfId="7" applyNumberFormat="1" applyFont="1" applyBorder="1" applyAlignment="1">
      <alignment horizontal="right"/>
    </xf>
    <xf numFmtId="0" fontId="38" fillId="0" borderId="40" xfId="0" applyFont="1" applyBorder="1" applyAlignment="1">
      <alignment horizontal="right"/>
    </xf>
    <xf numFmtId="0" fontId="38" fillId="0" borderId="55" xfId="0" applyFont="1" applyBorder="1" applyAlignment="1">
      <alignment horizontal="right"/>
    </xf>
    <xf numFmtId="3" fontId="38" fillId="0" borderId="104" xfId="7" applyNumberFormat="1" applyFont="1" applyBorder="1" applyAlignment="1">
      <alignment horizontal="right"/>
    </xf>
    <xf numFmtId="0" fontId="38" fillId="0" borderId="0" xfId="0" applyFont="1" applyAlignment="1">
      <alignment horizontal="right"/>
    </xf>
    <xf numFmtId="0" fontId="38" fillId="5" borderId="105" xfId="0" applyFont="1" applyFill="1" applyBorder="1" applyAlignment="1">
      <alignment horizontal="right"/>
    </xf>
    <xf numFmtId="0" fontId="38" fillId="5" borderId="106" xfId="0" applyFont="1" applyFill="1" applyBorder="1" applyAlignment="1">
      <alignment horizontal="right"/>
    </xf>
    <xf numFmtId="0" fontId="38" fillId="5" borderId="107" xfId="0" applyFont="1" applyFill="1" applyBorder="1" applyAlignment="1">
      <alignment horizontal="right"/>
    </xf>
    <xf numFmtId="0" fontId="38" fillId="0" borderId="77" xfId="0" applyFont="1" applyBorder="1" applyAlignment="1">
      <alignment horizontal="right"/>
    </xf>
    <xf numFmtId="0" fontId="38" fillId="0" borderId="58" xfId="0" applyFont="1" applyBorder="1" applyAlignment="1">
      <alignment horizontal="right"/>
    </xf>
    <xf numFmtId="0" fontId="38" fillId="0" borderId="62" xfId="0" applyFont="1" applyBorder="1" applyAlignment="1">
      <alignment horizontal="right"/>
    </xf>
    <xf numFmtId="0" fontId="44" fillId="0" borderId="77" xfId="0" applyFont="1" applyBorder="1" applyAlignment="1">
      <alignment horizontal="right"/>
    </xf>
    <xf numFmtId="0" fontId="44" fillId="0" borderId="58" xfId="0" applyFont="1" applyBorder="1" applyAlignment="1">
      <alignment horizontal="right"/>
    </xf>
    <xf numFmtId="0" fontId="44" fillId="0" borderId="62" xfId="0" applyFont="1" applyBorder="1" applyAlignment="1">
      <alignment horizontal="right"/>
    </xf>
    <xf numFmtId="0" fontId="38" fillId="0" borderId="0" xfId="0" applyFont="1" applyBorder="1" applyAlignment="1">
      <alignment horizontal="right"/>
    </xf>
    <xf numFmtId="0" fontId="38" fillId="0" borderId="63" xfId="0" applyFont="1" applyBorder="1" applyAlignment="1">
      <alignment horizontal="right"/>
    </xf>
    <xf numFmtId="0" fontId="38" fillId="0" borderId="64" xfId="0" applyFont="1" applyBorder="1" applyAlignment="1">
      <alignment horizontal="right"/>
    </xf>
    <xf numFmtId="0" fontId="38" fillId="0" borderId="65" xfId="0" applyFont="1" applyBorder="1" applyAlignment="1">
      <alignment horizontal="right"/>
    </xf>
    <xf numFmtId="0" fontId="33" fillId="0" borderId="0" xfId="0" applyFont="1" applyAlignment="1" applyProtection="1">
      <alignment horizontal="right" vertical="center"/>
      <protection locked="0"/>
    </xf>
    <xf numFmtId="3" fontId="46" fillId="0" borderId="0" xfId="6" applyFont="1"/>
    <xf numFmtId="3" fontId="124" fillId="0" borderId="0" xfId="6" applyFont="1"/>
    <xf numFmtId="3" fontId="125" fillId="0" borderId="0" xfId="6" applyFont="1"/>
    <xf numFmtId="0" fontId="124" fillId="0" borderId="108" xfId="0" applyFont="1" applyBorder="1" applyAlignment="1">
      <alignment wrapText="1"/>
    </xf>
    <xf numFmtId="0" fontId="46" fillId="0" borderId="108" xfId="0" applyFont="1" applyBorder="1" applyAlignment="1" applyProtection="1">
      <alignment horizontal="right" wrapText="1"/>
      <protection locked="0"/>
    </xf>
    <xf numFmtId="0" fontId="128" fillId="0" borderId="108" xfId="0" applyFont="1" applyBorder="1" applyAlignment="1" applyProtection="1">
      <alignment horizontal="right" wrapText="1"/>
      <protection locked="0"/>
    </xf>
    <xf numFmtId="0" fontId="124" fillId="0" borderId="0" xfId="0" applyFont="1" applyAlignment="1">
      <alignment wrapText="1"/>
    </xf>
    <xf numFmtId="0" fontId="124" fillId="0" borderId="0" xfId="0" applyFont="1" applyAlignment="1">
      <alignment horizontal="right" wrapText="1"/>
    </xf>
    <xf numFmtId="0" fontId="124" fillId="0" borderId="0" xfId="0" applyFont="1"/>
    <xf numFmtId="171" fontId="124" fillId="0" borderId="108" xfId="0" applyNumberFormat="1" applyFont="1" applyBorder="1" applyAlignment="1" applyProtection="1">
      <alignment horizontal="right" wrapText="1"/>
      <protection locked="0"/>
    </xf>
    <xf numFmtId="171" fontId="125" fillId="0" borderId="108" xfId="0" applyNumberFormat="1" applyFont="1" applyBorder="1" applyAlignment="1">
      <alignment horizontal="right" wrapText="1"/>
    </xf>
    <xf numFmtId="0" fontId="46" fillId="0" borderId="108" xfId="0" applyFont="1" applyBorder="1" applyAlignment="1">
      <alignment wrapText="1"/>
    </xf>
    <xf numFmtId="0" fontId="124" fillId="0" borderId="108" xfId="0" applyFont="1" applyBorder="1" applyAlignment="1">
      <alignment horizontal="right" wrapText="1"/>
    </xf>
    <xf numFmtId="0" fontId="46" fillId="0" borderId="108" xfId="0" applyFont="1" applyBorder="1"/>
    <xf numFmtId="17" fontId="46" fillId="0" borderId="108" xfId="0" applyNumberFormat="1" applyFont="1" applyBorder="1" applyAlignment="1">
      <alignment horizontal="right" wrapText="1"/>
    </xf>
    <xf numFmtId="17" fontId="128" fillId="0" borderId="108" xfId="0" applyNumberFormat="1" applyFont="1" applyBorder="1" applyAlignment="1">
      <alignment horizontal="right" wrapText="1"/>
    </xf>
    <xf numFmtId="179" fontId="46" fillId="0" borderId="108" xfId="0" applyNumberFormat="1" applyFont="1" applyBorder="1" applyAlignment="1">
      <alignment horizontal="right" wrapText="1"/>
    </xf>
    <xf numFmtId="179" fontId="128" fillId="0" borderId="108" xfId="0" applyNumberFormat="1" applyFont="1" applyBorder="1" applyAlignment="1">
      <alignment horizontal="right" wrapText="1"/>
    </xf>
    <xf numFmtId="0" fontId="129" fillId="0" borderId="108" xfId="0" applyFont="1" applyBorder="1" applyAlignment="1">
      <alignment wrapText="1"/>
    </xf>
    <xf numFmtId="169" fontId="129" fillId="0" borderId="109" xfId="0" applyNumberFormat="1" applyFont="1" applyBorder="1" applyAlignment="1">
      <alignment horizontal="right" wrapText="1"/>
    </xf>
    <xf numFmtId="0" fontId="124" fillId="0" borderId="108" xfId="0" applyFont="1" applyBorder="1"/>
    <xf numFmtId="169" fontId="124" fillId="0" borderId="108" xfId="0" applyNumberFormat="1" applyFont="1" applyBorder="1" applyAlignment="1">
      <alignment horizontal="right" wrapText="1"/>
    </xf>
    <xf numFmtId="169" fontId="124" fillId="0" borderId="109" xfId="0" applyNumberFormat="1" applyFont="1" applyBorder="1" applyAlignment="1">
      <alignment horizontal="right" wrapText="1"/>
    </xf>
    <xf numFmtId="3" fontId="124" fillId="0" borderId="108" xfId="0" applyNumberFormat="1" applyFont="1" applyBorder="1" applyAlignment="1">
      <alignment horizontal="right" wrapText="1"/>
    </xf>
    <xf numFmtId="3" fontId="125" fillId="0" borderId="108" xfId="0" applyNumberFormat="1" applyFont="1" applyBorder="1" applyAlignment="1">
      <alignment horizontal="right" wrapText="1"/>
    </xf>
    <xf numFmtId="169" fontId="124" fillId="0" borderId="109" xfId="10" applyNumberFormat="1" applyFont="1" applyBorder="1" applyAlignment="1">
      <alignment horizontal="right" wrapText="1"/>
    </xf>
    <xf numFmtId="0" fontId="129" fillId="0" borderId="109" xfId="0" applyFont="1" applyBorder="1" applyAlignment="1">
      <alignment horizontal="right" wrapText="1"/>
    </xf>
    <xf numFmtId="10" fontId="124" fillId="0" borderId="109" xfId="10" applyNumberFormat="1" applyFont="1" applyBorder="1" applyAlignment="1">
      <alignment horizontal="right" wrapText="1"/>
    </xf>
    <xf numFmtId="182" fontId="124" fillId="0" borderId="108" xfId="0" applyNumberFormat="1" applyFont="1" applyBorder="1" applyAlignment="1">
      <alignment horizontal="right" wrapText="1"/>
    </xf>
    <xf numFmtId="182" fontId="124" fillId="0" borderId="109" xfId="0" applyNumberFormat="1" applyFont="1" applyBorder="1" applyAlignment="1">
      <alignment horizontal="right" wrapText="1"/>
    </xf>
    <xf numFmtId="0" fontId="124" fillId="0" borderId="109" xfId="0" applyFont="1" applyBorder="1" applyAlignment="1">
      <alignment horizontal="right" wrapText="1"/>
    </xf>
    <xf numFmtId="0" fontId="46" fillId="0" borderId="109" xfId="0" applyFont="1" applyBorder="1" applyAlignment="1">
      <alignment horizontal="right" wrapText="1"/>
    </xf>
    <xf numFmtId="182" fontId="129" fillId="0" borderId="109" xfId="0" applyNumberFormat="1" applyFont="1" applyBorder="1" applyAlignment="1">
      <alignment horizontal="right" wrapText="1"/>
    </xf>
    <xf numFmtId="171" fontId="46" fillId="0" borderId="108" xfId="0" applyNumberFormat="1" applyFont="1" applyBorder="1" applyAlignment="1" applyProtection="1">
      <alignment horizontal="right" wrapText="1"/>
      <protection locked="0"/>
    </xf>
    <xf numFmtId="169" fontId="124" fillId="0" borderId="108" xfId="10" applyNumberFormat="1" applyFont="1" applyBorder="1" applyAlignment="1" applyProtection="1">
      <alignment horizontal="right" wrapText="1"/>
      <protection locked="0"/>
    </xf>
    <xf numFmtId="169" fontId="125" fillId="0" borderId="108" xfId="10" applyNumberFormat="1" applyFont="1" applyBorder="1" applyAlignment="1">
      <alignment horizontal="right" wrapText="1"/>
    </xf>
    <xf numFmtId="0" fontId="127" fillId="0" borderId="108" xfId="0" applyFont="1" applyBorder="1" applyAlignment="1">
      <alignment wrapText="1"/>
    </xf>
    <xf numFmtId="169" fontId="124" fillId="0" borderId="108" xfId="10" applyNumberFormat="1" applyFont="1" applyBorder="1" applyAlignment="1">
      <alignment horizontal="right" wrapText="1"/>
    </xf>
    <xf numFmtId="0" fontId="46" fillId="0" borderId="154" xfId="0" applyFont="1" applyBorder="1" applyAlignment="1">
      <alignment wrapText="1"/>
    </xf>
    <xf numFmtId="171" fontId="46" fillId="0" borderId="154" xfId="0" applyNumberFormat="1" applyFont="1" applyBorder="1" applyAlignment="1" applyProtection="1">
      <alignment horizontal="right" wrapText="1"/>
      <protection locked="0"/>
    </xf>
    <xf numFmtId="171" fontId="128" fillId="0" borderId="154" xfId="0" applyNumberFormat="1" applyFont="1" applyBorder="1" applyAlignment="1">
      <alignment horizontal="right" wrapText="1"/>
    </xf>
    <xf numFmtId="0" fontId="124" fillId="0" borderId="108" xfId="0" applyFont="1" applyBorder="1" applyAlignment="1" applyProtection="1">
      <alignment horizontal="right" wrapText="1"/>
      <protection locked="0"/>
    </xf>
    <xf numFmtId="17" fontId="127" fillId="0" borderId="108" xfId="0" applyNumberFormat="1" applyFont="1" applyBorder="1" applyAlignment="1">
      <alignment horizontal="right" wrapText="1"/>
    </xf>
    <xf numFmtId="0" fontId="127" fillId="0" borderId="108" xfId="0" applyFont="1" applyBorder="1" applyAlignment="1">
      <alignment horizontal="right" wrapText="1"/>
    </xf>
    <xf numFmtId="0" fontId="127" fillId="0" borderId="109" xfId="0" applyFont="1" applyBorder="1" applyAlignment="1">
      <alignment horizontal="right" wrapText="1"/>
    </xf>
    <xf numFmtId="0" fontId="125" fillId="0" borderId="108" xfId="0" applyFont="1" applyBorder="1" applyAlignment="1">
      <alignment wrapText="1"/>
    </xf>
    <xf numFmtId="171" fontId="125" fillId="0" borderId="108" xfId="0" applyNumberFormat="1" applyFont="1" applyBorder="1" applyAlignment="1" applyProtection="1">
      <alignment horizontal="right" wrapText="1"/>
      <protection locked="0"/>
    </xf>
    <xf numFmtId="3" fontId="124" fillId="0" borderId="108" xfId="0" applyNumberFormat="1" applyFont="1" applyBorder="1" applyAlignment="1">
      <alignment horizontal="left" wrapText="1"/>
    </xf>
    <xf numFmtId="3" fontId="129" fillId="0" borderId="108" xfId="0" applyNumberFormat="1" applyFont="1" applyBorder="1" applyAlignment="1">
      <alignment horizontal="right" wrapText="1"/>
    </xf>
    <xf numFmtId="3" fontId="124" fillId="0" borderId="108" xfId="0" applyNumberFormat="1" applyFont="1" applyBorder="1"/>
    <xf numFmtId="3" fontId="124" fillId="0" borderId="109" xfId="0" applyNumberFormat="1" applyFont="1" applyBorder="1" applyAlignment="1">
      <alignment horizontal="right" wrapText="1"/>
    </xf>
    <xf numFmtId="182" fontId="125" fillId="0" borderId="108" xfId="0" applyNumberFormat="1" applyFont="1" applyBorder="1" applyAlignment="1">
      <alignment horizontal="right" wrapText="1"/>
    </xf>
    <xf numFmtId="9" fontId="124" fillId="0" borderId="108" xfId="10" applyNumberFormat="1" applyFont="1" applyBorder="1" applyAlignment="1" applyProtection="1">
      <alignment horizontal="right" wrapText="1"/>
      <protection locked="0"/>
    </xf>
    <xf numFmtId="9" fontId="125" fillId="0" borderId="108" xfId="10" applyNumberFormat="1" applyFont="1" applyBorder="1" applyAlignment="1">
      <alignment horizontal="right" wrapText="1"/>
    </xf>
    <xf numFmtId="1" fontId="129" fillId="0" borderId="108" xfId="0" applyNumberFormat="1" applyFont="1" applyBorder="1" applyAlignment="1">
      <alignment horizontal="right" wrapText="1"/>
    </xf>
    <xf numFmtId="1" fontId="125" fillId="0" borderId="108" xfId="0" applyNumberFormat="1" applyFont="1" applyBorder="1" applyAlignment="1">
      <alignment horizontal="right" wrapText="1"/>
    </xf>
    <xf numFmtId="0" fontId="125" fillId="0" borderId="108" xfId="0" applyFont="1" applyBorder="1"/>
    <xf numFmtId="0" fontId="124" fillId="0" borderId="108" xfId="0" applyFont="1" applyBorder="1" applyAlignment="1">
      <alignment horizontal="left" wrapText="1"/>
    </xf>
    <xf numFmtId="3" fontId="124" fillId="0" borderId="0" xfId="6" applyFont="1" applyBorder="1"/>
    <xf numFmtId="0" fontId="124" fillId="0" borderId="0" xfId="0" applyFont="1" applyBorder="1"/>
    <xf numFmtId="0" fontId="126" fillId="0" borderId="0" xfId="0" applyFont="1" applyAlignment="1">
      <alignment wrapText="1"/>
    </xf>
    <xf numFmtId="3" fontId="124" fillId="0" borderId="108" xfId="0" applyNumberFormat="1" applyFont="1" applyBorder="1" applyAlignment="1">
      <alignment wrapText="1"/>
    </xf>
    <xf numFmtId="0" fontId="38" fillId="5" borderId="58" xfId="0" applyFont="1" applyFill="1" applyBorder="1" applyAlignment="1"/>
    <xf numFmtId="0" fontId="38" fillId="5" borderId="43" xfId="0" applyFont="1" applyFill="1" applyBorder="1" applyAlignment="1"/>
    <xf numFmtId="175" fontId="38" fillId="5" borderId="43" xfId="7" applyNumberFormat="1" applyFont="1" applyFill="1" applyBorder="1" applyAlignment="1">
      <alignment horizontal="center"/>
    </xf>
    <xf numFmtId="3" fontId="44" fillId="0" borderId="43" xfId="7" applyNumberFormat="1" applyFont="1" applyFill="1" applyBorder="1" applyAlignment="1">
      <alignment horizontal="right"/>
    </xf>
    <xf numFmtId="3" fontId="38" fillId="5" borderId="43" xfId="7" applyNumberFormat="1" applyFont="1" applyFill="1" applyBorder="1" applyAlignment="1">
      <alignment horizontal="right"/>
    </xf>
    <xf numFmtId="0" fontId="113" fillId="0" borderId="0" xfId="0" applyFont="1" applyFill="1" applyBorder="1" applyAlignment="1"/>
    <xf numFmtId="175" fontId="113" fillId="0" borderId="0" xfId="7" applyNumberFormat="1" applyFont="1" applyFill="1" applyBorder="1" applyAlignment="1">
      <alignment horizontal="center"/>
    </xf>
    <xf numFmtId="3" fontId="91" fillId="0" borderId="0" xfId="7" applyNumberFormat="1" applyFont="1" applyFill="1" applyBorder="1" applyAlignment="1">
      <alignment horizontal="right"/>
    </xf>
    <xf numFmtId="3" fontId="113" fillId="0" borderId="0" xfId="7" applyNumberFormat="1" applyFont="1" applyFill="1" applyBorder="1" applyAlignment="1">
      <alignment horizontal="right"/>
    </xf>
    <xf numFmtId="3" fontId="130" fillId="0" borderId="0" xfId="7" applyNumberFormat="1" applyFont="1" applyFill="1" applyBorder="1" applyAlignment="1">
      <alignment horizontal="right"/>
    </xf>
    <xf numFmtId="169" fontId="44" fillId="0" borderId="0" xfId="10" applyNumberFormat="1" applyFont="1" applyBorder="1" applyAlignment="1" applyProtection="1">
      <alignment vertical="center"/>
      <protection locked="0"/>
    </xf>
    <xf numFmtId="0" fontId="131" fillId="0" borderId="0" xfId="3" applyFont="1"/>
    <xf numFmtId="0" fontId="131" fillId="0" borderId="0" xfId="3" applyFont="1" applyAlignment="1" applyProtection="1">
      <alignment vertical="center"/>
      <protection locked="0"/>
    </xf>
    <xf numFmtId="0" fontId="132" fillId="0" borderId="0" xfId="3" applyFont="1" applyAlignment="1" applyProtection="1">
      <alignment vertical="center"/>
      <protection locked="0"/>
    </xf>
    <xf numFmtId="0" fontId="131" fillId="0" borderId="56" xfId="3" applyFont="1" applyBorder="1"/>
    <xf numFmtId="0" fontId="131" fillId="0" borderId="35" xfId="3" applyFont="1" applyBorder="1" applyAlignment="1" applyProtection="1">
      <alignment vertical="center"/>
      <protection locked="0"/>
    </xf>
    <xf numFmtId="0" fontId="131" fillId="0" borderId="36" xfId="3" applyFont="1" applyBorder="1" applyAlignment="1" applyProtection="1">
      <alignment vertical="center"/>
      <protection locked="0"/>
    </xf>
    <xf numFmtId="0" fontId="131" fillId="0" borderId="37" xfId="3" applyFont="1" applyBorder="1" applyAlignment="1" applyProtection="1">
      <alignment vertical="center"/>
      <protection locked="0"/>
    </xf>
    <xf numFmtId="0" fontId="131" fillId="0" borderId="38" xfId="3" applyFont="1" applyBorder="1" applyAlignment="1" applyProtection="1">
      <alignment vertical="center"/>
      <protection locked="0"/>
    </xf>
    <xf numFmtId="0" fontId="131" fillId="0" borderId="0" xfId="3" applyFont="1" applyBorder="1" applyAlignment="1" applyProtection="1">
      <alignment vertical="center"/>
      <protection locked="0"/>
    </xf>
    <xf numFmtId="0" fontId="131" fillId="0" borderId="39" xfId="3" applyFont="1" applyBorder="1" applyAlignment="1" applyProtection="1">
      <alignment vertical="center"/>
      <protection locked="0"/>
    </xf>
    <xf numFmtId="0" fontId="131" fillId="0" borderId="0" xfId="3" quotePrefix="1" applyFont="1" applyAlignment="1" applyProtection="1">
      <alignment vertical="center"/>
      <protection locked="0"/>
    </xf>
    <xf numFmtId="0" fontId="134" fillId="0" borderId="52" xfId="3" applyFont="1" applyBorder="1" applyAlignment="1" applyProtection="1">
      <alignment vertical="center"/>
      <protection locked="0"/>
    </xf>
    <xf numFmtId="0" fontId="131" fillId="0" borderId="53" xfId="3" applyFont="1" applyBorder="1" applyAlignment="1" applyProtection="1">
      <alignment vertical="center"/>
      <protection locked="0"/>
    </xf>
    <xf numFmtId="0" fontId="131" fillId="0" borderId="54" xfId="3" applyFont="1" applyBorder="1" applyAlignment="1" applyProtection="1">
      <alignment vertical="center"/>
      <protection locked="0"/>
    </xf>
    <xf numFmtId="0" fontId="133" fillId="0" borderId="38" xfId="3" applyFont="1" applyBorder="1" applyAlignment="1" applyProtection="1">
      <alignment vertical="center"/>
    </xf>
    <xf numFmtId="0" fontId="133" fillId="0" borderId="0" xfId="3" applyFont="1" applyBorder="1" applyAlignment="1" applyProtection="1">
      <alignment vertical="center"/>
    </xf>
    <xf numFmtId="0" fontId="133" fillId="0" borderId="0" xfId="3" applyFont="1" applyBorder="1" applyAlignment="1" applyProtection="1">
      <alignment horizontal="right" vertical="center"/>
    </xf>
    <xf numFmtId="0" fontId="133" fillId="0" borderId="0" xfId="3" applyFont="1" applyBorder="1" applyAlignment="1" applyProtection="1">
      <alignment horizontal="center" vertical="center"/>
      <protection locked="0"/>
    </xf>
    <xf numFmtId="0" fontId="133" fillId="0" borderId="38" xfId="3" applyFont="1" applyFill="1" applyBorder="1" applyAlignment="1" applyProtection="1">
      <alignment vertical="center"/>
    </xf>
    <xf numFmtId="15" fontId="131" fillId="0" borderId="0" xfId="3" quotePrefix="1" applyNumberFormat="1" applyFont="1" applyFill="1" applyBorder="1" applyAlignment="1" applyProtection="1">
      <alignment horizontal="center" vertical="center"/>
      <protection locked="0"/>
    </xf>
    <xf numFmtId="0" fontId="131" fillId="0" borderId="0" xfId="3" applyFont="1" applyFill="1" applyBorder="1" applyAlignment="1" applyProtection="1">
      <alignment vertical="center"/>
      <protection locked="0"/>
    </xf>
    <xf numFmtId="0" fontId="133" fillId="0" borderId="0" xfId="3" applyFont="1" applyFill="1" applyBorder="1" applyAlignment="1" applyProtection="1">
      <alignment vertical="center"/>
      <protection locked="0"/>
    </xf>
    <xf numFmtId="0" fontId="131" fillId="0" borderId="0" xfId="3" applyFont="1" applyBorder="1"/>
    <xf numFmtId="9" fontId="131" fillId="0" borderId="0" xfId="10" applyFont="1" applyAlignment="1" applyProtection="1">
      <alignment vertical="center"/>
      <protection locked="0"/>
    </xf>
    <xf numFmtId="0" fontId="133" fillId="0" borderId="52" xfId="3" applyFont="1" applyFill="1" applyBorder="1" applyAlignment="1" applyProtection="1">
      <alignment vertical="center"/>
      <protection locked="0"/>
    </xf>
    <xf numFmtId="0" fontId="133" fillId="0" borderId="53" xfId="3" applyFont="1" applyFill="1" applyBorder="1" applyAlignment="1" applyProtection="1">
      <alignment vertical="center"/>
      <protection locked="0"/>
    </xf>
    <xf numFmtId="170" fontId="131" fillId="0" borderId="53" xfId="3" applyNumberFormat="1" applyFont="1" applyFill="1" applyBorder="1" applyAlignment="1" applyProtection="1">
      <alignment horizontal="left" vertical="center"/>
      <protection locked="0"/>
    </xf>
    <xf numFmtId="0" fontId="131" fillId="0" borderId="53" xfId="3" applyFont="1" applyFill="1" applyBorder="1" applyAlignment="1" applyProtection="1">
      <alignment vertical="center"/>
      <protection locked="0"/>
    </xf>
    <xf numFmtId="170" fontId="131" fillId="0" borderId="53" xfId="3" applyNumberFormat="1" applyFont="1" applyBorder="1" applyAlignment="1" applyProtection="1">
      <alignment vertical="center"/>
      <protection locked="0"/>
    </xf>
    <xf numFmtId="170" fontId="131" fillId="0" borderId="54" xfId="3" applyNumberFormat="1" applyFont="1" applyBorder="1" applyAlignment="1" applyProtection="1">
      <alignment vertical="center"/>
      <protection locked="0"/>
    </xf>
    <xf numFmtId="0" fontId="135" fillId="0" borderId="0" xfId="3" applyFont="1" applyBorder="1" applyAlignment="1" applyProtection="1">
      <alignment vertical="center"/>
    </xf>
    <xf numFmtId="0" fontId="136" fillId="0" borderId="0" xfId="3" applyFont="1" applyBorder="1" applyAlignment="1" applyProtection="1">
      <alignment vertical="center"/>
    </xf>
    <xf numFmtId="0" fontId="131" fillId="0" borderId="0" xfId="3" applyFont="1" applyBorder="1" applyAlignment="1" applyProtection="1">
      <alignment vertical="center"/>
    </xf>
    <xf numFmtId="0" fontId="133" fillId="0" borderId="0" xfId="3" applyFont="1" applyBorder="1" applyAlignment="1" applyProtection="1">
      <alignment vertical="center"/>
      <protection locked="0"/>
    </xf>
    <xf numFmtId="0" fontId="137" fillId="0" borderId="0" xfId="3" applyFont="1" applyBorder="1" applyAlignment="1" applyProtection="1">
      <alignment vertical="center"/>
    </xf>
    <xf numFmtId="0" fontId="137" fillId="0" borderId="67" xfId="3" applyFont="1" applyBorder="1" applyAlignment="1" applyProtection="1">
      <alignment vertical="center"/>
    </xf>
    <xf numFmtId="0" fontId="131" fillId="0" borderId="0" xfId="3" applyFont="1" applyFill="1" applyBorder="1" applyAlignment="1" applyProtection="1">
      <alignment horizontal="center" vertical="center"/>
    </xf>
    <xf numFmtId="0" fontId="137" fillId="0" borderId="0" xfId="3" applyFont="1" applyBorder="1" applyAlignment="1" applyProtection="1">
      <alignment vertical="center"/>
      <protection locked="0"/>
    </xf>
    <xf numFmtId="0" fontId="135" fillId="0" borderId="0" xfId="3" applyFont="1" applyBorder="1" applyAlignment="1" applyProtection="1">
      <alignment vertical="center"/>
      <protection locked="0"/>
    </xf>
    <xf numFmtId="0" fontId="135" fillId="0" borderId="39" xfId="3" applyFont="1" applyBorder="1" applyAlignment="1" applyProtection="1">
      <alignment vertical="center"/>
    </xf>
    <xf numFmtId="3" fontId="131" fillId="0" borderId="0" xfId="3" applyNumberFormat="1" applyFont="1" applyFill="1" applyBorder="1" applyAlignment="1" applyProtection="1">
      <alignment vertical="center"/>
    </xf>
    <xf numFmtId="178" fontId="133" fillId="0" borderId="0" xfId="3" applyNumberFormat="1" applyFont="1" applyBorder="1" applyAlignment="1" applyProtection="1">
      <alignment horizontal="right" vertical="center"/>
      <protection locked="0"/>
    </xf>
    <xf numFmtId="0" fontId="136" fillId="0" borderId="0" xfId="3" applyFont="1" applyBorder="1" applyAlignment="1" applyProtection="1">
      <alignment vertical="center"/>
      <protection locked="0"/>
    </xf>
    <xf numFmtId="15" fontId="135" fillId="0" borderId="39" xfId="3" applyNumberFormat="1" applyFont="1" applyBorder="1" applyAlignment="1" applyProtection="1">
      <alignment horizontal="center" vertical="center"/>
      <protection locked="0"/>
    </xf>
    <xf numFmtId="0" fontId="135" fillId="0" borderId="38" xfId="3" applyFont="1" applyBorder="1" applyAlignment="1" applyProtection="1">
      <alignment vertical="center"/>
    </xf>
    <xf numFmtId="0" fontId="131" fillId="0" borderId="0" xfId="3" applyFont="1" applyBorder="1" applyProtection="1">
      <protection locked="0"/>
    </xf>
    <xf numFmtId="0" fontId="131" fillId="0" borderId="0" xfId="3" applyFont="1" applyBorder="1" applyAlignment="1">
      <alignment vertical="center"/>
    </xf>
    <xf numFmtId="171" fontId="135" fillId="0" borderId="39" xfId="3" applyNumberFormat="1" applyFont="1" applyBorder="1" applyAlignment="1" applyProtection="1">
      <alignment horizontal="center" vertical="center"/>
      <protection locked="0"/>
    </xf>
    <xf numFmtId="171" fontId="135" fillId="0" borderId="0" xfId="3" applyNumberFormat="1" applyFont="1" applyBorder="1" applyAlignment="1" applyProtection="1">
      <alignment horizontal="center" vertical="center"/>
      <protection locked="0"/>
    </xf>
    <xf numFmtId="3" fontId="131" fillId="0" borderId="0" xfId="3" applyNumberFormat="1" applyFont="1" applyBorder="1" applyAlignment="1" applyProtection="1">
      <alignment horizontal="center" vertical="center"/>
      <protection locked="0"/>
    </xf>
    <xf numFmtId="17" fontId="131" fillId="0" borderId="0" xfId="3" applyNumberFormat="1" applyFont="1" applyBorder="1" applyAlignment="1" applyProtection="1">
      <alignment horizontal="left" vertical="center"/>
      <protection locked="0"/>
    </xf>
    <xf numFmtId="0" fontId="138" fillId="0" borderId="0" xfId="3" applyFont="1" applyBorder="1" applyAlignment="1" applyProtection="1">
      <alignment vertical="center"/>
      <protection locked="0"/>
    </xf>
    <xf numFmtId="0" fontId="132" fillId="0" borderId="0" xfId="3" applyFont="1" applyBorder="1" applyAlignment="1" applyProtection="1">
      <alignment vertical="center"/>
      <protection locked="0"/>
    </xf>
    <xf numFmtId="10" fontId="135" fillId="0" borderId="39" xfId="10" applyNumberFormat="1" applyFont="1" applyBorder="1" applyAlignment="1" applyProtection="1">
      <alignment horizontal="center" vertical="center"/>
      <protection locked="0"/>
    </xf>
    <xf numFmtId="0" fontId="137" fillId="12" borderId="38" xfId="3" applyFont="1" applyFill="1" applyBorder="1" applyProtection="1"/>
    <xf numFmtId="0" fontId="131" fillId="12" borderId="0" xfId="3" applyFont="1" applyFill="1" applyBorder="1" applyProtection="1">
      <protection locked="0"/>
    </xf>
    <xf numFmtId="171" fontId="131" fillId="12" borderId="0" xfId="3" applyNumberFormat="1" applyFont="1" applyFill="1" applyBorder="1" applyAlignment="1" applyProtection="1">
      <alignment horizontal="center"/>
      <protection locked="0"/>
    </xf>
    <xf numFmtId="0" fontId="137" fillId="12" borderId="0" xfId="3" applyFont="1" applyFill="1" applyBorder="1" applyProtection="1"/>
    <xf numFmtId="15" fontId="131" fillId="12" borderId="0" xfId="3" applyNumberFormat="1" applyFont="1" applyFill="1" applyBorder="1" applyAlignment="1" applyProtection="1">
      <alignment horizontal="center"/>
      <protection locked="0"/>
    </xf>
    <xf numFmtId="0" fontId="131" fillId="12" borderId="0" xfId="3" applyFont="1" applyFill="1" applyBorder="1" applyAlignment="1" applyProtection="1">
      <alignment horizontal="center"/>
      <protection locked="0"/>
    </xf>
    <xf numFmtId="171" fontId="136" fillId="12" borderId="0" xfId="3" applyNumberFormat="1" applyFont="1" applyFill="1" applyBorder="1" applyAlignment="1" applyProtection="1">
      <alignment horizontal="center"/>
    </xf>
    <xf numFmtId="171" fontId="131" fillId="0" borderId="0" xfId="3" applyNumberFormat="1" applyFont="1" applyBorder="1" applyAlignment="1" applyProtection="1">
      <alignment vertical="center"/>
      <protection locked="0"/>
    </xf>
    <xf numFmtId="173" fontId="131" fillId="0" borderId="39" xfId="3" applyNumberFormat="1" applyFont="1" applyBorder="1" applyAlignment="1" applyProtection="1">
      <alignment horizontal="right" vertical="center"/>
      <protection locked="0"/>
    </xf>
    <xf numFmtId="0" fontId="133" fillId="0" borderId="155" xfId="3" applyFont="1" applyBorder="1" applyAlignment="1" applyProtection="1">
      <alignment vertical="center"/>
      <protection locked="0"/>
    </xf>
    <xf numFmtId="0" fontId="133" fillId="0" borderId="44" xfId="3" applyFont="1" applyBorder="1" applyAlignment="1" applyProtection="1">
      <alignment vertical="center"/>
    </xf>
    <xf numFmtId="0" fontId="133" fillId="0" borderId="44" xfId="3" applyFont="1" applyBorder="1" applyAlignment="1" applyProtection="1">
      <alignment vertical="center"/>
      <protection locked="0"/>
    </xf>
    <xf numFmtId="0" fontId="131" fillId="0" borderId="44" xfId="3" applyFont="1" applyBorder="1" applyAlignment="1" applyProtection="1">
      <alignment vertical="center"/>
    </xf>
    <xf numFmtId="0" fontId="131" fillId="0" borderId="156" xfId="3" applyFont="1" applyBorder="1" applyAlignment="1" applyProtection="1">
      <alignment vertical="center"/>
    </xf>
    <xf numFmtId="0" fontId="38" fillId="0" borderId="158" xfId="3" applyFont="1" applyBorder="1" applyAlignment="1" applyProtection="1">
      <alignment vertical="center"/>
    </xf>
    <xf numFmtId="15" fontId="38" fillId="0" borderId="0" xfId="3" applyNumberFormat="1" applyFont="1" applyBorder="1" applyAlignment="1" applyProtection="1">
      <alignment horizontal="center" vertical="center"/>
    </xf>
    <xf numFmtId="0" fontId="44" fillId="0" borderId="0" xfId="3" applyFont="1" applyBorder="1" applyAlignment="1" applyProtection="1">
      <alignment horizontal="right" vertical="center"/>
    </xf>
    <xf numFmtId="14" fontId="44" fillId="0" borderId="0" xfId="3" applyNumberFormat="1" applyFont="1" applyBorder="1" applyAlignment="1" applyProtection="1">
      <alignment horizontal="center" vertical="center"/>
    </xf>
    <xf numFmtId="0" fontId="44" fillId="0" borderId="0" xfId="3" applyFont="1" applyBorder="1" applyAlignment="1" applyProtection="1">
      <alignment horizontal="center" vertical="center"/>
    </xf>
    <xf numFmtId="0" fontId="44" fillId="0" borderId="0" xfId="3" applyFont="1" applyBorder="1" applyAlignment="1" applyProtection="1">
      <alignment vertical="center"/>
      <protection locked="0"/>
    </xf>
    <xf numFmtId="171" fontId="131" fillId="0" borderId="39" xfId="3" applyNumberFormat="1" applyFont="1" applyBorder="1" applyAlignment="1" applyProtection="1">
      <alignment vertical="center"/>
      <protection locked="0"/>
    </xf>
    <xf numFmtId="14" fontId="38" fillId="0" borderId="155" xfId="3" applyNumberFormat="1" applyFont="1" applyBorder="1" applyAlignment="1" applyProtection="1">
      <alignment vertical="center"/>
      <protection locked="0"/>
    </xf>
    <xf numFmtId="3" fontId="38" fillId="0" borderId="44" xfId="3" applyNumberFormat="1" applyFont="1" applyBorder="1" applyAlignment="1" applyProtection="1">
      <alignment horizontal="center" vertical="center"/>
      <protection locked="0"/>
    </xf>
    <xf numFmtId="0" fontId="38" fillId="0" borderId="44" xfId="3" applyFont="1" applyBorder="1" applyAlignment="1" applyProtection="1">
      <alignment horizontal="center" vertical="center"/>
      <protection locked="0"/>
    </xf>
    <xf numFmtId="0" fontId="38" fillId="0" borderId="45" xfId="3" applyFont="1" applyBorder="1" applyAlignment="1" applyProtection="1">
      <alignment horizontal="center" vertical="center"/>
      <protection locked="0"/>
    </xf>
    <xf numFmtId="15" fontId="38" fillId="0" borderId="39" xfId="3" applyNumberFormat="1" applyFont="1" applyBorder="1" applyAlignment="1" applyProtection="1">
      <alignment horizontal="center" vertical="center"/>
    </xf>
    <xf numFmtId="3" fontId="44" fillId="0" borderId="0" xfId="3" applyNumberFormat="1" applyFont="1" applyBorder="1" applyAlignment="1" applyProtection="1">
      <alignment horizontal="center" vertical="center"/>
      <protection locked="0"/>
    </xf>
    <xf numFmtId="3" fontId="44" fillId="0" borderId="66" xfId="3" applyNumberFormat="1" applyFont="1" applyBorder="1" applyAlignment="1" applyProtection="1">
      <alignment horizontal="center" vertical="center"/>
      <protection locked="0"/>
    </xf>
    <xf numFmtId="0" fontId="38" fillId="0" borderId="0" xfId="3" applyFont="1" applyBorder="1" applyAlignment="1" applyProtection="1">
      <alignment vertical="center"/>
    </xf>
    <xf numFmtId="178" fontId="44" fillId="0" borderId="0" xfId="3" applyNumberFormat="1" applyFont="1" applyBorder="1" applyAlignment="1" applyProtection="1">
      <alignment horizontal="center" vertical="center"/>
    </xf>
    <xf numFmtId="169" fontId="44" fillId="0" borderId="0" xfId="10" applyNumberFormat="1" applyFont="1" applyBorder="1" applyAlignment="1" applyProtection="1">
      <alignment horizontal="right" vertical="center"/>
      <protection locked="0"/>
    </xf>
    <xf numFmtId="169" fontId="44" fillId="0" borderId="39" xfId="10" applyNumberFormat="1" applyFont="1" applyBorder="1" applyAlignment="1" applyProtection="1">
      <alignment horizontal="right" vertical="center"/>
      <protection locked="0"/>
    </xf>
    <xf numFmtId="3" fontId="44" fillId="0" borderId="0" xfId="3" applyNumberFormat="1" applyFont="1" applyBorder="1" applyAlignment="1" applyProtection="1">
      <alignment vertical="center"/>
      <protection locked="0"/>
    </xf>
    <xf numFmtId="3" fontId="44" fillId="0" borderId="39" xfId="3" applyNumberFormat="1" applyFont="1" applyBorder="1" applyAlignment="1" applyProtection="1">
      <alignment vertical="center"/>
      <protection locked="0"/>
    </xf>
    <xf numFmtId="169" fontId="44" fillId="0" borderId="39" xfId="10" applyNumberFormat="1" applyFont="1" applyBorder="1" applyAlignment="1" applyProtection="1">
      <alignment vertical="center"/>
      <protection locked="0"/>
    </xf>
    <xf numFmtId="171" fontId="44" fillId="0" borderId="0" xfId="3" applyNumberFormat="1" applyFont="1" applyBorder="1" applyAlignment="1" applyProtection="1">
      <alignment vertical="center"/>
      <protection locked="0"/>
    </xf>
    <xf numFmtId="171" fontId="44" fillId="0" borderId="39" xfId="3" applyNumberFormat="1" applyFont="1" applyBorder="1" applyAlignment="1" applyProtection="1">
      <alignment vertical="center"/>
      <protection locked="0"/>
    </xf>
    <xf numFmtId="0" fontId="38" fillId="0" borderId="38" xfId="3" applyFont="1" applyBorder="1" applyAlignment="1" applyProtection="1">
      <alignment vertical="center"/>
    </xf>
    <xf numFmtId="173" fontId="44" fillId="0" borderId="0" xfId="3" applyNumberFormat="1" applyFont="1" applyBorder="1" applyAlignment="1" applyProtection="1">
      <alignment horizontal="right" vertical="center"/>
      <protection locked="0"/>
    </xf>
    <xf numFmtId="173" fontId="44" fillId="0" borderId="39" xfId="3" applyNumberFormat="1" applyFont="1" applyBorder="1" applyAlignment="1" applyProtection="1">
      <alignment horizontal="right" vertical="center"/>
      <protection locked="0"/>
    </xf>
    <xf numFmtId="0" fontId="44" fillId="0" borderId="52" xfId="3" applyFont="1" applyBorder="1" applyAlignment="1" applyProtection="1">
      <alignment vertical="center"/>
      <protection locked="0"/>
    </xf>
    <xf numFmtId="0" fontId="44" fillId="0" borderId="53" xfId="3" applyFont="1" applyBorder="1" applyAlignment="1" applyProtection="1">
      <alignment vertical="center"/>
      <protection locked="0"/>
    </xf>
    <xf numFmtId="0" fontId="44" fillId="0" borderId="75" xfId="3" applyFont="1" applyBorder="1" applyAlignment="1" applyProtection="1">
      <alignment vertical="center"/>
      <protection locked="0"/>
    </xf>
    <xf numFmtId="1" fontId="44" fillId="0" borderId="0" xfId="3" applyNumberFormat="1" applyFont="1" applyBorder="1" applyAlignment="1" applyProtection="1">
      <alignment vertical="center"/>
      <protection locked="0"/>
    </xf>
    <xf numFmtId="1" fontId="44" fillId="0" borderId="39" xfId="3" applyNumberFormat="1" applyFont="1" applyBorder="1" applyAlignment="1" applyProtection="1">
      <alignment vertical="center"/>
      <protection locked="0"/>
    </xf>
    <xf numFmtId="0" fontId="38" fillId="0" borderId="0" xfId="3" applyFont="1" applyBorder="1" applyAlignment="1" applyProtection="1">
      <alignment horizontal="center" vertical="center"/>
    </xf>
    <xf numFmtId="3" fontId="121" fillId="0" borderId="0" xfId="3" applyNumberFormat="1" applyFont="1" applyBorder="1" applyAlignment="1" applyProtection="1">
      <alignment horizontal="center" vertical="center"/>
    </xf>
    <xf numFmtId="3" fontId="38" fillId="0" borderId="0" xfId="3" applyNumberFormat="1" applyFont="1" applyBorder="1" applyAlignment="1" applyProtection="1">
      <alignment horizontal="center" vertical="center"/>
      <protection locked="0"/>
    </xf>
    <xf numFmtId="0" fontId="38" fillId="0" borderId="38" xfId="3" applyFont="1" applyBorder="1" applyAlignment="1" applyProtection="1">
      <alignment horizontal="left" vertical="center"/>
    </xf>
    <xf numFmtId="0" fontId="38" fillId="0" borderId="0" xfId="3" applyFont="1" applyFill="1" applyBorder="1" applyAlignment="1" applyProtection="1">
      <alignment vertical="center"/>
    </xf>
    <xf numFmtId="178" fontId="44" fillId="0" borderId="0" xfId="3" applyNumberFormat="1" applyFont="1" applyFill="1" applyBorder="1" applyAlignment="1" applyProtection="1">
      <alignment horizontal="center" vertical="center"/>
    </xf>
    <xf numFmtId="0" fontId="38" fillId="0" borderId="77" xfId="3" applyFont="1" applyBorder="1" applyAlignment="1" applyProtection="1">
      <alignment vertical="center"/>
    </xf>
    <xf numFmtId="3" fontId="121" fillId="0" borderId="58" xfId="3" applyNumberFormat="1" applyFont="1" applyBorder="1" applyAlignment="1" applyProtection="1">
      <alignment horizontal="center" vertical="center"/>
    </xf>
    <xf numFmtId="3" fontId="38" fillId="0" borderId="58" xfId="3" applyNumberFormat="1" applyFont="1" applyBorder="1" applyAlignment="1" applyProtection="1">
      <alignment horizontal="center" vertical="center"/>
      <protection locked="0"/>
    </xf>
    <xf numFmtId="0" fontId="38" fillId="0" borderId="0" xfId="3" applyFont="1" applyBorder="1" applyAlignment="1" applyProtection="1">
      <alignment vertical="center"/>
      <protection locked="0"/>
    </xf>
    <xf numFmtId="0" fontId="44" fillId="0" borderId="38" xfId="3" applyFont="1" applyBorder="1" applyAlignment="1" applyProtection="1">
      <alignment vertical="center"/>
    </xf>
    <xf numFmtId="3" fontId="122" fillId="0" borderId="0" xfId="3" applyNumberFormat="1" applyFont="1" applyBorder="1" applyAlignment="1" applyProtection="1">
      <alignment horizontal="center" vertical="center"/>
    </xf>
    <xf numFmtId="178" fontId="65" fillId="0" borderId="0" xfId="3" applyNumberFormat="1" applyFont="1" applyBorder="1" applyAlignment="1">
      <alignment horizontal="center" vertical="center" wrapText="1"/>
    </xf>
    <xf numFmtId="15" fontId="44" fillId="0" borderId="0" xfId="3" quotePrefix="1" applyNumberFormat="1" applyFont="1" applyFill="1" applyBorder="1" applyAlignment="1" applyProtection="1">
      <alignment horizontal="center" vertical="center"/>
      <protection locked="0"/>
    </xf>
    <xf numFmtId="3" fontId="44" fillId="0" borderId="0" xfId="3" applyNumberFormat="1" applyFont="1" applyBorder="1" applyAlignment="1" applyProtection="1">
      <alignment horizontal="left" vertical="center"/>
      <protection locked="0"/>
    </xf>
    <xf numFmtId="3" fontId="44" fillId="0" borderId="66" xfId="3" applyNumberFormat="1" applyFont="1" applyBorder="1" applyAlignment="1" applyProtection="1">
      <alignment vertical="center"/>
      <protection locked="0"/>
    </xf>
    <xf numFmtId="0" fontId="44" fillId="0" borderId="38" xfId="3" applyFont="1" applyBorder="1" applyAlignment="1" applyProtection="1">
      <alignment vertical="center"/>
      <protection locked="0"/>
    </xf>
    <xf numFmtId="0" fontId="44" fillId="0" borderId="0" xfId="3" applyFont="1" applyBorder="1" applyAlignment="1" applyProtection="1">
      <alignment horizontal="left" vertical="center"/>
      <protection locked="0"/>
    </xf>
    <xf numFmtId="197" fontId="65" fillId="0" borderId="0" xfId="3" applyNumberFormat="1" applyFont="1" applyBorder="1" applyAlignment="1">
      <alignment horizontal="center" vertical="center" wrapText="1"/>
    </xf>
    <xf numFmtId="17" fontId="44" fillId="0" borderId="0" xfId="3" applyNumberFormat="1" applyFont="1" applyBorder="1" applyAlignment="1" applyProtection="1">
      <alignment horizontal="center" vertical="center"/>
      <protection locked="0"/>
    </xf>
    <xf numFmtId="0" fontId="131" fillId="0" borderId="155" xfId="3" applyFont="1" applyBorder="1" applyAlignment="1" applyProtection="1">
      <alignment vertical="center"/>
    </xf>
    <xf numFmtId="0" fontId="131" fillId="0" borderId="38" xfId="3" applyFont="1" applyBorder="1" applyAlignment="1" applyProtection="1">
      <alignment vertical="center"/>
    </xf>
    <xf numFmtId="0" fontId="133" fillId="0" borderId="0" xfId="3" applyFont="1" applyBorder="1" applyAlignment="1" applyProtection="1">
      <alignment horizontal="center" vertical="center"/>
    </xf>
    <xf numFmtId="0" fontId="131" fillId="0" borderId="39" xfId="3" applyFont="1" applyBorder="1" applyAlignment="1" applyProtection="1">
      <alignment vertical="center"/>
    </xf>
    <xf numFmtId="0" fontId="133" fillId="0" borderId="38" xfId="3" applyFont="1" applyBorder="1" applyAlignment="1" applyProtection="1">
      <alignment horizontal="center" vertical="center"/>
    </xf>
    <xf numFmtId="0" fontId="131" fillId="0" borderId="0" xfId="3" applyFont="1" applyBorder="1" applyAlignment="1" applyProtection="1">
      <alignment horizontal="center" vertical="center"/>
      <protection locked="0"/>
    </xf>
    <xf numFmtId="178" fontId="131" fillId="0" borderId="0" xfId="3" applyNumberFormat="1" applyFont="1" applyBorder="1" applyAlignment="1" applyProtection="1">
      <alignment horizontal="center" vertical="center"/>
      <protection locked="0"/>
    </xf>
    <xf numFmtId="0" fontId="131" fillId="0" borderId="0" xfId="3" applyFont="1" applyBorder="1" applyAlignment="1" applyProtection="1">
      <alignment horizontal="justify" vertical="center"/>
      <protection locked="0"/>
    </xf>
    <xf numFmtId="0" fontId="43" fillId="0" borderId="155" xfId="3" applyFont="1" applyBorder="1" applyAlignment="1" applyProtection="1">
      <alignment vertical="center"/>
    </xf>
    <xf numFmtId="0" fontId="44" fillId="0" borderId="44" xfId="3" applyFont="1" applyBorder="1" applyAlignment="1" applyProtection="1">
      <alignment vertical="center"/>
      <protection locked="0"/>
    </xf>
    <xf numFmtId="178" fontId="44" fillId="0" borderId="44" xfId="3" applyNumberFormat="1" applyFont="1" applyBorder="1" applyAlignment="1" applyProtection="1">
      <alignment horizontal="center" vertical="center"/>
    </xf>
    <xf numFmtId="0" fontId="43" fillId="0" borderId="44" xfId="3" applyFont="1" applyBorder="1" applyAlignment="1" applyProtection="1">
      <alignment vertical="center"/>
    </xf>
    <xf numFmtId="15" fontId="44" fillId="0" borderId="44" xfId="3" applyNumberFormat="1" applyFont="1" applyBorder="1" applyAlignment="1" applyProtection="1">
      <alignment horizontal="center" vertical="center"/>
      <protection locked="0"/>
    </xf>
    <xf numFmtId="3" fontId="44" fillId="0" borderId="44" xfId="3" applyNumberFormat="1" applyFont="1" applyBorder="1" applyAlignment="1" applyProtection="1">
      <alignment vertical="center"/>
    </xf>
    <xf numFmtId="0" fontId="43" fillId="0" borderId="44" xfId="3" applyFont="1" applyBorder="1" applyAlignment="1" applyProtection="1">
      <alignment vertical="center"/>
      <protection locked="0"/>
    </xf>
    <xf numFmtId="178" fontId="44" fillId="0" borderId="44" xfId="3" applyNumberFormat="1" applyFont="1" applyBorder="1" applyAlignment="1" applyProtection="1">
      <alignment horizontal="center" vertical="center"/>
      <protection locked="0"/>
    </xf>
    <xf numFmtId="0" fontId="44" fillId="0" borderId="156" xfId="3" applyFont="1" applyBorder="1" applyAlignment="1" applyProtection="1">
      <alignment vertical="center"/>
      <protection locked="0"/>
    </xf>
    <xf numFmtId="0" fontId="45" fillId="0" borderId="155" xfId="3" applyFont="1" applyBorder="1" applyAlignment="1" applyProtection="1">
      <alignment vertical="center"/>
    </xf>
    <xf numFmtId="178" fontId="38" fillId="0" borderId="44" xfId="3" applyNumberFormat="1" applyFont="1" applyBorder="1" applyAlignment="1" applyProtection="1">
      <alignment horizontal="center" vertical="center"/>
    </xf>
    <xf numFmtId="14" fontId="43" fillId="0" borderId="44" xfId="3" applyNumberFormat="1" applyFont="1" applyBorder="1" applyAlignment="1" applyProtection="1">
      <alignment vertical="center"/>
      <protection locked="0"/>
    </xf>
    <xf numFmtId="3" fontId="38" fillId="0" borderId="44" xfId="3" applyNumberFormat="1" applyFont="1" applyBorder="1" applyAlignment="1" applyProtection="1">
      <alignment vertical="center"/>
    </xf>
    <xf numFmtId="0" fontId="131" fillId="0" borderId="38" xfId="3" applyFont="1" applyBorder="1" applyAlignment="1" applyProtection="1">
      <alignment horizontal="left" vertical="center"/>
      <protection locked="0"/>
    </xf>
    <xf numFmtId="3" fontId="131" fillId="0" borderId="0" xfId="3" applyNumberFormat="1" applyFont="1" applyBorder="1" applyAlignment="1" applyProtection="1">
      <alignment vertical="center"/>
      <protection locked="0"/>
    </xf>
    <xf numFmtId="10" fontId="131" fillId="0" borderId="0" xfId="3" applyNumberFormat="1" applyFont="1" applyBorder="1" applyAlignment="1" applyProtection="1">
      <alignment vertical="center"/>
      <protection locked="0"/>
    </xf>
    <xf numFmtId="0" fontId="133" fillId="0" borderId="39" xfId="3" applyFont="1" applyBorder="1" applyAlignment="1" applyProtection="1">
      <alignment vertical="center"/>
    </xf>
    <xf numFmtId="0" fontId="133" fillId="0" borderId="38" xfId="3" applyFont="1" applyBorder="1" applyAlignment="1" applyProtection="1">
      <alignment horizontal="left" vertical="center"/>
    </xf>
    <xf numFmtId="0" fontId="131" fillId="0" borderId="0" xfId="3" applyFont="1" applyFill="1" applyBorder="1" applyAlignment="1" applyProtection="1">
      <alignment horizontal="center" vertical="center"/>
      <protection locked="0"/>
    </xf>
    <xf numFmtId="10" fontId="131" fillId="0" borderId="0" xfId="3" applyNumberFormat="1" applyFont="1" applyBorder="1" applyAlignment="1" applyProtection="1">
      <alignment horizontal="center" vertical="center"/>
      <protection locked="0"/>
    </xf>
    <xf numFmtId="0" fontId="131" fillId="0" borderId="39" xfId="3" applyFont="1" applyBorder="1" applyAlignment="1" applyProtection="1">
      <alignment horizontal="center" vertical="center"/>
      <protection locked="0"/>
    </xf>
    <xf numFmtId="0" fontId="137" fillId="0" borderId="155" xfId="3" applyFont="1" applyBorder="1" applyAlignment="1" applyProtection="1">
      <alignment horizontal="left" vertical="center"/>
    </xf>
    <xf numFmtId="0" fontId="131" fillId="0" borderId="44" xfId="3" applyFont="1" applyBorder="1" applyAlignment="1" applyProtection="1">
      <alignment vertical="center"/>
      <protection locked="0"/>
    </xf>
    <xf numFmtId="3" fontId="131" fillId="0" borderId="44" xfId="3" applyNumberFormat="1" applyFont="1" applyBorder="1" applyAlignment="1" applyProtection="1">
      <alignment horizontal="center" vertical="center"/>
    </xf>
    <xf numFmtId="0" fontId="137" fillId="0" borderId="44" xfId="3" applyFont="1" applyBorder="1" applyAlignment="1" applyProtection="1">
      <alignment vertical="center"/>
    </xf>
    <xf numFmtId="0" fontId="137" fillId="0" borderId="44" xfId="3" applyFont="1" applyBorder="1" applyAlignment="1" applyProtection="1">
      <alignment horizontal="right" vertical="center"/>
    </xf>
    <xf numFmtId="0" fontId="131" fillId="0" borderId="156" xfId="3" applyFont="1" applyBorder="1" applyAlignment="1" applyProtection="1">
      <alignment vertical="center"/>
      <protection locked="0"/>
    </xf>
    <xf numFmtId="0" fontId="131" fillId="0" borderId="38" xfId="3" applyFont="1" applyBorder="1" applyAlignment="1" applyProtection="1">
      <alignment horizontal="left" vertical="center"/>
    </xf>
    <xf numFmtId="3" fontId="131" fillId="0" borderId="0" xfId="3" applyNumberFormat="1" applyFont="1" applyFill="1" applyBorder="1" applyAlignment="1" applyProtection="1">
      <alignment horizontal="center" vertical="center"/>
      <protection locked="0"/>
    </xf>
    <xf numFmtId="10" fontId="131" fillId="0" borderId="0" xfId="3" applyNumberFormat="1" applyFont="1" applyFill="1" applyBorder="1" applyAlignment="1" applyProtection="1">
      <alignment horizontal="center" vertical="center"/>
      <protection locked="0"/>
    </xf>
    <xf numFmtId="171" fontId="131" fillId="0" borderId="0" xfId="3" applyNumberFormat="1" applyFont="1" applyFill="1" applyBorder="1" applyAlignment="1" applyProtection="1">
      <alignment horizontal="center" vertical="center"/>
      <protection locked="0"/>
    </xf>
    <xf numFmtId="169" fontId="131" fillId="0" borderId="0" xfId="3" applyNumberFormat="1" applyFont="1" applyFill="1" applyBorder="1" applyAlignment="1" applyProtection="1">
      <alignment horizontal="center" vertical="center"/>
      <protection locked="0"/>
    </xf>
    <xf numFmtId="171" fontId="131" fillId="0" borderId="0" xfId="3" applyNumberFormat="1" applyFont="1" applyBorder="1" applyAlignment="1" applyProtection="1">
      <alignment horizontal="center" vertical="center"/>
      <protection locked="0"/>
    </xf>
    <xf numFmtId="0" fontId="133" fillId="0" borderId="38" xfId="3" applyFont="1" applyBorder="1" applyAlignment="1" applyProtection="1">
      <alignment horizontal="left" vertical="center"/>
      <protection locked="0"/>
    </xf>
    <xf numFmtId="0" fontId="139" fillId="0" borderId="155" xfId="3" applyFont="1" applyBorder="1" applyAlignment="1" applyProtection="1">
      <alignment horizontal="left" vertical="center"/>
    </xf>
    <xf numFmtId="0" fontId="133" fillId="0" borderId="44" xfId="3" applyFont="1" applyBorder="1" applyAlignment="1" applyProtection="1">
      <alignment horizontal="center" vertical="center"/>
    </xf>
    <xf numFmtId="0" fontId="131" fillId="0" borderId="67" xfId="3" applyFont="1" applyBorder="1" applyAlignment="1" applyProtection="1">
      <alignment vertical="center"/>
    </xf>
    <xf numFmtId="0" fontId="131" fillId="0" borderId="157" xfId="3" applyFont="1" applyBorder="1" applyAlignment="1" applyProtection="1">
      <alignment vertical="center"/>
    </xf>
    <xf numFmtId="171" fontId="131" fillId="0" borderId="0" xfId="3" applyNumberFormat="1" applyFont="1" applyAlignment="1" applyProtection="1">
      <alignment vertical="center"/>
      <protection locked="0"/>
    </xf>
    <xf numFmtId="0" fontId="111" fillId="0" borderId="40" xfId="3" applyFont="1" applyBorder="1" applyAlignment="1" applyProtection="1">
      <alignment horizontal="center" vertical="center"/>
    </xf>
    <xf numFmtId="0" fontId="111" fillId="0" borderId="70" xfId="3" applyFont="1" applyBorder="1" applyAlignment="1" applyProtection="1">
      <alignment horizontal="center" vertical="center"/>
    </xf>
    <xf numFmtId="0" fontId="111" fillId="0" borderId="41" xfId="3" applyFont="1" applyBorder="1" applyAlignment="1" applyProtection="1">
      <alignment horizontal="center" vertical="center"/>
    </xf>
    <xf numFmtId="171" fontId="111" fillId="0" borderId="55" xfId="3" applyNumberFormat="1" applyFont="1" applyBorder="1" applyAlignment="1" applyProtection="1">
      <alignment horizontal="center" vertical="center"/>
    </xf>
    <xf numFmtId="171" fontId="111" fillId="0" borderId="104" xfId="3" applyNumberFormat="1" applyFont="1" applyBorder="1" applyAlignment="1" applyProtection="1">
      <alignment horizontal="center" vertical="center"/>
    </xf>
    <xf numFmtId="171" fontId="111" fillId="0" borderId="56" xfId="3" applyNumberFormat="1" applyFont="1" applyBorder="1" applyAlignment="1" applyProtection="1">
      <alignment horizontal="center" vertical="center"/>
    </xf>
    <xf numFmtId="171" fontId="111" fillId="0" borderId="70" xfId="3" applyNumberFormat="1" applyFont="1" applyBorder="1" applyAlignment="1" applyProtection="1">
      <alignment horizontal="center" vertical="center"/>
    </xf>
    <xf numFmtId="9" fontId="111" fillId="0" borderId="104" xfId="10" applyFont="1" applyBorder="1" applyAlignment="1" applyProtection="1">
      <alignment horizontal="center" vertical="center"/>
    </xf>
    <xf numFmtId="0" fontId="111" fillId="0" borderId="104" xfId="3" applyFont="1" applyBorder="1" applyAlignment="1" applyProtection="1">
      <alignment horizontal="center" vertical="center"/>
      <protection locked="0"/>
    </xf>
    <xf numFmtId="0" fontId="111" fillId="0" borderId="38" xfId="3" applyFont="1" applyBorder="1" applyAlignment="1" applyProtection="1">
      <alignment vertical="center"/>
    </xf>
    <xf numFmtId="0" fontId="111" fillId="0" borderId="0" xfId="3" applyFont="1" applyBorder="1" applyAlignment="1" applyProtection="1">
      <alignment vertical="center"/>
    </xf>
    <xf numFmtId="0" fontId="111" fillId="0" borderId="0" xfId="3" applyFont="1" applyBorder="1" applyAlignment="1" applyProtection="1">
      <alignment vertical="center"/>
      <protection locked="0"/>
    </xf>
    <xf numFmtId="0" fontId="111" fillId="0" borderId="0" xfId="3" applyFont="1" applyBorder="1" applyAlignment="1" applyProtection="1">
      <alignment horizontal="left" vertical="center" indent="1"/>
    </xf>
    <xf numFmtId="0" fontId="111" fillId="0" borderId="105" xfId="3" applyFont="1" applyBorder="1" applyAlignment="1" applyProtection="1">
      <alignment vertical="center"/>
    </xf>
    <xf numFmtId="171" fontId="111" fillId="0" borderId="183" xfId="3" applyNumberFormat="1" applyFont="1" applyBorder="1" applyAlignment="1" applyProtection="1">
      <alignment horizontal="center" vertical="center"/>
    </xf>
    <xf numFmtId="0" fontId="112" fillId="0" borderId="38" xfId="3" applyFont="1" applyBorder="1" applyAlignment="1" applyProtection="1">
      <alignment vertical="center"/>
    </xf>
    <xf numFmtId="0" fontId="111" fillId="0" borderId="0" xfId="3" applyFont="1" applyBorder="1"/>
    <xf numFmtId="0" fontId="111" fillId="0" borderId="155" xfId="3" applyFont="1" applyBorder="1" applyAlignment="1" applyProtection="1">
      <alignment vertical="center"/>
    </xf>
    <xf numFmtId="171" fontId="111" fillId="0" borderId="179" xfId="3" applyNumberFormat="1" applyFont="1" applyBorder="1" applyAlignment="1" applyProtection="1">
      <alignment horizontal="center" vertical="center"/>
    </xf>
    <xf numFmtId="0" fontId="112" fillId="0" borderId="177" xfId="3" applyFont="1" applyBorder="1" applyAlignment="1" applyProtection="1">
      <alignment vertical="center"/>
    </xf>
    <xf numFmtId="171" fontId="111" fillId="0" borderId="180" xfId="3" applyNumberFormat="1" applyFont="1" applyBorder="1" applyAlignment="1" applyProtection="1">
      <alignment horizontal="center" vertical="center"/>
    </xf>
    <xf numFmtId="171" fontId="131" fillId="0" borderId="39" xfId="3" applyNumberFormat="1" applyFont="1" applyBorder="1" applyAlignment="1" applyProtection="1">
      <alignment horizontal="center" vertical="center"/>
    </xf>
    <xf numFmtId="0" fontId="131" fillId="0" borderId="55" xfId="3" applyFont="1" applyBorder="1" applyAlignment="1" applyProtection="1">
      <alignment vertical="center"/>
    </xf>
    <xf numFmtId="0" fontId="131" fillId="0" borderId="56" xfId="3" applyFont="1" applyBorder="1" applyAlignment="1" applyProtection="1">
      <alignment vertical="center"/>
    </xf>
    <xf numFmtId="0" fontId="131" fillId="0" borderId="57" xfId="3" applyFont="1" applyBorder="1" applyAlignment="1" applyProtection="1">
      <alignment vertical="center"/>
    </xf>
    <xf numFmtId="0" fontId="133" fillId="5" borderId="40" xfId="3" applyFont="1" applyFill="1" applyBorder="1" applyAlignment="1" applyProtection="1">
      <alignment vertical="center"/>
    </xf>
    <xf numFmtId="0" fontId="133" fillId="5" borderId="41" xfId="3" applyFont="1" applyFill="1" applyBorder="1" applyAlignment="1" applyProtection="1">
      <alignment vertical="center"/>
    </xf>
    <xf numFmtId="0" fontId="133" fillId="5" borderId="42" xfId="3" applyFont="1" applyFill="1" applyBorder="1" applyAlignment="1" applyProtection="1">
      <alignment vertical="center"/>
    </xf>
    <xf numFmtId="0" fontId="131" fillId="0" borderId="52" xfId="3" applyFont="1" applyBorder="1" applyAlignment="1" applyProtection="1">
      <alignment vertical="center"/>
      <protection locked="0"/>
    </xf>
    <xf numFmtId="0" fontId="131" fillId="5" borderId="41" xfId="3" applyFont="1" applyFill="1" applyBorder="1" applyAlignment="1" applyProtection="1">
      <alignment vertical="center"/>
    </xf>
    <xf numFmtId="0" fontId="131" fillId="5" borderId="42" xfId="3" applyFont="1" applyFill="1" applyBorder="1" applyAlignment="1" applyProtection="1">
      <alignment vertical="center"/>
    </xf>
    <xf numFmtId="3" fontId="131" fillId="0" borderId="0" xfId="3" applyNumberFormat="1" applyFont="1" applyFill="1" applyBorder="1" applyAlignment="1" applyProtection="1">
      <alignment horizontal="center" vertical="center"/>
    </xf>
    <xf numFmtId="178" fontId="44" fillId="0" borderId="67" xfId="3" applyNumberFormat="1" applyFont="1" applyBorder="1" applyAlignment="1" applyProtection="1">
      <alignment horizontal="right" vertical="center"/>
      <protection locked="0"/>
    </xf>
    <xf numFmtId="3" fontId="44" fillId="0" borderId="67" xfId="3" applyNumberFormat="1" applyFont="1" applyBorder="1" applyAlignment="1" applyProtection="1">
      <alignment horizontal="right" vertical="center"/>
      <protection locked="0"/>
    </xf>
    <xf numFmtId="3" fontId="44" fillId="0" borderId="68" xfId="3" applyNumberFormat="1" applyFont="1" applyBorder="1" applyAlignment="1" applyProtection="1">
      <alignment horizontal="right" vertical="center"/>
      <protection locked="0"/>
    </xf>
    <xf numFmtId="3" fontId="44" fillId="0" borderId="158" xfId="3" applyNumberFormat="1" applyFont="1" applyBorder="1" applyAlignment="1" applyProtection="1">
      <alignment horizontal="left" vertical="center"/>
      <protection locked="0"/>
    </xf>
    <xf numFmtId="178" fontId="44" fillId="0" borderId="0" xfId="3" applyNumberFormat="1" applyFont="1" applyBorder="1" applyAlignment="1" applyProtection="1">
      <alignment horizontal="right" vertical="center"/>
      <protection locked="0"/>
    </xf>
    <xf numFmtId="3" fontId="44" fillId="0" borderId="0" xfId="3" applyNumberFormat="1" applyFont="1" applyBorder="1" applyAlignment="1" applyProtection="1">
      <alignment horizontal="right" vertical="center"/>
      <protection locked="0"/>
    </xf>
    <xf numFmtId="3" fontId="44" fillId="0" borderId="66" xfId="3" applyNumberFormat="1" applyFont="1" applyBorder="1" applyAlignment="1" applyProtection="1">
      <alignment horizontal="right" vertical="center"/>
      <protection locked="0"/>
    </xf>
    <xf numFmtId="3" fontId="44" fillId="0" borderId="38" xfId="3" applyNumberFormat="1" applyFont="1" applyBorder="1" applyAlignment="1" applyProtection="1">
      <alignment horizontal="left" vertical="center"/>
      <protection locked="0"/>
    </xf>
    <xf numFmtId="0" fontId="44" fillId="0" borderId="38" xfId="3" applyFont="1" applyBorder="1" applyAlignment="1" applyProtection="1">
      <alignment horizontal="left" vertical="center"/>
    </xf>
    <xf numFmtId="3" fontId="44" fillId="0" borderId="0" xfId="3" applyNumberFormat="1" applyFont="1" applyBorder="1" applyAlignment="1" applyProtection="1">
      <alignment horizontal="right" vertical="center"/>
    </xf>
    <xf numFmtId="3" fontId="44" fillId="0" borderId="53" xfId="3" applyNumberFormat="1" applyFont="1" applyBorder="1" applyAlignment="1" applyProtection="1">
      <alignment vertical="center"/>
      <protection locked="0"/>
    </xf>
    <xf numFmtId="0" fontId="38" fillId="16" borderId="155" xfId="0" applyFont="1" applyFill="1" applyBorder="1" applyAlignment="1" applyProtection="1">
      <alignment horizontal="left" vertical="center"/>
    </xf>
    <xf numFmtId="0" fontId="38" fillId="16" borderId="44" xfId="0" applyFont="1" applyFill="1" applyBorder="1" applyAlignment="1" applyProtection="1">
      <alignment horizontal="center" vertical="center"/>
    </xf>
    <xf numFmtId="178" fontId="38" fillId="16" borderId="45" xfId="0" applyNumberFormat="1" applyFont="1" applyFill="1" applyBorder="1" applyAlignment="1" applyProtection="1">
      <alignment horizontal="center" vertical="center"/>
    </xf>
    <xf numFmtId="0" fontId="133" fillId="29" borderId="0" xfId="0" applyFont="1" applyFill="1" applyBorder="1" applyAlignment="1" applyProtection="1">
      <alignment vertical="center"/>
      <protection locked="0"/>
    </xf>
    <xf numFmtId="0" fontId="131" fillId="29" borderId="0" xfId="0" applyFont="1" applyFill="1" applyBorder="1" applyAlignment="1" applyProtection="1">
      <alignment vertical="center"/>
      <protection locked="0"/>
    </xf>
    <xf numFmtId="0" fontId="54" fillId="29" borderId="0" xfId="0" applyFont="1" applyFill="1" applyBorder="1" applyAlignment="1" applyProtection="1">
      <alignment horizontal="left" vertical="center"/>
    </xf>
    <xf numFmtId="17" fontId="141" fillId="14" borderId="226" xfId="0" applyNumberFormat="1" applyFont="1" applyFill="1" applyBorder="1" applyAlignment="1" applyProtection="1">
      <alignment horizontal="right"/>
      <protection locked="0"/>
    </xf>
    <xf numFmtId="17" fontId="61" fillId="16" borderId="226" xfId="0" applyNumberFormat="1" applyFont="1" applyFill="1" applyBorder="1" applyAlignment="1" applyProtection="1">
      <alignment horizontal="right"/>
      <protection locked="0"/>
    </xf>
    <xf numFmtId="202" fontId="141" fillId="23" borderId="108" xfId="0" applyNumberFormat="1" applyFont="1" applyFill="1" applyBorder="1" applyAlignment="1" applyProtection="1">
      <alignment horizontal="right"/>
    </xf>
    <xf numFmtId="175" fontId="141" fillId="14" borderId="108" xfId="0" applyNumberFormat="1" applyFont="1" applyFill="1" applyBorder="1" applyAlignment="1" applyProtection="1">
      <alignment horizontal="right"/>
    </xf>
    <xf numFmtId="0" fontId="73" fillId="0" borderId="0" xfId="0" applyFont="1" applyFill="1" applyBorder="1"/>
    <xf numFmtId="175" fontId="141" fillId="0" borderId="0" xfId="0" applyNumberFormat="1" applyFont="1" applyFill="1" applyBorder="1" applyAlignment="1" applyProtection="1">
      <alignment horizontal="right"/>
    </xf>
    <xf numFmtId="202" fontId="141" fillId="0" borderId="0" xfId="0" applyNumberFormat="1" applyFont="1" applyFill="1" applyBorder="1" applyAlignment="1" applyProtection="1">
      <alignment horizontal="right"/>
    </xf>
    <xf numFmtId="0" fontId="73" fillId="0" borderId="0" xfId="0" applyFont="1" applyFill="1"/>
    <xf numFmtId="0" fontId="35" fillId="12" borderId="0" xfId="0" applyFont="1" applyFill="1" applyAlignment="1"/>
    <xf numFmtId="0" fontId="44" fillId="0" borderId="0" xfId="0" applyFont="1" applyBorder="1" applyAlignment="1" applyProtection="1"/>
    <xf numFmtId="0" fontId="46" fillId="0" borderId="40" xfId="0" applyFont="1" applyBorder="1" applyAlignment="1" applyProtection="1"/>
    <xf numFmtId="0" fontId="111" fillId="0" borderId="0" xfId="0" applyFont="1"/>
    <xf numFmtId="0" fontId="111" fillId="0" borderId="244" xfId="0" applyFont="1" applyBorder="1"/>
    <xf numFmtId="0" fontId="112" fillId="16" borderId="244" xfId="0" applyFont="1" applyFill="1" applyBorder="1"/>
    <xf numFmtId="0" fontId="110" fillId="31" borderId="0" xfId="0" applyFont="1" applyFill="1"/>
    <xf numFmtId="169" fontId="71" fillId="12" borderId="0" xfId="10" applyNumberFormat="1" applyFont="1" applyFill="1"/>
    <xf numFmtId="204" fontId="71" fillId="12" borderId="0" xfId="0" applyNumberFormat="1" applyFont="1" applyFill="1"/>
    <xf numFmtId="204" fontId="71" fillId="12" borderId="0" xfId="0" applyNumberFormat="1" applyFont="1" applyFill="1" applyAlignment="1">
      <alignment horizontal="right"/>
    </xf>
    <xf numFmtId="204" fontId="71" fillId="12" borderId="226" xfId="0" applyNumberFormat="1" applyFont="1" applyFill="1" applyBorder="1"/>
    <xf numFmtId="179" fontId="64" fillId="12" borderId="0" xfId="0" applyNumberFormat="1" applyFont="1" applyFill="1" applyBorder="1" applyAlignment="1" applyProtection="1">
      <alignment horizontal="center"/>
      <protection locked="0"/>
    </xf>
    <xf numFmtId="0" fontId="44" fillId="12" borderId="0" xfId="0" applyFont="1" applyFill="1" applyAlignment="1">
      <alignment horizontal="center"/>
    </xf>
    <xf numFmtId="0" fontId="38" fillId="12" borderId="0" xfId="0" applyFont="1" applyFill="1" applyAlignment="1">
      <alignment horizontal="center"/>
    </xf>
    <xf numFmtId="0" fontId="38" fillId="16" borderId="227" xfId="0" applyFont="1" applyFill="1" applyBorder="1" applyAlignment="1">
      <alignment horizontal="center"/>
    </xf>
    <xf numFmtId="9" fontId="111" fillId="16" borderId="245" xfId="10" applyFont="1" applyFill="1" applyBorder="1" applyAlignment="1">
      <alignment horizontal="center"/>
    </xf>
    <xf numFmtId="0" fontId="111" fillId="0" borderId="0" xfId="0" applyFont="1" applyAlignment="1">
      <alignment horizontal="center"/>
    </xf>
    <xf numFmtId="3" fontId="112" fillId="16" borderId="244" xfId="0" applyNumberFormat="1" applyFont="1" applyFill="1" applyBorder="1"/>
    <xf numFmtId="169" fontId="44" fillId="16" borderId="227" xfId="10" applyNumberFormat="1" applyFont="1" applyFill="1" applyBorder="1" applyAlignment="1">
      <alignment horizontal="center"/>
    </xf>
    <xf numFmtId="9" fontId="44" fillId="16" borderId="227" xfId="10" applyNumberFormat="1" applyFont="1" applyFill="1" applyBorder="1" applyAlignment="1">
      <alignment horizontal="center"/>
    </xf>
    <xf numFmtId="0" fontId="44" fillId="0" borderId="0" xfId="0" applyFont="1" applyBorder="1" applyProtection="1"/>
    <xf numFmtId="0" fontId="38" fillId="0" borderId="0" xfId="0" applyFont="1" applyBorder="1" applyProtection="1"/>
    <xf numFmtId="0" fontId="92" fillId="0" borderId="0" xfId="0" applyFont="1" applyAlignment="1">
      <alignment horizontal="center"/>
    </xf>
    <xf numFmtId="0" fontId="92" fillId="0" borderId="0" xfId="0" applyFont="1" applyAlignment="1">
      <alignment horizontal="left"/>
    </xf>
    <xf numFmtId="0" fontId="111" fillId="16" borderId="244" xfId="0" applyFont="1" applyFill="1" applyBorder="1"/>
    <xf numFmtId="0" fontId="112" fillId="13" borderId="244" xfId="0" applyFont="1" applyFill="1" applyBorder="1"/>
    <xf numFmtId="0" fontId="110" fillId="31" borderId="259" xfId="0" applyFont="1" applyFill="1" applyBorder="1"/>
    <xf numFmtId="0" fontId="109" fillId="31" borderId="259" xfId="0" applyFont="1" applyFill="1" applyBorder="1"/>
    <xf numFmtId="0" fontId="110" fillId="29" borderId="259" xfId="0" applyFont="1" applyFill="1" applyBorder="1"/>
    <xf numFmtId="0" fontId="111" fillId="16" borderId="259" xfId="0" applyFont="1" applyFill="1" applyBorder="1"/>
    <xf numFmtId="0" fontId="111" fillId="0" borderId="259" xfId="0" applyFont="1" applyBorder="1"/>
    <xf numFmtId="0" fontId="112" fillId="16" borderId="0" xfId="0" applyFont="1" applyFill="1"/>
    <xf numFmtId="0" fontId="112" fillId="0" borderId="0" xfId="0" applyFont="1"/>
    <xf numFmtId="0" fontId="112" fillId="0" borderId="0" xfId="0" applyFont="1" applyFill="1"/>
    <xf numFmtId="3" fontId="111" fillId="16" borderId="244" xfId="0" applyNumberFormat="1" applyFont="1" applyFill="1" applyBorder="1"/>
    <xf numFmtId="3" fontId="144" fillId="19" borderId="0" xfId="0" applyNumberFormat="1" applyFont="1" applyFill="1" applyAlignment="1">
      <alignment horizontal="center"/>
    </xf>
    <xf numFmtId="0" fontId="2" fillId="0" borderId="0" xfId="12" applyProtection="1"/>
    <xf numFmtId="0" fontId="148" fillId="0" borderId="0" xfId="12" applyFont="1" applyProtection="1"/>
    <xf numFmtId="10" fontId="148" fillId="0" borderId="0" xfId="13" applyNumberFormat="1" applyFont="1" applyProtection="1"/>
    <xf numFmtId="0" fontId="2" fillId="0" borderId="0" xfId="12"/>
    <xf numFmtId="0" fontId="2" fillId="0" borderId="73" xfId="12" applyBorder="1" applyProtection="1"/>
    <xf numFmtId="0" fontId="2" fillId="0" borderId="67" xfId="12" applyBorder="1" applyProtection="1"/>
    <xf numFmtId="0" fontId="2" fillId="0" borderId="68" xfId="12" applyBorder="1" applyProtection="1"/>
    <xf numFmtId="0" fontId="2" fillId="0" borderId="0" xfId="12" applyAlignment="1" applyProtection="1">
      <alignment horizontal="center" vertical="center" wrapText="1"/>
    </xf>
    <xf numFmtId="0" fontId="147" fillId="0" borderId="0" xfId="12" applyFont="1" applyProtection="1"/>
    <xf numFmtId="10" fontId="147" fillId="0" borderId="0" xfId="13" applyNumberFormat="1" applyFont="1" applyProtection="1"/>
    <xf numFmtId="0" fontId="2" fillId="0" borderId="71" xfId="12" applyBorder="1" applyProtection="1"/>
    <xf numFmtId="0" fontId="146" fillId="0" borderId="0" xfId="12" applyFont="1" applyBorder="1" applyProtection="1"/>
    <xf numFmtId="0" fontId="2" fillId="19" borderId="0" xfId="12" applyFill="1" applyBorder="1" applyProtection="1">
      <protection locked="0"/>
    </xf>
    <xf numFmtId="0" fontId="2" fillId="0" borderId="0" xfId="12" applyBorder="1" applyProtection="1"/>
    <xf numFmtId="0" fontId="2" fillId="0" borderId="66" xfId="12" applyBorder="1" applyProtection="1"/>
    <xf numFmtId="2" fontId="2" fillId="0" borderId="0" xfId="12" applyNumberFormat="1" applyProtection="1"/>
    <xf numFmtId="0" fontId="2" fillId="0" borderId="0" xfId="12" applyNumberFormat="1" applyProtection="1"/>
    <xf numFmtId="206" fontId="2" fillId="0" borderId="0" xfId="12" applyNumberFormat="1" applyProtection="1"/>
    <xf numFmtId="3" fontId="2" fillId="0" borderId="0" xfId="12" applyNumberFormat="1" applyProtection="1"/>
    <xf numFmtId="0" fontId="145" fillId="14" borderId="264" xfId="12" applyFont="1" applyFill="1" applyBorder="1" applyAlignment="1" applyProtection="1">
      <alignment horizontal="center"/>
    </xf>
    <xf numFmtId="0" fontId="149" fillId="14" borderId="264" xfId="12" applyFont="1" applyFill="1" applyBorder="1" applyAlignment="1" applyProtection="1">
      <alignment horizontal="center" wrapText="1"/>
    </xf>
    <xf numFmtId="0" fontId="2" fillId="0" borderId="264" xfId="12" applyFill="1" applyBorder="1" applyProtection="1"/>
    <xf numFmtId="0" fontId="2" fillId="0" borderId="264" xfId="12" applyBorder="1" applyProtection="1"/>
    <xf numFmtId="2" fontId="150" fillId="19" borderId="264" xfId="12" applyNumberFormat="1" applyFont="1" applyFill="1" applyBorder="1" applyAlignment="1" applyProtection="1">
      <alignment horizontal="center" vertical="top"/>
      <protection locked="0"/>
    </xf>
    <xf numFmtId="2" fontId="150" fillId="33" borderId="264" xfId="12" applyNumberFormat="1" applyFont="1" applyFill="1" applyBorder="1" applyAlignment="1" applyProtection="1">
      <alignment horizontal="center" vertical="top"/>
    </xf>
    <xf numFmtId="1" fontId="150" fillId="19" borderId="264" xfId="12" applyNumberFormat="1" applyFont="1" applyFill="1" applyBorder="1" applyAlignment="1" applyProtection="1">
      <alignment horizontal="center" vertical="top"/>
      <protection locked="0"/>
    </xf>
    <xf numFmtId="1" fontId="150" fillId="33" borderId="264" xfId="12" applyNumberFormat="1" applyFont="1" applyFill="1" applyBorder="1" applyAlignment="1" applyProtection="1">
      <alignment horizontal="center" vertical="top"/>
    </xf>
    <xf numFmtId="2" fontId="150" fillId="0" borderId="264" xfId="12" applyNumberFormat="1" applyFont="1" applyFill="1" applyBorder="1" applyAlignment="1" applyProtection="1">
      <alignment horizontal="center" vertical="top"/>
      <protection locked="0"/>
    </xf>
    <xf numFmtId="0" fontId="2" fillId="0" borderId="0" xfId="12" applyBorder="1" applyAlignment="1" applyProtection="1">
      <alignment horizontal="center"/>
    </xf>
    <xf numFmtId="10" fontId="150" fillId="19" borderId="264" xfId="13" applyNumberFormat="1" applyFont="1" applyFill="1" applyBorder="1" applyAlignment="1" applyProtection="1">
      <alignment horizontal="center" vertical="top"/>
      <protection locked="0"/>
    </xf>
    <xf numFmtId="0" fontId="2" fillId="0" borderId="74" xfId="12" applyBorder="1" applyProtection="1"/>
    <xf numFmtId="0" fontId="2" fillId="0" borderId="53" xfId="12" applyBorder="1" applyProtection="1"/>
    <xf numFmtId="0" fontId="2" fillId="0" borderId="75" xfId="12" applyBorder="1" applyProtection="1"/>
    <xf numFmtId="0" fontId="150" fillId="12" borderId="264" xfId="12" applyFont="1" applyFill="1" applyBorder="1" applyAlignment="1" applyProtection="1">
      <alignment horizontal="center" vertical="top"/>
    </xf>
    <xf numFmtId="0" fontId="150" fillId="34" borderId="264" xfId="12" applyFont="1" applyFill="1" applyBorder="1" applyAlignment="1" applyProtection="1">
      <alignment horizontal="left" vertical="top"/>
    </xf>
    <xf numFmtId="2" fontId="150" fillId="0" borderId="264" xfId="12" applyNumberFormat="1" applyFont="1" applyFill="1" applyBorder="1" applyAlignment="1" applyProtection="1">
      <alignment horizontal="center" vertical="top"/>
    </xf>
    <xf numFmtId="0" fontId="150" fillId="34" borderId="264" xfId="12" applyFont="1" applyFill="1" applyBorder="1" applyAlignment="1" applyProtection="1">
      <alignment horizontal="center" vertical="top"/>
    </xf>
    <xf numFmtId="0" fontId="150" fillId="0" borderId="264" xfId="12" applyFont="1" applyBorder="1" applyAlignment="1" applyProtection="1">
      <alignment horizontal="center" vertical="center"/>
    </xf>
    <xf numFmtId="2" fontId="146" fillId="13" borderId="264" xfId="12" applyNumberFormat="1" applyFont="1" applyFill="1" applyBorder="1" applyAlignment="1" applyProtection="1">
      <alignment horizontal="center"/>
    </xf>
    <xf numFmtId="0" fontId="146" fillId="13" borderId="264" xfId="12" applyFont="1" applyFill="1" applyBorder="1" applyProtection="1"/>
    <xf numFmtId="2" fontId="146" fillId="13" borderId="264" xfId="13" applyNumberFormat="1" applyFont="1" applyFill="1" applyBorder="1" applyAlignment="1" applyProtection="1">
      <alignment horizontal="center"/>
    </xf>
    <xf numFmtId="0" fontId="146" fillId="13" borderId="0" xfId="12" applyFont="1" applyFill="1" applyBorder="1" applyAlignment="1" applyProtection="1">
      <alignment horizontal="center"/>
    </xf>
    <xf numFmtId="171" fontId="146" fillId="13" borderId="0" xfId="12" applyNumberFormat="1" applyFont="1" applyFill="1" applyBorder="1" applyAlignment="1" applyProtection="1">
      <alignment horizontal="center"/>
    </xf>
    <xf numFmtId="171" fontId="146" fillId="19" borderId="0" xfId="12" applyNumberFormat="1" applyFont="1" applyFill="1" applyBorder="1" applyAlignment="1" applyProtection="1">
      <alignment horizontal="center"/>
    </xf>
    <xf numFmtId="2" fontId="2" fillId="0" borderId="0" xfId="12" applyNumberFormat="1"/>
    <xf numFmtId="0" fontId="145" fillId="14" borderId="264" xfId="12" applyFont="1" applyFill="1" applyBorder="1" applyAlignment="1">
      <alignment horizontal="center" vertical="center"/>
    </xf>
    <xf numFmtId="0" fontId="145" fillId="14" borderId="265" xfId="12" applyFont="1" applyFill="1" applyBorder="1" applyAlignment="1">
      <alignment horizontal="center" vertical="center"/>
    </xf>
    <xf numFmtId="49" fontId="2" fillId="0" borderId="0" xfId="12" applyNumberFormat="1"/>
    <xf numFmtId="49" fontId="146" fillId="0" borderId="264" xfId="12" applyNumberFormat="1" applyFont="1" applyFill="1" applyBorder="1" applyAlignment="1">
      <alignment vertical="center" wrapText="1"/>
    </xf>
    <xf numFmtId="0" fontId="2" fillId="0" borderId="264" xfId="12" applyBorder="1" applyAlignment="1">
      <alignment horizontal="center" vertical="center"/>
    </xf>
    <xf numFmtId="0" fontId="2" fillId="0" borderId="264" xfId="12" quotePrefix="1" applyBorder="1" applyAlignment="1">
      <alignment horizontal="center" vertical="center" wrapText="1"/>
    </xf>
    <xf numFmtId="172" fontId="2" fillId="0" borderId="264" xfId="13" applyNumberFormat="1" applyFont="1" applyBorder="1" applyAlignment="1">
      <alignment horizontal="center" vertical="center"/>
    </xf>
    <xf numFmtId="0" fontId="2" fillId="0" borderId="0" xfId="12" applyAlignment="1">
      <alignment horizontal="center"/>
    </xf>
    <xf numFmtId="0" fontId="145" fillId="14" borderId="264" xfId="12" applyFont="1" applyFill="1" applyBorder="1" applyAlignment="1">
      <alignment horizontal="center"/>
    </xf>
    <xf numFmtId="0" fontId="153" fillId="14" borderId="266" xfId="12" applyFont="1" applyFill="1" applyBorder="1" applyAlignment="1">
      <alignment horizontal="center" vertical="center"/>
    </xf>
    <xf numFmtId="207" fontId="153" fillId="14" borderId="266" xfId="12" applyNumberFormat="1" applyFont="1" applyFill="1" applyBorder="1" applyAlignment="1">
      <alignment horizontal="center" vertical="center"/>
    </xf>
    <xf numFmtId="0" fontId="150" fillId="0" borderId="264" xfId="12" applyFont="1" applyBorder="1" applyAlignment="1">
      <alignment horizontal="center" vertical="center"/>
    </xf>
    <xf numFmtId="0" fontId="154" fillId="0" borderId="264" xfId="12" applyFont="1" applyBorder="1" applyAlignment="1">
      <alignment horizontal="center" vertical="center"/>
    </xf>
    <xf numFmtId="207" fontId="150" fillId="0" borderId="264" xfId="12" applyNumberFormat="1" applyFont="1" applyBorder="1" applyAlignment="1">
      <alignment horizontal="center" vertical="center"/>
    </xf>
    <xf numFmtId="49" fontId="146" fillId="0" borderId="265" xfId="12" applyNumberFormat="1" applyFont="1" applyFill="1" applyBorder="1" applyAlignment="1">
      <alignment vertical="center" wrapText="1"/>
    </xf>
    <xf numFmtId="0" fontId="2" fillId="0" borderId="265" xfId="12" applyFill="1" applyBorder="1" applyAlignment="1">
      <alignment horizontal="center" vertical="center"/>
    </xf>
    <xf numFmtId="49" fontId="146" fillId="0" borderId="267" xfId="12" applyNumberFormat="1" applyFont="1" applyFill="1" applyBorder="1" applyAlignment="1">
      <alignment vertical="center" wrapText="1"/>
    </xf>
    <xf numFmtId="0" fontId="2" fillId="0" borderId="268" xfId="12" applyFill="1" applyBorder="1" applyAlignment="1">
      <alignment horizontal="center" vertical="center"/>
    </xf>
    <xf numFmtId="0" fontId="155" fillId="0" borderId="0" xfId="12" applyFont="1"/>
    <xf numFmtId="0" fontId="156" fillId="0" borderId="53" xfId="12" applyFont="1" applyBorder="1"/>
    <xf numFmtId="0" fontId="156" fillId="0" borderId="74" xfId="12" applyFont="1" applyBorder="1"/>
    <xf numFmtId="2" fontId="155" fillId="0" borderId="0" xfId="12" applyNumberFormat="1" applyFont="1"/>
    <xf numFmtId="0" fontId="155" fillId="0" borderId="75" xfId="12" applyFont="1" applyBorder="1"/>
    <xf numFmtId="0" fontId="155" fillId="0" borderId="53" xfId="12" applyFont="1" applyBorder="1"/>
    <xf numFmtId="0" fontId="156" fillId="0" borderId="73" xfId="12" applyFont="1" applyBorder="1" applyAlignment="1">
      <alignment horizontal="center" vertical="justify"/>
    </xf>
    <xf numFmtId="0" fontId="156" fillId="0" borderId="71" xfId="12" applyFont="1" applyFill="1" applyBorder="1" applyAlignment="1">
      <alignment horizontal="center" vertical="justify"/>
    </xf>
    <xf numFmtId="0" fontId="38" fillId="0" borderId="0" xfId="0" applyFont="1" applyFill="1" applyBorder="1" applyAlignment="1">
      <alignment horizontal="center"/>
    </xf>
    <xf numFmtId="0" fontId="38" fillId="5" borderId="38" xfId="0" applyFont="1" applyFill="1" applyBorder="1" applyAlignment="1"/>
    <xf numFmtId="0" fontId="38" fillId="5" borderId="0" xfId="0" applyFont="1" applyFill="1" applyBorder="1" applyAlignment="1"/>
    <xf numFmtId="0" fontId="38" fillId="5" borderId="39" xfId="0" applyFont="1" applyFill="1" applyBorder="1" applyAlignment="1"/>
    <xf numFmtId="175" fontId="38" fillId="5" borderId="64" xfId="7" applyNumberFormat="1" applyFont="1" applyFill="1" applyBorder="1" applyAlignment="1">
      <alignment horizontal="center" vertical="center"/>
    </xf>
    <xf numFmtId="3" fontId="44" fillId="12" borderId="83" xfId="7" applyNumberFormat="1" applyFont="1" applyFill="1" applyBorder="1" applyAlignment="1">
      <alignment vertical="center"/>
    </xf>
    <xf numFmtId="0" fontId="44" fillId="12" borderId="58" xfId="7" quotePrefix="1" applyFont="1" applyFill="1" applyBorder="1" applyAlignment="1">
      <alignment vertical="center"/>
    </xf>
    <xf numFmtId="3" fontId="44" fillId="12" borderId="58" xfId="7" applyNumberFormat="1" applyFont="1" applyFill="1" applyBorder="1" applyAlignment="1">
      <alignment vertical="center"/>
    </xf>
    <xf numFmtId="3" fontId="44" fillId="12" borderId="58" xfId="7" quotePrefix="1" applyNumberFormat="1" applyFont="1" applyFill="1" applyBorder="1" applyAlignment="1">
      <alignment vertical="center"/>
    </xf>
    <xf numFmtId="3" fontId="44" fillId="12" borderId="71" xfId="7" quotePrefix="1" applyNumberFormat="1" applyFont="1" applyFill="1" applyBorder="1" applyAlignment="1">
      <alignment vertical="center"/>
    </xf>
    <xf numFmtId="3" fontId="38" fillId="5" borderId="242" xfId="7" applyNumberFormat="1" applyFont="1" applyFill="1" applyBorder="1" applyAlignment="1">
      <alignment vertical="center"/>
    </xf>
    <xf numFmtId="3" fontId="38" fillId="5" borderId="233" xfId="7" applyNumberFormat="1" applyFont="1" applyFill="1" applyBorder="1" applyAlignment="1">
      <alignment vertical="center"/>
    </xf>
    <xf numFmtId="3" fontId="44" fillId="12" borderId="69" xfId="7" applyNumberFormat="1" applyFont="1" applyFill="1" applyBorder="1" applyAlignment="1">
      <alignment vertical="center"/>
    </xf>
    <xf numFmtId="0" fontId="44" fillId="5" borderId="41" xfId="0" applyFont="1" applyFill="1" applyBorder="1"/>
    <xf numFmtId="3" fontId="38" fillId="5" borderId="56" xfId="7" applyNumberFormat="1" applyFont="1" applyFill="1" applyBorder="1" applyAlignment="1">
      <alignment horizontal="center"/>
    </xf>
    <xf numFmtId="3" fontId="44" fillId="0" borderId="190" xfId="7" applyNumberFormat="1" applyFont="1" applyFill="1" applyBorder="1"/>
    <xf numFmtId="0" fontId="44" fillId="0" borderId="45" xfId="7" quotePrefix="1" applyFont="1" applyFill="1" applyBorder="1"/>
    <xf numFmtId="3" fontId="44" fillId="0" borderId="45" xfId="7" applyNumberFormat="1" applyFont="1" applyFill="1" applyBorder="1"/>
    <xf numFmtId="3" fontId="44" fillId="0" borderId="45" xfId="7" quotePrefix="1" applyNumberFormat="1" applyFont="1" applyFill="1" applyBorder="1"/>
    <xf numFmtId="3" fontId="44" fillId="0" borderId="0" xfId="7" quotePrefix="1" applyNumberFormat="1" applyFont="1" applyBorder="1"/>
    <xf numFmtId="3" fontId="38" fillId="5" borderId="41" xfId="7" applyNumberFormat="1" applyFont="1" applyFill="1" applyBorder="1"/>
    <xf numFmtId="0" fontId="44" fillId="0" borderId="56" xfId="7" quotePrefix="1" applyFont="1" applyFill="1" applyBorder="1"/>
    <xf numFmtId="3" fontId="44" fillId="0" borderId="68" xfId="7" applyNumberFormat="1" applyFont="1" applyFill="1" applyBorder="1"/>
    <xf numFmtId="3" fontId="44" fillId="0" borderId="269" xfId="7" applyNumberFormat="1" applyFont="1" applyFill="1" applyBorder="1"/>
    <xf numFmtId="3" fontId="38" fillId="5" borderId="190" xfId="7" applyNumberFormat="1" applyFont="1" applyFill="1" applyBorder="1" applyAlignment="1">
      <alignment horizontal="center"/>
    </xf>
    <xf numFmtId="3" fontId="44" fillId="0" borderId="45" xfId="7" applyNumberFormat="1" applyFont="1" applyBorder="1"/>
    <xf numFmtId="3" fontId="44" fillId="0" borderId="269" xfId="7" applyNumberFormat="1" applyFont="1" applyBorder="1"/>
    <xf numFmtId="0" fontId="44" fillId="0" borderId="190" xfId="0" applyFont="1" applyBorder="1"/>
    <xf numFmtId="3" fontId="124" fillId="0" borderId="0" xfId="6" applyFont="1" applyAlignment="1">
      <alignment horizontal="center"/>
    </xf>
    <xf numFmtId="3" fontId="78" fillId="19" borderId="270" xfId="6" applyFont="1" applyFill="1" applyBorder="1" applyAlignment="1">
      <alignment horizontal="center"/>
    </xf>
    <xf numFmtId="3" fontId="124" fillId="0" borderId="271" xfId="6" applyFont="1" applyBorder="1" applyAlignment="1">
      <alignment horizontal="center"/>
    </xf>
    <xf numFmtId="3" fontId="124" fillId="0" borderId="272" xfId="6" applyFont="1" applyBorder="1" applyAlignment="1">
      <alignment horizontal="center"/>
    </xf>
    <xf numFmtId="0" fontId="46" fillId="0" borderId="108" xfId="0" applyFont="1" applyBorder="1" applyAlignment="1">
      <alignment horizontal="center" wrapText="1"/>
    </xf>
    <xf numFmtId="0" fontId="128" fillId="0" borderId="108" xfId="0" applyFont="1" applyBorder="1" applyAlignment="1">
      <alignment horizontal="center" wrapText="1"/>
    </xf>
    <xf numFmtId="171" fontId="124" fillId="0" borderId="108" xfId="0" applyNumberFormat="1" applyFont="1" applyBorder="1" applyAlignment="1">
      <alignment horizontal="center" wrapText="1"/>
    </xf>
    <xf numFmtId="171" fontId="125" fillId="0" borderId="109" xfId="0" applyNumberFormat="1" applyFont="1" applyBorder="1" applyAlignment="1">
      <alignment horizontal="center" wrapText="1"/>
    </xf>
    <xf numFmtId="171" fontId="46" fillId="0" borderId="108" xfId="0" applyNumberFormat="1" applyFont="1" applyBorder="1" applyAlignment="1">
      <alignment horizontal="center" wrapText="1"/>
    </xf>
    <xf numFmtId="171" fontId="128" fillId="0" borderId="109" xfId="0" applyNumberFormat="1" applyFont="1" applyBorder="1" applyAlignment="1">
      <alignment horizontal="center" wrapText="1"/>
    </xf>
    <xf numFmtId="9" fontId="124" fillId="0" borderId="108" xfId="10" applyFont="1" applyBorder="1" applyAlignment="1">
      <alignment horizontal="center" wrapText="1"/>
    </xf>
    <xf numFmtId="9" fontId="125" fillId="0" borderId="109" xfId="10" applyFont="1" applyBorder="1" applyAlignment="1">
      <alignment horizontal="center" wrapText="1"/>
    </xf>
    <xf numFmtId="171" fontId="124" fillId="0" borderId="109" xfId="0" applyNumberFormat="1" applyFont="1" applyBorder="1" applyAlignment="1">
      <alignment horizontal="center" wrapText="1"/>
    </xf>
    <xf numFmtId="171" fontId="125" fillId="0" borderId="108" xfId="0" applyNumberFormat="1" applyFont="1" applyBorder="1" applyAlignment="1">
      <alignment horizontal="center" wrapText="1"/>
    </xf>
    <xf numFmtId="9" fontId="124" fillId="0" borderId="108" xfId="10" applyNumberFormat="1" applyFont="1" applyBorder="1" applyAlignment="1">
      <alignment horizontal="center" wrapText="1"/>
    </xf>
    <xf numFmtId="9" fontId="125" fillId="0" borderId="109" xfId="10" applyNumberFormat="1" applyFont="1" applyBorder="1" applyAlignment="1">
      <alignment horizontal="center" wrapText="1"/>
    </xf>
    <xf numFmtId="0" fontId="65" fillId="12" borderId="0" xfId="0" applyFont="1" applyFill="1" applyAlignment="1">
      <alignment horizontal="left"/>
    </xf>
    <xf numFmtId="0" fontId="66" fillId="12" borderId="0" xfId="0" applyFont="1" applyFill="1" applyBorder="1" applyAlignment="1">
      <alignment horizontal="left"/>
    </xf>
    <xf numFmtId="0" fontId="73" fillId="12" borderId="226" xfId="0" applyFont="1" applyFill="1" applyBorder="1" applyAlignment="1">
      <alignment horizontal="left"/>
    </xf>
    <xf numFmtId="0" fontId="71" fillId="12" borderId="0" xfId="0" applyFont="1" applyFill="1" applyAlignment="1">
      <alignment horizontal="left"/>
    </xf>
    <xf numFmtId="0" fontId="71" fillId="12" borderId="226" xfId="0" applyFont="1" applyFill="1" applyBorder="1" applyAlignment="1">
      <alignment horizontal="left"/>
    </xf>
    <xf numFmtId="203" fontId="140" fillId="14" borderId="244" xfId="0" applyNumberFormat="1" applyFont="1" applyFill="1" applyBorder="1" applyAlignment="1" applyProtection="1">
      <alignment horizontal="right"/>
    </xf>
    <xf numFmtId="0" fontId="60" fillId="12" borderId="0" xfId="0" applyFont="1" applyFill="1" applyAlignment="1">
      <alignment horizontal="center" vertical="top"/>
    </xf>
    <xf numFmtId="0" fontId="65" fillId="0" borderId="0" xfId="14" applyFont="1" applyAlignment="1">
      <alignment horizontal="left" vertical="center"/>
    </xf>
    <xf numFmtId="0" fontId="143" fillId="0" borderId="0" xfId="14" applyFont="1" applyAlignment="1">
      <alignment horizontal="center" vertical="center" wrapText="1"/>
    </xf>
    <xf numFmtId="0" fontId="65" fillId="0" borderId="0" xfId="14" applyFont="1" applyAlignment="1">
      <alignment horizontal="center" vertical="center" wrapText="1"/>
    </xf>
    <xf numFmtId="0" fontId="44" fillId="0" borderId="276" xfId="14" applyFont="1" applyBorder="1" applyAlignment="1" applyProtection="1">
      <alignment horizontal="left" vertical="center"/>
    </xf>
    <xf numFmtId="171" fontId="65" fillId="0" borderId="276" xfId="14" applyNumberFormat="1" applyFont="1" applyBorder="1" applyAlignment="1">
      <alignment horizontal="center" vertical="center" wrapText="1"/>
    </xf>
    <xf numFmtId="0" fontId="44" fillId="0" borderId="277" xfId="14" applyFont="1" applyBorder="1" applyAlignment="1" applyProtection="1">
      <alignment horizontal="left" vertical="center"/>
    </xf>
    <xf numFmtId="4" fontId="44" fillId="0" borderId="277" xfId="14" applyNumberFormat="1" applyFont="1" applyBorder="1" applyAlignment="1" applyProtection="1">
      <alignment horizontal="center" vertical="center" wrapText="1"/>
    </xf>
    <xf numFmtId="171" fontId="65" fillId="0" borderId="277" xfId="14" applyNumberFormat="1" applyFont="1" applyBorder="1" applyAlignment="1">
      <alignment horizontal="center" vertical="center" wrapText="1"/>
    </xf>
    <xf numFmtId="0" fontId="44" fillId="0" borderId="278" xfId="14" applyFont="1" applyBorder="1" applyAlignment="1" applyProtection="1">
      <alignment horizontal="left" vertical="center"/>
    </xf>
    <xf numFmtId="0" fontId="44" fillId="0" borderId="278" xfId="14" applyFont="1" applyBorder="1" applyAlignment="1" applyProtection="1">
      <alignment horizontal="center" vertical="center" wrapText="1"/>
    </xf>
    <xf numFmtId="0" fontId="67" fillId="16" borderId="279" xfId="14" applyFont="1" applyFill="1" applyBorder="1" applyAlignment="1">
      <alignment horizontal="left" vertical="center"/>
    </xf>
    <xf numFmtId="4" fontId="67" fillId="16" borderId="279" xfId="14" applyNumberFormat="1" applyFont="1" applyFill="1" applyBorder="1" applyAlignment="1">
      <alignment horizontal="center" vertical="center" wrapText="1"/>
    </xf>
    <xf numFmtId="0" fontId="141" fillId="36" borderId="279" xfId="14" applyFont="1" applyFill="1" applyBorder="1" applyAlignment="1">
      <alignment horizontal="left" vertical="center"/>
    </xf>
    <xf numFmtId="0" fontId="71" fillId="0" borderId="0" xfId="14" applyFont="1" applyAlignment="1">
      <alignment horizontal="center" vertical="center" wrapText="1"/>
    </xf>
    <xf numFmtId="0" fontId="71" fillId="0" borderId="0" xfId="14" applyFont="1"/>
    <xf numFmtId="208" fontId="141" fillId="36" borderId="279" xfId="14" applyNumberFormat="1" applyFont="1" applyFill="1" applyBorder="1" applyAlignment="1">
      <alignment horizontal="center" vertical="center" wrapText="1"/>
    </xf>
    <xf numFmtId="0" fontId="44" fillId="0" borderId="279" xfId="14" applyFont="1" applyBorder="1" applyAlignment="1">
      <alignment horizontal="left" vertical="center"/>
    </xf>
    <xf numFmtId="17" fontId="65" fillId="0" borderId="279" xfId="14" applyNumberFormat="1" applyFont="1" applyBorder="1" applyAlignment="1">
      <alignment horizontal="center" vertical="center" wrapText="1"/>
    </xf>
    <xf numFmtId="0" fontId="65" fillId="0" borderId="0" xfId="14" applyFont="1"/>
    <xf numFmtId="173" fontId="65" fillId="0" borderId="279" xfId="14" applyNumberFormat="1" applyFont="1" applyBorder="1" applyAlignment="1">
      <alignment horizontal="center" vertical="center" wrapText="1"/>
    </xf>
    <xf numFmtId="173" fontId="65" fillId="0" borderId="279" xfId="14" applyNumberFormat="1" applyFont="1" applyFill="1" applyBorder="1" applyAlignment="1">
      <alignment horizontal="center" vertical="center" wrapText="1"/>
    </xf>
    <xf numFmtId="3" fontId="65" fillId="0" borderId="279" xfId="14" applyNumberFormat="1" applyFont="1" applyFill="1" applyBorder="1" applyAlignment="1">
      <alignment horizontal="center" vertical="center" wrapText="1"/>
    </xf>
    <xf numFmtId="169" fontId="65" fillId="0" borderId="279" xfId="13" applyNumberFormat="1" applyFont="1" applyFill="1" applyBorder="1" applyAlignment="1">
      <alignment horizontal="center" vertical="center" wrapText="1"/>
    </xf>
    <xf numFmtId="204" fontId="65" fillId="0" borderId="279" xfId="14" applyNumberFormat="1" applyFont="1" applyFill="1" applyBorder="1" applyAlignment="1">
      <alignment horizontal="center" vertical="center" wrapText="1"/>
    </xf>
    <xf numFmtId="169" fontId="65" fillId="0" borderId="0" xfId="13" applyNumberFormat="1" applyFont="1" applyAlignment="1">
      <alignment horizontal="center" vertical="center" wrapText="1"/>
    </xf>
    <xf numFmtId="203" fontId="140" fillId="14" borderId="244" xfId="0" applyNumberFormat="1" applyFont="1" applyFill="1" applyBorder="1" applyAlignment="1" applyProtection="1">
      <alignment horizontal="center" vertical="top"/>
    </xf>
    <xf numFmtId="3" fontId="141" fillId="16" borderId="279" xfId="14" applyNumberFormat="1" applyFont="1" applyFill="1" applyBorder="1" applyAlignment="1">
      <alignment horizontal="center" vertical="center" wrapText="1"/>
    </xf>
    <xf numFmtId="208" fontId="141" fillId="12" borderId="279" xfId="14" applyNumberFormat="1" applyFont="1" applyFill="1" applyBorder="1" applyAlignment="1">
      <alignment horizontal="center" vertical="center" wrapText="1"/>
    </xf>
    <xf numFmtId="0" fontId="141" fillId="14" borderId="279" xfId="14" applyFont="1" applyFill="1" applyBorder="1" applyAlignment="1">
      <alignment horizontal="left" vertical="center"/>
    </xf>
    <xf numFmtId="3" fontId="92" fillId="0" borderId="0" xfId="0" applyNumberFormat="1" applyFont="1" applyAlignment="1">
      <alignment horizontal="center"/>
    </xf>
    <xf numFmtId="3" fontId="92" fillId="0" borderId="0" xfId="0" applyNumberFormat="1" applyFont="1" applyAlignment="1">
      <alignment horizontal="right"/>
    </xf>
    <xf numFmtId="0" fontId="92" fillId="0" borderId="0" xfId="0" applyFont="1" applyAlignment="1">
      <alignment horizontal="right"/>
    </xf>
    <xf numFmtId="9" fontId="92" fillId="0" borderId="0" xfId="0" applyNumberFormat="1" applyFont="1" applyAlignment="1">
      <alignment horizontal="center"/>
    </xf>
    <xf numFmtId="204" fontId="92" fillId="0" borderId="0" xfId="0" applyNumberFormat="1" applyFont="1" applyAlignment="1">
      <alignment horizontal="right"/>
    </xf>
    <xf numFmtId="169" fontId="92" fillId="0" borderId="0" xfId="10" applyNumberFormat="1" applyFont="1" applyAlignment="1">
      <alignment horizontal="right"/>
    </xf>
    <xf numFmtId="209" fontId="92" fillId="0" borderId="0" xfId="0" applyNumberFormat="1" applyFont="1" applyAlignment="1">
      <alignment horizontal="right"/>
    </xf>
    <xf numFmtId="169" fontId="111" fillId="0" borderId="0" xfId="10" applyNumberFormat="1" applyFont="1" applyBorder="1" applyAlignment="1">
      <alignment horizontal="center"/>
    </xf>
    <xf numFmtId="202" fontId="140" fillId="23" borderId="108" xfId="0" applyNumberFormat="1" applyFont="1" applyFill="1" applyBorder="1" applyAlignment="1" applyProtection="1">
      <alignment horizontal="center"/>
    </xf>
    <xf numFmtId="178" fontId="111" fillId="0" borderId="244" xfId="0" applyNumberFormat="1" applyFont="1" applyBorder="1" applyAlignment="1">
      <alignment horizontal="center"/>
    </xf>
    <xf numFmtId="178" fontId="112" fillId="16" borderId="244" xfId="0" applyNumberFormat="1" applyFont="1" applyFill="1" applyBorder="1" applyAlignment="1">
      <alignment horizontal="center"/>
    </xf>
    <xf numFmtId="10" fontId="140" fillId="14" borderId="245" xfId="10" applyNumberFormat="1" applyFont="1" applyFill="1" applyBorder="1" applyAlignment="1">
      <alignment horizontal="center"/>
    </xf>
    <xf numFmtId="9" fontId="140" fillId="14" borderId="245" xfId="10" applyFont="1" applyFill="1" applyBorder="1" applyAlignment="1">
      <alignment horizontal="center"/>
    </xf>
    <xf numFmtId="169" fontId="111" fillId="0" borderId="244" xfId="10" applyNumberFormat="1" applyFont="1" applyBorder="1" applyAlignment="1">
      <alignment horizontal="center"/>
    </xf>
    <xf numFmtId="202" fontId="140" fillId="23" borderId="244" xfId="0" applyNumberFormat="1" applyFont="1" applyFill="1" applyBorder="1" applyAlignment="1" applyProtection="1">
      <alignment horizontal="center"/>
    </xf>
    <xf numFmtId="202" fontId="140" fillId="23" borderId="260" xfId="0" applyNumberFormat="1" applyFont="1" applyFill="1" applyBorder="1" applyAlignment="1" applyProtection="1">
      <alignment horizontal="center"/>
    </xf>
    <xf numFmtId="205" fontId="111" fillId="0" borderId="244" xfId="0" applyNumberFormat="1" applyFont="1" applyBorder="1" applyAlignment="1">
      <alignment horizontal="center"/>
    </xf>
    <xf numFmtId="205" fontId="111" fillId="0" borderId="260" xfId="0" applyNumberFormat="1" applyFont="1" applyBorder="1" applyAlignment="1">
      <alignment horizontal="center"/>
    </xf>
    <xf numFmtId="0" fontId="112" fillId="16" borderId="244" xfId="0" applyFont="1" applyFill="1" applyBorder="1" applyAlignment="1">
      <alignment horizontal="center"/>
    </xf>
    <xf numFmtId="3" fontId="111" fillId="0" borderId="244" xfId="0" applyNumberFormat="1" applyFont="1" applyBorder="1" applyAlignment="1">
      <alignment horizontal="center"/>
    </xf>
    <xf numFmtId="0" fontId="111" fillId="0" borderId="244" xfId="0" applyFont="1" applyBorder="1" applyAlignment="1">
      <alignment horizontal="center"/>
    </xf>
    <xf numFmtId="3" fontId="112" fillId="16" borderId="244" xfId="0" applyNumberFormat="1" applyFont="1" applyFill="1" applyBorder="1" applyAlignment="1">
      <alignment horizontal="center"/>
    </xf>
    <xf numFmtId="178" fontId="109" fillId="0" borderId="244" xfId="0" applyNumberFormat="1" applyFont="1" applyFill="1" applyBorder="1" applyAlignment="1" applyProtection="1">
      <alignment horizontal="center"/>
    </xf>
    <xf numFmtId="178" fontId="109" fillId="0" borderId="260" xfId="0" applyNumberFormat="1" applyFont="1" applyFill="1" applyBorder="1" applyAlignment="1" applyProtection="1">
      <alignment horizontal="center"/>
    </xf>
    <xf numFmtId="169" fontId="109" fillId="0" borderId="244" xfId="10" applyNumberFormat="1" applyFont="1" applyFill="1" applyBorder="1" applyAlignment="1" applyProtection="1">
      <alignment horizontal="center"/>
    </xf>
    <xf numFmtId="0" fontId="44" fillId="0" borderId="0" xfId="0" applyFont="1" applyAlignment="1">
      <alignment horizontal="center"/>
    </xf>
    <xf numFmtId="202" fontId="162" fillId="23" borderId="108" xfId="0" applyNumberFormat="1" applyFont="1" applyFill="1" applyBorder="1" applyAlignment="1" applyProtection="1">
      <alignment horizontal="center"/>
    </xf>
    <xf numFmtId="0" fontId="163" fillId="16" borderId="0" xfId="0" applyFont="1" applyFill="1" applyAlignment="1">
      <alignment horizontal="center"/>
    </xf>
    <xf numFmtId="169" fontId="161" fillId="19" borderId="247" xfId="10" applyNumberFormat="1" applyFont="1" applyFill="1" applyBorder="1" applyAlignment="1">
      <alignment horizontal="center"/>
    </xf>
    <xf numFmtId="169" fontId="161" fillId="19" borderId="0" xfId="10" applyNumberFormat="1" applyFont="1" applyFill="1" applyBorder="1" applyAlignment="1">
      <alignment horizontal="center"/>
    </xf>
    <xf numFmtId="169" fontId="161" fillId="0" borderId="280" xfId="10" applyNumberFormat="1" applyFont="1" applyBorder="1" applyAlignment="1">
      <alignment horizontal="center"/>
    </xf>
    <xf numFmtId="169" fontId="161" fillId="19" borderId="252" xfId="10" applyNumberFormat="1" applyFont="1" applyFill="1" applyBorder="1" applyAlignment="1">
      <alignment horizontal="center"/>
    </xf>
    <xf numFmtId="169" fontId="161" fillId="0" borderId="282" xfId="10" applyNumberFormat="1" applyFont="1" applyBorder="1" applyAlignment="1">
      <alignment horizontal="center"/>
    </xf>
    <xf numFmtId="0" fontId="44" fillId="0" borderId="244" xfId="0" applyFont="1" applyBorder="1" applyAlignment="1" applyProtection="1"/>
    <xf numFmtId="198" fontId="113" fillId="23" borderId="244" xfId="0" applyNumberFormat="1" applyFont="1" applyFill="1" applyBorder="1" applyAlignment="1" applyProtection="1">
      <alignment horizontal="center"/>
      <protection locked="0"/>
    </xf>
    <xf numFmtId="203" fontId="113" fillId="14" borderId="244" xfId="0" applyNumberFormat="1" applyFont="1" applyFill="1" applyBorder="1" applyAlignment="1" applyProtection="1">
      <alignment horizontal="center"/>
    </xf>
    <xf numFmtId="0" fontId="91" fillId="30" borderId="244" xfId="0" applyFont="1" applyFill="1" applyBorder="1" applyAlignment="1" applyProtection="1"/>
    <xf numFmtId="169" fontId="91" fillId="30" borderId="244" xfId="10" applyNumberFormat="1" applyFont="1" applyFill="1" applyBorder="1" applyAlignment="1" applyProtection="1"/>
    <xf numFmtId="169" fontId="44" fillId="29" borderId="244" xfId="10" applyNumberFormat="1" applyFont="1" applyFill="1" applyBorder="1" applyAlignment="1" applyProtection="1"/>
    <xf numFmtId="10" fontId="91" fillId="30" borderId="244" xfId="10" applyNumberFormat="1" applyFont="1" applyFill="1" applyBorder="1" applyAlignment="1" applyProtection="1"/>
    <xf numFmtId="4" fontId="91" fillId="30" borderId="244" xfId="2" applyNumberFormat="1" applyFont="1" applyFill="1" applyBorder="1" applyAlignment="1" applyProtection="1"/>
    <xf numFmtId="4" fontId="44" fillId="29" borderId="244" xfId="2" applyNumberFormat="1" applyFont="1" applyFill="1" applyBorder="1" applyAlignment="1" applyProtection="1"/>
    <xf numFmtId="169" fontId="91" fillId="30" borderId="244" xfId="10" applyNumberFormat="1" applyFont="1" applyFill="1" applyBorder="1" applyAlignment="1" applyProtection="1">
      <alignment horizontal="right"/>
    </xf>
    <xf numFmtId="169" fontId="44" fillId="0" borderId="0" xfId="10" applyNumberFormat="1" applyFont="1" applyFill="1" applyBorder="1" applyAlignment="1" applyProtection="1"/>
    <xf numFmtId="0" fontId="93" fillId="0" borderId="244" xfId="0" applyFont="1" applyFill="1" applyBorder="1" applyAlignment="1" applyProtection="1"/>
    <xf numFmtId="10" fontId="44" fillId="0" borderId="0" xfId="10" applyNumberFormat="1" applyFont="1" applyFill="1" applyBorder="1" applyAlignment="1" applyProtection="1"/>
    <xf numFmtId="169" fontId="93" fillId="0" borderId="0" xfId="10" applyNumberFormat="1" applyFont="1" applyFill="1" applyBorder="1" applyAlignment="1" applyProtection="1"/>
    <xf numFmtId="0" fontId="93" fillId="0" borderId="0" xfId="0" applyFont="1" applyFill="1" applyBorder="1" applyAlignment="1" applyProtection="1"/>
    <xf numFmtId="0" fontId="44" fillId="0" borderId="0" xfId="0" applyFont="1" applyFill="1" applyBorder="1" applyProtection="1"/>
    <xf numFmtId="3" fontId="44" fillId="7" borderId="244" xfId="0" applyNumberFormat="1" applyFont="1" applyFill="1" applyBorder="1" applyAlignment="1" applyProtection="1">
      <alignment vertical="top"/>
    </xf>
    <xf numFmtId="3" fontId="44" fillId="29" borderId="244" xfId="0" applyNumberFormat="1" applyFont="1" applyFill="1" applyBorder="1" applyAlignment="1" applyProtection="1">
      <alignment vertical="top"/>
    </xf>
    <xf numFmtId="169" fontId="44" fillId="7" borderId="244" xfId="10" applyNumberFormat="1" applyFont="1" applyFill="1" applyBorder="1" applyAlignment="1" applyProtection="1"/>
    <xf numFmtId="169" fontId="44" fillId="7" borderId="0" xfId="10" applyNumberFormat="1" applyFont="1" applyFill="1" applyBorder="1" applyAlignment="1" applyProtection="1"/>
    <xf numFmtId="0" fontId="38" fillId="19" borderId="0" xfId="0" applyFont="1" applyFill="1" applyBorder="1" applyAlignment="1" applyProtection="1"/>
    <xf numFmtId="3" fontId="44" fillId="10" borderId="0" xfId="0" applyNumberFormat="1" applyFont="1" applyFill="1" applyBorder="1" applyAlignment="1" applyProtection="1">
      <alignment vertical="top"/>
      <protection locked="0"/>
    </xf>
    <xf numFmtId="0" fontId="38" fillId="8" borderId="0" xfId="0" applyFont="1" applyFill="1" applyBorder="1" applyAlignment="1" applyProtection="1"/>
    <xf numFmtId="169" fontId="44" fillId="8" borderId="0" xfId="10" applyNumberFormat="1" applyFont="1" applyFill="1" applyBorder="1" applyAlignment="1" applyProtection="1"/>
    <xf numFmtId="0" fontId="44" fillId="8" borderId="0" xfId="0" applyFont="1" applyFill="1" applyBorder="1" applyProtection="1"/>
    <xf numFmtId="3" fontId="44" fillId="0" borderId="0" xfId="0" applyNumberFormat="1" applyFont="1" applyFill="1" applyBorder="1" applyAlignment="1" applyProtection="1"/>
    <xf numFmtId="0" fontId="44" fillId="0" borderId="0" xfId="0" applyFont="1" applyFill="1" applyBorder="1" applyAlignment="1" applyProtection="1"/>
    <xf numFmtId="3" fontId="44" fillId="0" borderId="0" xfId="0" applyNumberFormat="1" applyFont="1" applyBorder="1" applyAlignment="1" applyProtection="1">
      <alignment vertical="top"/>
    </xf>
    <xf numFmtId="0" fontId="38" fillId="0" borderId="0" xfId="0" applyFont="1" applyFill="1" applyBorder="1" applyProtection="1"/>
    <xf numFmtId="0" fontId="44" fillId="7" borderId="0" xfId="0" applyFont="1" applyFill="1" applyBorder="1" applyProtection="1"/>
    <xf numFmtId="3" fontId="44" fillId="7" borderId="244" xfId="0" applyNumberFormat="1" applyFont="1" applyFill="1" applyBorder="1" applyProtection="1"/>
    <xf numFmtId="3" fontId="44" fillId="7" borderId="0" xfId="0" applyNumberFormat="1" applyFont="1" applyFill="1" applyBorder="1" applyAlignment="1" applyProtection="1">
      <alignment vertical="top"/>
    </xf>
    <xf numFmtId="3" fontId="44" fillId="10" borderId="244" xfId="0" applyNumberFormat="1" applyFont="1" applyFill="1" applyBorder="1" applyAlignment="1" applyProtection="1">
      <alignment vertical="top"/>
      <protection locked="0"/>
    </xf>
    <xf numFmtId="3" fontId="44" fillId="0" borderId="0" xfId="0" applyNumberFormat="1" applyFont="1" applyFill="1" applyBorder="1" applyAlignment="1" applyProtection="1">
      <alignment vertical="top"/>
    </xf>
    <xf numFmtId="0" fontId="44" fillId="10" borderId="244" xfId="0" applyFont="1" applyFill="1" applyBorder="1" applyProtection="1">
      <protection locked="0"/>
    </xf>
    <xf numFmtId="0" fontId="38" fillId="0" borderId="0" xfId="0" applyFont="1" applyFill="1" applyBorder="1" applyAlignment="1" applyProtection="1"/>
    <xf numFmtId="3" fontId="44" fillId="7" borderId="0" xfId="0" applyNumberFormat="1" applyFont="1" applyFill="1" applyBorder="1" applyProtection="1"/>
    <xf numFmtId="0" fontId="44" fillId="0" borderId="244" xfId="0" applyFont="1" applyBorder="1" applyAlignment="1" applyProtection="1">
      <alignment horizontal="justify" vertical="top"/>
    </xf>
    <xf numFmtId="3" fontId="115" fillId="10" borderId="244" xfId="0" applyNumberFormat="1" applyFont="1" applyFill="1" applyBorder="1" applyAlignment="1" applyProtection="1">
      <alignment vertical="top"/>
      <protection locked="0"/>
    </xf>
    <xf numFmtId="3" fontId="44" fillId="0" borderId="0" xfId="0" applyNumberFormat="1" applyFont="1" applyFill="1" applyBorder="1" applyProtection="1"/>
    <xf numFmtId="0" fontId="44" fillId="0" borderId="244" xfId="0" applyFont="1" applyBorder="1" applyAlignment="1" applyProtection="1">
      <alignment horizontal="left" vertical="top" indent="1"/>
    </xf>
    <xf numFmtId="169" fontId="143" fillId="19" borderId="244" xfId="10" applyNumberFormat="1" applyFont="1" applyFill="1" applyBorder="1" applyAlignment="1" applyProtection="1"/>
    <xf numFmtId="0" fontId="44" fillId="0" borderId="0" xfId="0" applyFont="1" applyBorder="1" applyAlignment="1" applyProtection="1">
      <alignment horizontal="justify" vertical="top"/>
    </xf>
    <xf numFmtId="0" fontId="44" fillId="0" borderId="244" xfId="0" quotePrefix="1" applyFont="1" applyBorder="1" applyAlignment="1" applyProtection="1">
      <alignment horizontal="justify" vertical="top"/>
    </xf>
    <xf numFmtId="3" fontId="143" fillId="19" borderId="244" xfId="0" applyNumberFormat="1" applyFont="1" applyFill="1" applyBorder="1" applyAlignment="1" applyProtection="1">
      <alignment vertical="top"/>
      <protection locked="0"/>
    </xf>
    <xf numFmtId="3" fontId="143" fillId="19" borderId="244" xfId="0" applyNumberFormat="1" applyFont="1" applyFill="1" applyBorder="1" applyProtection="1"/>
    <xf numFmtId="0" fontId="44" fillId="0" borderId="244" xfId="0" applyFont="1" applyFill="1" applyBorder="1" applyAlignment="1" applyProtection="1">
      <alignment horizontal="left" vertical="top" indent="1"/>
    </xf>
    <xf numFmtId="169" fontId="44" fillId="7" borderId="244" xfId="10" applyNumberFormat="1" applyFont="1" applyFill="1" applyBorder="1" applyProtection="1"/>
    <xf numFmtId="0" fontId="44" fillId="0" borderId="0" xfId="0" quotePrefix="1" applyFont="1" applyBorder="1" applyAlignment="1" applyProtection="1">
      <alignment horizontal="justify" vertical="top"/>
    </xf>
    <xf numFmtId="169" fontId="38" fillId="5" borderId="244" xfId="0" applyNumberFormat="1" applyFont="1" applyFill="1" applyBorder="1" applyAlignment="1" applyProtection="1">
      <alignment horizontal="left"/>
    </xf>
    <xf numFmtId="194" fontId="38" fillId="5" borderId="244" xfId="0" applyNumberFormat="1" applyFont="1" applyFill="1" applyBorder="1" applyAlignment="1" applyProtection="1">
      <alignment horizontal="right" vertical="top"/>
    </xf>
    <xf numFmtId="3" fontId="38" fillId="5" borderId="244" xfId="0" applyNumberFormat="1" applyFont="1" applyFill="1" applyBorder="1" applyAlignment="1" applyProtection="1">
      <alignment horizontal="right" vertical="top"/>
    </xf>
    <xf numFmtId="169" fontId="38" fillId="0" borderId="0" xfId="0" applyNumberFormat="1" applyFont="1" applyFill="1" applyBorder="1" applyAlignment="1" applyProtection="1">
      <alignment horizontal="left"/>
    </xf>
    <xf numFmtId="3" fontId="38" fillId="0" borderId="0" xfId="0" applyNumberFormat="1" applyFont="1" applyFill="1" applyBorder="1" applyAlignment="1" applyProtection="1">
      <alignment horizontal="right" vertical="top"/>
    </xf>
    <xf numFmtId="169" fontId="143" fillId="19" borderId="244" xfId="10" applyNumberFormat="1" applyFont="1" applyFill="1" applyBorder="1" applyProtection="1"/>
    <xf numFmtId="194" fontId="44" fillId="0" borderId="0" xfId="0" applyNumberFormat="1" applyFont="1" applyFill="1" applyBorder="1" applyProtection="1"/>
    <xf numFmtId="0" fontId="44" fillId="0" borderId="244" xfId="0" quotePrefix="1" applyFont="1" applyFill="1" applyBorder="1" applyAlignment="1" applyProtection="1">
      <alignment horizontal="left" vertical="top" indent="1"/>
    </xf>
    <xf numFmtId="3" fontId="44" fillId="10" borderId="244" xfId="0" applyNumberFormat="1" applyFont="1" applyFill="1" applyBorder="1" applyProtection="1">
      <protection locked="0"/>
    </xf>
    <xf numFmtId="0" fontId="44" fillId="0" borderId="244" xfId="0" quotePrefix="1" applyFont="1" applyBorder="1" applyAlignment="1" applyProtection="1">
      <alignment horizontal="left" vertical="top" indent="1"/>
    </xf>
    <xf numFmtId="10" fontId="44" fillId="7" borderId="244" xfId="10" applyNumberFormat="1" applyFont="1" applyFill="1" applyBorder="1" applyProtection="1"/>
    <xf numFmtId="0" fontId="44" fillId="0" borderId="0" xfId="0" quotePrefix="1" applyFont="1" applyBorder="1" applyAlignment="1" applyProtection="1">
      <alignment horizontal="left" vertical="top" indent="1"/>
    </xf>
    <xf numFmtId="0" fontId="44" fillId="0" borderId="244" xfId="0" quotePrefix="1" applyFont="1" applyFill="1" applyBorder="1" applyAlignment="1" applyProtection="1">
      <alignment horizontal="justify" vertical="top"/>
    </xf>
    <xf numFmtId="169" fontId="38" fillId="5" borderId="244" xfId="10" applyNumberFormat="1" applyFont="1" applyFill="1" applyBorder="1" applyAlignment="1" applyProtection="1">
      <alignment horizontal="right" vertical="top"/>
    </xf>
    <xf numFmtId="194" fontId="44" fillId="0" borderId="0" xfId="0" applyNumberFormat="1" applyFont="1" applyBorder="1" applyAlignment="1" applyProtection="1">
      <alignment vertical="top"/>
    </xf>
    <xf numFmtId="10" fontId="44" fillId="0" borderId="0" xfId="10" applyNumberFormat="1" applyFont="1" applyFill="1" applyBorder="1" applyProtection="1"/>
    <xf numFmtId="0" fontId="38" fillId="0" borderId="244" xfId="0" quotePrefix="1" applyFont="1" applyBorder="1" applyAlignment="1" applyProtection="1">
      <alignment horizontal="justify" vertical="top"/>
    </xf>
    <xf numFmtId="3" fontId="38" fillId="7" borderId="244" xfId="0" applyNumberFormat="1" applyFont="1" applyFill="1" applyBorder="1" applyAlignment="1" applyProtection="1">
      <alignment vertical="top"/>
    </xf>
    <xf numFmtId="0" fontId="38" fillId="0" borderId="0" xfId="0" quotePrefix="1" applyFont="1" applyBorder="1" applyAlignment="1" applyProtection="1">
      <alignment horizontal="justify" vertical="top"/>
    </xf>
    <xf numFmtId="3" fontId="38" fillId="0" borderId="0" xfId="0" applyNumberFormat="1" applyFont="1" applyBorder="1" applyAlignment="1" applyProtection="1">
      <alignment vertical="top"/>
    </xf>
    <xf numFmtId="3" fontId="44" fillId="7" borderId="0" xfId="0" applyNumberFormat="1" applyFont="1" applyFill="1" applyBorder="1" applyAlignment="1" applyProtection="1">
      <alignment horizontal="right" vertical="top"/>
      <protection locked="0"/>
    </xf>
    <xf numFmtId="3" fontId="44" fillId="7" borderId="0" xfId="0" applyNumberFormat="1" applyFont="1" applyFill="1" applyBorder="1" applyAlignment="1" applyProtection="1">
      <alignment horizontal="right" vertical="top"/>
    </xf>
    <xf numFmtId="0" fontId="44" fillId="0" borderId="0" xfId="0" applyFont="1" applyFill="1" applyBorder="1" applyAlignment="1" applyProtection="1">
      <alignment horizontal="left" vertical="top" indent="1"/>
    </xf>
    <xf numFmtId="0" fontId="44" fillId="0" borderId="0" xfId="0" applyFont="1" applyBorder="1" applyAlignment="1" applyProtection="1">
      <alignment horizontal="left" vertical="top" indent="1"/>
    </xf>
    <xf numFmtId="0" fontId="38" fillId="0" borderId="0" xfId="0" applyFont="1" applyBorder="1" applyAlignment="1" applyProtection="1">
      <alignment horizontal="justify" vertical="top"/>
    </xf>
    <xf numFmtId="3" fontId="164" fillId="0" borderId="0" xfId="0" applyNumberFormat="1" applyFont="1" applyBorder="1" applyAlignment="1" applyProtection="1">
      <alignment vertical="top"/>
    </xf>
    <xf numFmtId="3" fontId="123" fillId="0" borderId="0" xfId="0" applyNumberFormat="1" applyFont="1" applyFill="1" applyBorder="1" applyProtection="1"/>
    <xf numFmtId="3" fontId="143" fillId="19" borderId="244" xfId="0" applyNumberFormat="1" applyFont="1" applyFill="1" applyBorder="1" applyAlignment="1" applyProtection="1">
      <alignment vertical="top"/>
    </xf>
    <xf numFmtId="0" fontId="44" fillId="0" borderId="244" xfId="0" applyFont="1" applyBorder="1" applyAlignment="1" applyProtection="1">
      <alignment horizontal="left" vertical="top" indent="2"/>
    </xf>
    <xf numFmtId="200" fontId="44" fillId="0" borderId="0" xfId="0" applyNumberFormat="1" applyFont="1" applyFill="1" applyBorder="1" applyProtection="1"/>
    <xf numFmtId="195" fontId="44" fillId="0" borderId="0" xfId="0" applyNumberFormat="1" applyFont="1" applyFill="1" applyBorder="1" applyProtection="1"/>
    <xf numFmtId="0" fontId="38" fillId="6" borderId="244" xfId="0" applyFont="1" applyFill="1" applyBorder="1" applyAlignment="1" applyProtection="1"/>
    <xf numFmtId="194" fontId="38" fillId="6" borderId="244" xfId="0" applyNumberFormat="1" applyFont="1" applyFill="1" applyBorder="1" applyAlignment="1" applyProtection="1"/>
    <xf numFmtId="3" fontId="38" fillId="6" borderId="244" xfId="0" applyNumberFormat="1" applyFont="1" applyFill="1" applyBorder="1" applyAlignment="1" applyProtection="1"/>
    <xf numFmtId="194" fontId="44" fillId="0" borderId="0" xfId="0" applyNumberFormat="1" applyFont="1" applyFill="1" applyBorder="1" applyAlignment="1" applyProtection="1"/>
    <xf numFmtId="3" fontId="44" fillId="7" borderId="244" xfId="0" applyNumberFormat="1" applyFont="1" applyFill="1" applyBorder="1" applyAlignment="1" applyProtection="1"/>
    <xf numFmtId="3" fontId="44" fillId="0" borderId="0" xfId="0" applyNumberFormat="1" applyFont="1" applyBorder="1" applyAlignment="1" applyProtection="1">
      <protection locked="0"/>
    </xf>
    <xf numFmtId="3" fontId="143" fillId="19" borderId="244" xfId="0" applyNumberFormat="1" applyFont="1" applyFill="1" applyBorder="1" applyAlignment="1" applyProtection="1"/>
    <xf numFmtId="0" fontId="44" fillId="0" borderId="244" xfId="0" applyFont="1" applyFill="1" applyBorder="1" applyAlignment="1" applyProtection="1">
      <alignment horizontal="justify" vertical="top"/>
    </xf>
    <xf numFmtId="0" fontId="38" fillId="0" borderId="244" xfId="0" applyFont="1" applyBorder="1" applyAlignment="1" applyProtection="1">
      <alignment horizontal="justify" vertical="top"/>
    </xf>
    <xf numFmtId="3" fontId="44" fillId="0" borderId="0" xfId="0" applyNumberFormat="1" applyFont="1" applyBorder="1" applyAlignment="1" applyProtection="1"/>
    <xf numFmtId="169" fontId="38" fillId="5" borderId="244" xfId="0" applyNumberFormat="1" applyFont="1" applyFill="1" applyBorder="1" applyAlignment="1" applyProtection="1">
      <alignment horizontal="center"/>
    </xf>
    <xf numFmtId="3" fontId="38" fillId="5" borderId="244" xfId="0" applyNumberFormat="1" applyFont="1" applyFill="1" applyBorder="1" applyAlignment="1" applyProtection="1"/>
    <xf numFmtId="194" fontId="44" fillId="0" borderId="0" xfId="0" applyNumberFormat="1" applyFont="1" applyBorder="1" applyAlignment="1" applyProtection="1"/>
    <xf numFmtId="201" fontId="44" fillId="0" borderId="0" xfId="0" applyNumberFormat="1" applyFont="1" applyBorder="1" applyAlignment="1" applyProtection="1"/>
    <xf numFmtId="3" fontId="44" fillId="10" borderId="244" xfId="0" applyNumberFormat="1" applyFont="1" applyFill="1" applyBorder="1" applyAlignment="1" applyProtection="1">
      <protection locked="0"/>
    </xf>
    <xf numFmtId="169" fontId="38" fillId="0" borderId="0" xfId="0" applyNumberFormat="1" applyFont="1" applyFill="1" applyBorder="1" applyAlignment="1" applyProtection="1">
      <alignment horizontal="center"/>
    </xf>
    <xf numFmtId="3" fontId="38" fillId="0" borderId="0" xfId="0" applyNumberFormat="1" applyFont="1" applyFill="1" applyBorder="1" applyAlignment="1" applyProtection="1"/>
    <xf numFmtId="3" fontId="123" fillId="0" borderId="0" xfId="0" applyNumberFormat="1" applyFont="1" applyFill="1" applyBorder="1" applyAlignment="1" applyProtection="1"/>
    <xf numFmtId="3" fontId="44" fillId="7" borderId="244" xfId="0" quotePrefix="1" applyNumberFormat="1" applyFont="1" applyFill="1" applyBorder="1" applyAlignment="1" applyProtection="1">
      <alignment vertical="top"/>
    </xf>
    <xf numFmtId="194" fontId="44" fillId="0" borderId="0" xfId="0" applyNumberFormat="1" applyFont="1" applyFill="1" applyBorder="1" applyAlignment="1" applyProtection="1">
      <alignment vertical="top"/>
    </xf>
    <xf numFmtId="169" fontId="38" fillId="5" borderId="244" xfId="0" applyNumberFormat="1" applyFont="1" applyFill="1" applyBorder="1" applyAlignment="1" applyProtection="1"/>
    <xf numFmtId="194" fontId="38" fillId="5" borderId="244" xfId="0" applyNumberFormat="1" applyFont="1" applyFill="1" applyBorder="1" applyAlignment="1" applyProtection="1"/>
    <xf numFmtId="169" fontId="38" fillId="8" borderId="0" xfId="10" applyNumberFormat="1" applyFont="1" applyFill="1" applyBorder="1" applyAlignment="1" applyProtection="1"/>
    <xf numFmtId="169" fontId="38" fillId="8" borderId="0" xfId="10" applyNumberFormat="1" applyFont="1" applyFill="1" applyBorder="1" applyAlignment="1" applyProtection="1">
      <alignment horizontal="center"/>
    </xf>
    <xf numFmtId="0" fontId="43" fillId="8" borderId="0" xfId="0" applyFont="1" applyFill="1" applyBorder="1" applyAlignment="1" applyProtection="1">
      <alignment horizontal="center"/>
    </xf>
    <xf numFmtId="0" fontId="44" fillId="0" borderId="244" xfId="0" applyFont="1" applyBorder="1" applyProtection="1"/>
    <xf numFmtId="0" fontId="44" fillId="0" borderId="244" xfId="0" applyFont="1" applyFill="1" applyBorder="1" applyProtection="1"/>
    <xf numFmtId="3" fontId="44" fillId="0" borderId="244" xfId="0" applyNumberFormat="1" applyFont="1" applyFill="1" applyBorder="1" applyAlignment="1" applyProtection="1"/>
    <xf numFmtId="0" fontId="44" fillId="19" borderId="244" xfId="0" applyFont="1" applyFill="1" applyBorder="1" applyProtection="1"/>
    <xf numFmtId="10" fontId="44" fillId="7" borderId="244" xfId="10" applyNumberFormat="1" applyFont="1" applyFill="1" applyBorder="1" applyAlignment="1" applyProtection="1"/>
    <xf numFmtId="0" fontId="44" fillId="19" borderId="0" xfId="0" applyFont="1" applyFill="1" applyBorder="1" applyProtection="1"/>
    <xf numFmtId="169" fontId="44" fillId="10" borderId="244" xfId="10" applyNumberFormat="1" applyFont="1" applyFill="1" applyBorder="1" applyProtection="1">
      <protection locked="0"/>
    </xf>
    <xf numFmtId="169" fontId="44" fillId="0" borderId="0" xfId="10" applyNumberFormat="1" applyFont="1" applyFill="1" applyBorder="1" applyProtection="1"/>
    <xf numFmtId="169" fontId="44" fillId="0" borderId="0" xfId="10" applyNumberFormat="1" applyFont="1" applyBorder="1" applyProtection="1"/>
    <xf numFmtId="169" fontId="38" fillId="5" borderId="0" xfId="0" applyNumberFormat="1" applyFont="1" applyFill="1" applyBorder="1" applyAlignment="1" applyProtection="1"/>
    <xf numFmtId="0" fontId="38" fillId="0" borderId="244" xfId="0" applyFont="1" applyBorder="1" applyProtection="1"/>
    <xf numFmtId="3" fontId="38" fillId="7" borderId="244" xfId="0" applyNumberFormat="1" applyFont="1" applyFill="1" applyBorder="1" applyAlignment="1" applyProtection="1"/>
    <xf numFmtId="169" fontId="44" fillId="0" borderId="244" xfId="0" applyNumberFormat="1" applyFont="1" applyFill="1" applyBorder="1" applyAlignment="1" applyProtection="1"/>
    <xf numFmtId="9" fontId="44" fillId="7" borderId="244" xfId="10" applyFont="1" applyFill="1" applyBorder="1" applyAlignment="1" applyProtection="1">
      <alignment vertical="top"/>
    </xf>
    <xf numFmtId="169" fontId="44" fillId="0" borderId="0" xfId="0" applyNumberFormat="1" applyFont="1" applyFill="1" applyBorder="1" applyAlignment="1" applyProtection="1"/>
    <xf numFmtId="0" fontId="44" fillId="0" borderId="244" xfId="0" applyFont="1" applyBorder="1" applyAlignment="1" applyProtection="1">
      <alignment horizontal="left" indent="1"/>
    </xf>
    <xf numFmtId="3" fontId="38" fillId="7" borderId="0" xfId="0" applyNumberFormat="1" applyFont="1" applyFill="1" applyBorder="1" applyAlignment="1" applyProtection="1"/>
    <xf numFmtId="169" fontId="38" fillId="0" borderId="0" xfId="0" applyNumberFormat="1" applyFont="1" applyFill="1" applyBorder="1" applyAlignment="1" applyProtection="1"/>
    <xf numFmtId="3" fontId="44" fillId="0" borderId="244" xfId="0" applyNumberFormat="1" applyFont="1" applyBorder="1" applyProtection="1"/>
    <xf numFmtId="0" fontId="123" fillId="0" borderId="0" xfId="0" applyFont="1" applyBorder="1" applyProtection="1"/>
    <xf numFmtId="3" fontId="38" fillId="10" borderId="0" xfId="0" applyNumberFormat="1" applyFont="1" applyFill="1" applyBorder="1" applyAlignment="1" applyProtection="1">
      <alignment horizontal="center"/>
    </xf>
    <xf numFmtId="0" fontId="38" fillId="7" borderId="0" xfId="0" applyNumberFormat="1" applyFont="1" applyFill="1" applyBorder="1" applyAlignment="1" applyProtection="1">
      <alignment horizontal="center"/>
    </xf>
    <xf numFmtId="0" fontId="44" fillId="0" borderId="0" xfId="0" applyNumberFormat="1" applyFont="1" applyFill="1" applyBorder="1" applyAlignment="1" applyProtection="1"/>
    <xf numFmtId="3" fontId="44" fillId="0" borderId="0" xfId="0" applyNumberFormat="1" applyFont="1" applyBorder="1" applyAlignment="1" applyProtection="1">
      <alignment horizontal="center"/>
    </xf>
    <xf numFmtId="203" fontId="44" fillId="0" borderId="0" xfId="0" applyNumberFormat="1" applyFont="1" applyBorder="1" applyAlignment="1" applyProtection="1">
      <alignment horizontal="center"/>
    </xf>
    <xf numFmtId="10" fontId="161" fillId="0" borderId="280" xfId="10" applyNumberFormat="1" applyFont="1" applyBorder="1" applyAlignment="1">
      <alignment horizontal="center"/>
    </xf>
    <xf numFmtId="0" fontId="142" fillId="19" borderId="70" xfId="0" applyFont="1" applyFill="1" applyBorder="1" applyAlignment="1">
      <alignment horizontal="center"/>
    </xf>
    <xf numFmtId="0" fontId="160" fillId="0" borderId="0" xfId="0" applyFont="1" applyFill="1" applyBorder="1" applyAlignment="1">
      <alignment horizontal="center"/>
    </xf>
    <xf numFmtId="0" fontId="161" fillId="0" borderId="0" xfId="0" applyFont="1" applyAlignment="1">
      <alignment horizontal="center"/>
    </xf>
    <xf numFmtId="175" fontId="140" fillId="14" borderId="108" xfId="0" applyNumberFormat="1" applyFont="1" applyFill="1" applyBorder="1" applyAlignment="1" applyProtection="1">
      <alignment horizontal="center"/>
    </xf>
    <xf numFmtId="169" fontId="111" fillId="0" borderId="245" xfId="10" applyNumberFormat="1" applyFont="1" applyBorder="1" applyAlignment="1">
      <alignment horizontal="center"/>
    </xf>
    <xf numFmtId="0" fontId="111" fillId="0" borderId="0" xfId="0" applyFont="1" applyBorder="1" applyAlignment="1">
      <alignment horizontal="center"/>
    </xf>
    <xf numFmtId="175" fontId="140" fillId="14" borderId="244" xfId="0" applyNumberFormat="1" applyFont="1" applyFill="1" applyBorder="1" applyAlignment="1" applyProtection="1">
      <alignment horizontal="center"/>
    </xf>
    <xf numFmtId="0" fontId="109" fillId="0" borderId="244" xfId="10" applyNumberFormat="1" applyFont="1" applyFill="1" applyBorder="1" applyAlignment="1" applyProtection="1">
      <alignment horizontal="center"/>
    </xf>
    <xf numFmtId="169" fontId="142" fillId="19" borderId="244" xfId="10" applyNumberFormat="1" applyFont="1" applyFill="1" applyBorder="1" applyAlignment="1">
      <alignment horizontal="center"/>
    </xf>
    <xf numFmtId="3" fontId="143" fillId="19" borderId="244" xfId="0" applyNumberFormat="1" applyFont="1" applyFill="1" applyBorder="1" applyAlignment="1" applyProtection="1">
      <protection locked="0"/>
    </xf>
    <xf numFmtId="169" fontId="160" fillId="19" borderId="281" xfId="10" applyNumberFormat="1" applyFont="1" applyFill="1" applyBorder="1" applyAlignment="1">
      <alignment horizontal="center"/>
    </xf>
    <xf numFmtId="10" fontId="160" fillId="19" borderId="281" xfId="10" applyNumberFormat="1" applyFont="1" applyFill="1" applyBorder="1" applyAlignment="1">
      <alignment horizontal="center"/>
    </xf>
    <xf numFmtId="3" fontId="143" fillId="19" borderId="244" xfId="0" applyNumberFormat="1" applyFont="1" applyFill="1" applyBorder="1" applyProtection="1">
      <protection locked="0"/>
    </xf>
    <xf numFmtId="0" fontId="143" fillId="19" borderId="244" xfId="0" applyFont="1" applyFill="1" applyBorder="1" applyProtection="1">
      <protection locked="0"/>
    </xf>
    <xf numFmtId="9" fontId="161" fillId="29" borderId="281" xfId="10" applyFont="1" applyFill="1" applyBorder="1" applyAlignment="1">
      <alignment horizontal="center"/>
    </xf>
    <xf numFmtId="9" fontId="161" fillId="29" borderId="280" xfId="10" applyFont="1" applyFill="1" applyBorder="1" applyAlignment="1">
      <alignment horizontal="center"/>
    </xf>
    <xf numFmtId="9" fontId="161" fillId="29" borderId="282" xfId="10" applyFont="1" applyFill="1" applyBorder="1" applyAlignment="1">
      <alignment horizontal="center"/>
    </xf>
    <xf numFmtId="3" fontId="142" fillId="19" borderId="244" xfId="0" applyNumberFormat="1" applyFont="1" applyFill="1" applyBorder="1" applyAlignment="1">
      <alignment horizontal="center"/>
    </xf>
    <xf numFmtId="0" fontId="142" fillId="19" borderId="244" xfId="0" applyFont="1" applyFill="1" applyBorder="1" applyAlignment="1">
      <alignment horizontal="center"/>
    </xf>
    <xf numFmtId="173" fontId="44" fillId="0" borderId="0" xfId="10" applyNumberFormat="1" applyFont="1" applyFill="1" applyBorder="1" applyAlignment="1" applyProtection="1"/>
    <xf numFmtId="3" fontId="65" fillId="0" borderId="279" xfId="13" applyNumberFormat="1" applyFont="1" applyFill="1" applyBorder="1" applyAlignment="1">
      <alignment horizontal="center" vertical="center" wrapText="1"/>
    </xf>
    <xf numFmtId="0" fontId="124" fillId="0" borderId="0" xfId="0" applyFont="1" applyAlignment="1" applyProtection="1"/>
    <xf numFmtId="4" fontId="124" fillId="0" borderId="0" xfId="0" applyNumberFormat="1" applyFont="1" applyAlignment="1" applyProtection="1"/>
    <xf numFmtId="0" fontId="124" fillId="0" borderId="0" xfId="0" applyFont="1" applyAlignment="1" applyProtection="1">
      <alignment horizontal="right"/>
    </xf>
    <xf numFmtId="0" fontId="124" fillId="0" borderId="0" xfId="0" applyFont="1" applyBorder="1" applyAlignment="1" applyProtection="1"/>
    <xf numFmtId="0" fontId="78" fillId="19" borderId="70" xfId="0" applyFont="1" applyFill="1" applyBorder="1" applyAlignment="1" applyProtection="1">
      <alignment horizontal="center"/>
    </xf>
    <xf numFmtId="0" fontId="165" fillId="0" borderId="0" xfId="0" applyFont="1" applyFill="1" applyAlignment="1" applyProtection="1"/>
    <xf numFmtId="0" fontId="78" fillId="0" borderId="0" xfId="0" applyFont="1" applyFill="1" applyBorder="1" applyAlignment="1" applyProtection="1">
      <alignment horizontal="center"/>
    </xf>
    <xf numFmtId="0" fontId="159" fillId="0" borderId="0" xfId="0" applyFont="1" applyFill="1" applyBorder="1" applyAlignment="1" applyProtection="1">
      <alignment horizontal="center"/>
    </xf>
    <xf numFmtId="0" fontId="124" fillId="0" borderId="108" xfId="0" applyFont="1" applyBorder="1" applyProtection="1"/>
    <xf numFmtId="175" fontId="159" fillId="32" borderId="0" xfId="0" applyNumberFormat="1" applyFont="1" applyFill="1" applyBorder="1" applyAlignment="1" applyProtection="1">
      <alignment horizontal="center"/>
    </xf>
    <xf numFmtId="175" fontId="159" fillId="32" borderId="0" xfId="0" applyNumberFormat="1" applyFont="1" applyFill="1" applyBorder="1" applyAlignment="1" applyProtection="1">
      <alignment horizontal="right"/>
    </xf>
    <xf numFmtId="202" fontId="159" fillId="14" borderId="0" xfId="0" applyNumberFormat="1" applyFont="1" applyFill="1" applyBorder="1" applyAlignment="1" applyProtection="1">
      <alignment horizontal="right"/>
    </xf>
    <xf numFmtId="175" fontId="159" fillId="32" borderId="246" xfId="0" applyNumberFormat="1" applyFont="1" applyFill="1" applyBorder="1" applyAlignment="1" applyProtection="1">
      <alignment horizontal="right"/>
    </xf>
    <xf numFmtId="0" fontId="46" fillId="0" borderId="142" xfId="0" applyFont="1" applyBorder="1" applyAlignment="1" applyProtection="1"/>
    <xf numFmtId="3" fontId="46" fillId="0" borderId="244" xfId="0" applyNumberFormat="1" applyFont="1" applyBorder="1" applyAlignment="1" applyProtection="1">
      <alignment horizontal="right"/>
    </xf>
    <xf numFmtId="3" fontId="128" fillId="0" borderId="244" xfId="0" applyNumberFormat="1" applyFont="1" applyBorder="1" applyAlignment="1" applyProtection="1">
      <alignment horizontal="right"/>
    </xf>
    <xf numFmtId="180" fontId="46" fillId="0" borderId="244" xfId="0" applyNumberFormat="1" applyFont="1" applyBorder="1" applyAlignment="1" applyProtection="1">
      <alignment horizontal="right"/>
    </xf>
    <xf numFmtId="0" fontId="124" fillId="0" borderId="108" xfId="0" applyFont="1" applyBorder="1" applyAlignment="1" applyProtection="1"/>
    <xf numFmtId="3" fontId="124" fillId="0" borderId="244" xfId="0" applyNumberFormat="1" applyFont="1" applyBorder="1" applyAlignment="1" applyProtection="1">
      <alignment horizontal="right"/>
    </xf>
    <xf numFmtId="3" fontId="125" fillId="0" borderId="244" xfId="0" applyNumberFormat="1" applyFont="1" applyBorder="1" applyAlignment="1" applyProtection="1">
      <alignment horizontal="right"/>
    </xf>
    <xf numFmtId="180" fontId="124" fillId="0" borderId="244" xfId="0" applyNumberFormat="1" applyFont="1" applyBorder="1" applyAlignment="1" applyProtection="1">
      <alignment horizontal="right"/>
    </xf>
    <xf numFmtId="0" fontId="46" fillId="0" borderId="254" xfId="0" applyFont="1" applyBorder="1" applyAlignment="1" applyProtection="1"/>
    <xf numFmtId="3" fontId="46" fillId="0" borderId="255" xfId="0" applyNumberFormat="1" applyFont="1" applyBorder="1" applyAlignment="1" applyProtection="1">
      <alignment horizontal="right"/>
    </xf>
    <xf numFmtId="3" fontId="128" fillId="0" borderId="255" xfId="0" applyNumberFormat="1" applyFont="1" applyBorder="1" applyAlignment="1" applyProtection="1">
      <alignment horizontal="right"/>
    </xf>
    <xf numFmtId="180" fontId="46" fillId="29" borderId="255" xfId="0" applyNumberFormat="1" applyFont="1" applyFill="1" applyBorder="1" applyAlignment="1" applyProtection="1">
      <alignment horizontal="right"/>
    </xf>
    <xf numFmtId="0" fontId="124" fillId="0" borderId="257" xfId="0" applyFont="1" applyBorder="1" applyAlignment="1" applyProtection="1"/>
    <xf numFmtId="3" fontId="124" fillId="0" borderId="258" xfId="0" applyNumberFormat="1" applyFont="1" applyBorder="1" applyAlignment="1" applyProtection="1">
      <alignment horizontal="right"/>
    </xf>
    <xf numFmtId="3" fontId="125" fillId="0" borderId="258" xfId="0" applyNumberFormat="1" applyFont="1" applyBorder="1" applyAlignment="1" applyProtection="1">
      <alignment horizontal="right"/>
    </xf>
    <xf numFmtId="180" fontId="124" fillId="0" borderId="258" xfId="0" applyNumberFormat="1" applyFont="1" applyBorder="1" applyAlignment="1" applyProtection="1">
      <alignment horizontal="right"/>
    </xf>
    <xf numFmtId="0" fontId="124" fillId="0" borderId="254" xfId="0" applyFont="1" applyBorder="1" applyAlignment="1" applyProtection="1"/>
    <xf numFmtId="3" fontId="124" fillId="0" borderId="255" xfId="0" applyNumberFormat="1" applyFont="1" applyBorder="1" applyAlignment="1" applyProtection="1">
      <alignment horizontal="right"/>
    </xf>
    <xf numFmtId="3" fontId="125" fillId="0" borderId="255" xfId="0" applyNumberFormat="1" applyFont="1" applyBorder="1" applyAlignment="1" applyProtection="1">
      <alignment horizontal="right"/>
    </xf>
    <xf numFmtId="180" fontId="124" fillId="0" borderId="255" xfId="0" applyNumberFormat="1" applyFont="1" applyBorder="1" applyAlignment="1" applyProtection="1">
      <alignment horizontal="right"/>
    </xf>
    <xf numFmtId="0" fontId="46" fillId="0" borderId="256" xfId="0" applyFont="1" applyBorder="1" applyAlignment="1" applyProtection="1"/>
    <xf numFmtId="3" fontId="46" fillId="0" borderId="256" xfId="0" applyNumberFormat="1" applyFont="1" applyBorder="1" applyAlignment="1" applyProtection="1">
      <alignment horizontal="right"/>
    </xf>
    <xf numFmtId="3" fontId="128" fillId="0" borderId="256" xfId="0" applyNumberFormat="1" applyFont="1" applyBorder="1" applyAlignment="1" applyProtection="1">
      <alignment horizontal="right"/>
    </xf>
    <xf numFmtId="180" fontId="46" fillId="29" borderId="256" xfId="0" applyNumberFormat="1" applyFont="1" applyFill="1" applyBorder="1" applyAlignment="1" applyProtection="1">
      <alignment horizontal="right"/>
    </xf>
    <xf numFmtId="0" fontId="124" fillId="0" borderId="257" xfId="0" applyFont="1" applyBorder="1" applyAlignment="1" applyProtection="1">
      <alignment horizontal="left" indent="1"/>
    </xf>
    <xf numFmtId="169" fontId="124" fillId="0" borderId="258" xfId="10" applyNumberFormat="1" applyFont="1" applyBorder="1" applyAlignment="1" applyProtection="1">
      <alignment horizontal="right"/>
    </xf>
    <xf numFmtId="169" fontId="125" fillId="0" borderId="258" xfId="10" applyNumberFormat="1" applyFont="1" applyBorder="1" applyAlignment="1" applyProtection="1">
      <alignment horizontal="right"/>
    </xf>
    <xf numFmtId="0" fontId="46" fillId="0" borderId="108" xfId="0" applyFont="1" applyBorder="1" applyAlignment="1" applyProtection="1"/>
    <xf numFmtId="180" fontId="46" fillId="29" borderId="244" xfId="0" applyNumberFormat="1" applyFont="1" applyFill="1" applyBorder="1" applyAlignment="1" applyProtection="1">
      <alignment horizontal="right"/>
    </xf>
    <xf numFmtId="173" fontId="124" fillId="0" borderId="244" xfId="0" applyNumberFormat="1" applyFont="1" applyBorder="1" applyAlignment="1" applyProtection="1">
      <alignment horizontal="right"/>
    </xf>
    <xf numFmtId="173" fontId="125" fillId="0" borderId="244" xfId="0" applyNumberFormat="1" applyFont="1" applyBorder="1" applyAlignment="1" applyProtection="1">
      <alignment horizontal="right"/>
    </xf>
    <xf numFmtId="173" fontId="46" fillId="0" borderId="244" xfId="0" applyNumberFormat="1" applyFont="1" applyBorder="1" applyAlignment="1" applyProtection="1">
      <alignment horizontal="right"/>
    </xf>
    <xf numFmtId="173" fontId="128" fillId="0" borderId="244" xfId="0" applyNumberFormat="1" applyFont="1" applyBorder="1" applyAlignment="1" applyProtection="1">
      <alignment horizontal="right"/>
    </xf>
    <xf numFmtId="173" fontId="46" fillId="0" borderId="255" xfId="0" applyNumberFormat="1" applyFont="1" applyBorder="1" applyAlignment="1" applyProtection="1">
      <alignment horizontal="right"/>
    </xf>
    <xf numFmtId="173" fontId="128" fillId="0" borderId="255" xfId="0" applyNumberFormat="1" applyFont="1" applyBorder="1" applyAlignment="1" applyProtection="1">
      <alignment horizontal="right"/>
    </xf>
    <xf numFmtId="3" fontId="124" fillId="0" borderId="108" xfId="0" applyNumberFormat="1" applyFont="1" applyBorder="1" applyAlignment="1" applyProtection="1">
      <alignment horizontal="right"/>
    </xf>
    <xf numFmtId="3" fontId="124" fillId="0" borderId="252" xfId="0" applyNumberFormat="1" applyFont="1" applyBorder="1" applyAlignment="1" applyProtection="1">
      <alignment horizontal="right"/>
    </xf>
    <xf numFmtId="180" fontId="124" fillId="0" borderId="108" xfId="0" applyNumberFormat="1" applyFont="1" applyBorder="1" applyAlignment="1" applyProtection="1">
      <alignment horizontal="right"/>
    </xf>
    <xf numFmtId="9" fontId="124" fillId="0" borderId="108" xfId="10" applyFont="1" applyBorder="1" applyAlignment="1" applyProtection="1">
      <alignment horizontal="right"/>
    </xf>
    <xf numFmtId="9" fontId="124" fillId="0" borderId="244" xfId="10" applyFont="1" applyBorder="1" applyAlignment="1" applyProtection="1">
      <alignment horizontal="right"/>
    </xf>
    <xf numFmtId="0" fontId="124" fillId="0" borderId="0" xfId="0" applyFont="1" applyBorder="1" applyProtection="1"/>
    <xf numFmtId="3" fontId="124" fillId="0" borderId="247" xfId="0" applyNumberFormat="1" applyFont="1" applyBorder="1" applyAlignment="1" applyProtection="1">
      <alignment horizontal="right"/>
    </xf>
    <xf numFmtId="3" fontId="125" fillId="0" borderId="247" xfId="0" applyNumberFormat="1" applyFont="1" applyBorder="1" applyAlignment="1" applyProtection="1">
      <alignment horizontal="right"/>
    </xf>
    <xf numFmtId="180" fontId="124" fillId="0" borderId="247" xfId="0" applyNumberFormat="1" applyFont="1" applyBorder="1" applyAlignment="1" applyProtection="1">
      <alignment horizontal="right"/>
    </xf>
    <xf numFmtId="3" fontId="46" fillId="0" borderId="254" xfId="0" applyNumberFormat="1" applyFont="1" applyBorder="1" applyAlignment="1" applyProtection="1">
      <alignment horizontal="right"/>
    </xf>
    <xf numFmtId="3" fontId="128" fillId="0" borderId="254" xfId="0" applyNumberFormat="1" applyFont="1" applyBorder="1" applyAlignment="1" applyProtection="1">
      <alignment horizontal="right"/>
    </xf>
    <xf numFmtId="180" fontId="46" fillId="0" borderId="254" xfId="0" applyNumberFormat="1" applyFont="1" applyBorder="1" applyAlignment="1" applyProtection="1">
      <alignment horizontal="right"/>
    </xf>
    <xf numFmtId="180" fontId="46" fillId="29" borderId="254" xfId="0" applyNumberFormat="1" applyFont="1" applyFill="1" applyBorder="1" applyAlignment="1" applyProtection="1">
      <alignment horizontal="right"/>
    </xf>
    <xf numFmtId="3" fontId="46" fillId="0" borderId="244" xfId="0" applyNumberFormat="1" applyFont="1" applyFill="1" applyBorder="1" applyAlignment="1" applyProtection="1">
      <alignment horizontal="right"/>
    </xf>
    <xf numFmtId="3" fontId="128" fillId="0" borderId="244" xfId="0" applyNumberFormat="1" applyFont="1" applyFill="1" applyBorder="1" applyAlignment="1" applyProtection="1">
      <alignment horizontal="right"/>
    </xf>
    <xf numFmtId="180" fontId="46" fillId="0" borderId="244" xfId="0" applyNumberFormat="1" applyFont="1" applyFill="1" applyBorder="1" applyAlignment="1" applyProtection="1">
      <alignment horizontal="right"/>
    </xf>
    <xf numFmtId="3" fontId="124" fillId="0" borderId="244" xfId="0" applyNumberFormat="1" applyFont="1" applyFill="1" applyBorder="1" applyAlignment="1" applyProtection="1">
      <alignment horizontal="right"/>
    </xf>
    <xf numFmtId="3" fontId="125" fillId="0" borderId="244" xfId="0" applyNumberFormat="1" applyFont="1" applyFill="1" applyBorder="1" applyAlignment="1" applyProtection="1">
      <alignment horizontal="right"/>
    </xf>
    <xf numFmtId="3" fontId="124" fillId="0" borderId="254" xfId="0" applyNumberFormat="1" applyFont="1" applyBorder="1" applyAlignment="1" applyProtection="1">
      <alignment horizontal="right"/>
    </xf>
    <xf numFmtId="3" fontId="125" fillId="0" borderId="254" xfId="0" applyNumberFormat="1" applyFont="1" applyBorder="1" applyAlignment="1" applyProtection="1">
      <alignment horizontal="right"/>
    </xf>
    <xf numFmtId="180" fontId="124" fillId="0" borderId="254" xfId="0" applyNumberFormat="1" applyFont="1" applyBorder="1" applyAlignment="1" applyProtection="1">
      <alignment horizontal="right"/>
    </xf>
    <xf numFmtId="3" fontId="125" fillId="0" borderId="252" xfId="0" applyNumberFormat="1" applyFont="1" applyBorder="1" applyAlignment="1" applyProtection="1">
      <alignment horizontal="right"/>
    </xf>
    <xf numFmtId="180" fontId="124" fillId="0" borderId="252" xfId="0" applyNumberFormat="1" applyFont="1" applyBorder="1" applyAlignment="1" applyProtection="1">
      <alignment horizontal="right"/>
    </xf>
    <xf numFmtId="0" fontId="124" fillId="0" borderId="256" xfId="0" applyFont="1" applyBorder="1" applyAlignment="1" applyProtection="1"/>
    <xf numFmtId="3" fontId="124" fillId="0" borderId="256" xfId="0" applyNumberFormat="1" applyFont="1" applyBorder="1" applyAlignment="1" applyProtection="1">
      <alignment horizontal="right"/>
    </xf>
    <xf numFmtId="3" fontId="125" fillId="0" borderId="256" xfId="0" applyNumberFormat="1" applyFont="1" applyBorder="1" applyAlignment="1" applyProtection="1">
      <alignment horizontal="right"/>
    </xf>
    <xf numFmtId="180" fontId="124" fillId="0" borderId="256" xfId="0" applyNumberFormat="1" applyFont="1" applyBorder="1" applyAlignment="1" applyProtection="1">
      <alignment horizontal="right"/>
    </xf>
    <xf numFmtId="0" fontId="46" fillId="0" borderId="0" xfId="0" applyFont="1" applyBorder="1" applyProtection="1"/>
    <xf numFmtId="3" fontId="124" fillId="29" borderId="258" xfId="0" applyNumberFormat="1" applyFont="1" applyFill="1" applyBorder="1" applyAlignment="1" applyProtection="1">
      <alignment horizontal="right"/>
    </xf>
    <xf numFmtId="3" fontId="125" fillId="29" borderId="258" xfId="0" applyNumberFormat="1" applyFont="1" applyFill="1" applyBorder="1" applyAlignment="1" applyProtection="1">
      <alignment horizontal="right"/>
    </xf>
    <xf numFmtId="9" fontId="124" fillId="29" borderId="244" xfId="10" applyFont="1" applyFill="1" applyBorder="1" applyAlignment="1" applyProtection="1">
      <alignment horizontal="right"/>
    </xf>
    <xf numFmtId="9" fontId="125" fillId="29" borderId="244" xfId="10" applyFont="1" applyFill="1" applyBorder="1" applyAlignment="1" applyProtection="1">
      <alignment horizontal="right"/>
    </xf>
    <xf numFmtId="204" fontId="124" fillId="0" borderId="244" xfId="0" applyNumberFormat="1" applyFont="1" applyBorder="1" applyAlignment="1" applyProtection="1">
      <alignment horizontal="right"/>
    </xf>
    <xf numFmtId="204" fontId="125" fillId="0" borderId="244" xfId="0" applyNumberFormat="1" applyFont="1" applyBorder="1" applyAlignment="1" applyProtection="1">
      <alignment horizontal="right"/>
    </xf>
    <xf numFmtId="204" fontId="124" fillId="29" borderId="244" xfId="0" applyNumberFormat="1" applyFont="1" applyFill="1" applyBorder="1" applyAlignment="1" applyProtection="1">
      <alignment horizontal="right"/>
    </xf>
    <xf numFmtId="204" fontId="125" fillId="29" borderId="244" xfId="0" applyNumberFormat="1" applyFont="1" applyFill="1" applyBorder="1" applyAlignment="1" applyProtection="1">
      <alignment horizontal="right"/>
    </xf>
    <xf numFmtId="0" fontId="124" fillId="0" borderId="108" xfId="0" applyFont="1" applyFill="1" applyBorder="1" applyAlignment="1" applyProtection="1"/>
    <xf numFmtId="175" fontId="159" fillId="32" borderId="244" xfId="0" applyNumberFormat="1" applyFont="1" applyFill="1" applyBorder="1" applyAlignment="1" applyProtection="1">
      <alignment horizontal="center"/>
    </xf>
    <xf numFmtId="175" fontId="159" fillId="32" borderId="244" xfId="0" applyNumberFormat="1" applyFont="1" applyFill="1" applyBorder="1" applyAlignment="1" applyProtection="1">
      <alignment horizontal="right"/>
    </xf>
    <xf numFmtId="202" fontId="159" fillId="14" borderId="244" xfId="0" applyNumberFormat="1" applyFont="1" applyFill="1" applyBorder="1" applyAlignment="1" applyProtection="1">
      <alignment horizontal="right"/>
    </xf>
    <xf numFmtId="204" fontId="124" fillId="0" borderId="244" xfId="10" applyNumberFormat="1" applyFont="1" applyBorder="1" applyAlignment="1" applyProtection="1">
      <alignment horizontal="right"/>
    </xf>
    <xf numFmtId="204" fontId="125" fillId="0" borderId="244" xfId="10" applyNumberFormat="1" applyFont="1" applyBorder="1" applyAlignment="1" applyProtection="1">
      <alignment horizontal="right"/>
    </xf>
    <xf numFmtId="9" fontId="125" fillId="0" borderId="244" xfId="10" applyFont="1" applyBorder="1" applyAlignment="1" applyProtection="1">
      <alignment horizontal="right"/>
    </xf>
    <xf numFmtId="3" fontId="124" fillId="29" borderId="244" xfId="0" applyNumberFormat="1" applyFont="1" applyFill="1" applyBorder="1" applyAlignment="1" applyProtection="1">
      <alignment horizontal="right"/>
    </xf>
    <xf numFmtId="3" fontId="125" fillId="29" borderId="244" xfId="0" applyNumberFormat="1" applyFont="1" applyFill="1" applyBorder="1" applyAlignment="1" applyProtection="1">
      <alignment horizontal="right"/>
    </xf>
    <xf numFmtId="0" fontId="124" fillId="0" borderId="254" xfId="0" applyFont="1" applyBorder="1" applyProtection="1"/>
    <xf numFmtId="3" fontId="124" fillId="29" borderId="255" xfId="0" applyNumberFormat="1" applyFont="1" applyFill="1" applyBorder="1" applyAlignment="1" applyProtection="1">
      <alignment horizontal="right"/>
    </xf>
    <xf numFmtId="3" fontId="125" fillId="29" borderId="255" xfId="0" applyNumberFormat="1" applyFont="1" applyFill="1" applyBorder="1" applyAlignment="1" applyProtection="1">
      <alignment horizontal="right"/>
    </xf>
    <xf numFmtId="0" fontId="78" fillId="19" borderId="0" xfId="0" applyFont="1" applyFill="1" applyAlignment="1" applyProtection="1">
      <alignment horizontal="center"/>
    </xf>
    <xf numFmtId="17" fontId="38" fillId="16" borderId="227" xfId="0" applyNumberFormat="1" applyFont="1" applyFill="1" applyBorder="1" applyAlignment="1" applyProtection="1">
      <alignment horizontal="right"/>
      <protection locked="0"/>
    </xf>
    <xf numFmtId="0" fontId="166" fillId="0" borderId="0" xfId="0" applyFont="1" applyAlignment="1">
      <alignment horizontal="center"/>
    </xf>
    <xf numFmtId="9" fontId="167" fillId="0" borderId="283" xfId="0" applyNumberFormat="1" applyFont="1" applyBorder="1" applyAlignment="1">
      <alignment horizontal="center"/>
    </xf>
    <xf numFmtId="9" fontId="167" fillId="0" borderId="284" xfId="0" applyNumberFormat="1" applyFont="1" applyBorder="1" applyAlignment="1">
      <alignment horizontal="center"/>
    </xf>
    <xf numFmtId="0" fontId="167" fillId="0" borderId="284" xfId="0" applyFont="1" applyBorder="1" applyAlignment="1">
      <alignment horizontal="center"/>
    </xf>
    <xf numFmtId="9" fontId="167" fillId="0" borderId="285" xfId="0" applyNumberFormat="1" applyFont="1" applyBorder="1" applyAlignment="1">
      <alignment horizontal="center"/>
    </xf>
    <xf numFmtId="9" fontId="167" fillId="0" borderId="0" xfId="0" applyNumberFormat="1" applyFont="1" applyBorder="1" applyAlignment="1">
      <alignment horizontal="center"/>
    </xf>
    <xf numFmtId="0" fontId="167" fillId="0" borderId="0" xfId="0" applyFont="1" applyBorder="1" applyAlignment="1">
      <alignment horizontal="center"/>
    </xf>
    <xf numFmtId="0" fontId="168" fillId="14" borderId="0" xfId="0" applyFont="1" applyFill="1" applyAlignment="1">
      <alignment horizontal="center"/>
    </xf>
    <xf numFmtId="9" fontId="168" fillId="14" borderId="0" xfId="0" applyNumberFormat="1" applyFont="1" applyFill="1" applyAlignment="1">
      <alignment horizontal="center"/>
    </xf>
    <xf numFmtId="0" fontId="131" fillId="0" borderId="0" xfId="3" applyFont="1" applyBorder="1" applyAlignment="1" applyProtection="1">
      <alignment horizontal="justify" vertical="center"/>
      <protection locked="0"/>
    </xf>
    <xf numFmtId="0" fontId="133" fillId="0" borderId="44" xfId="3" applyFont="1" applyBorder="1" applyAlignment="1" applyProtection="1">
      <alignment horizontal="center" vertical="center"/>
    </xf>
    <xf numFmtId="0" fontId="131" fillId="0" borderId="0" xfId="3" applyFont="1" applyBorder="1" applyAlignment="1" applyProtection="1">
      <alignment horizontal="center" vertical="center"/>
      <protection locked="0"/>
    </xf>
    <xf numFmtId="0" fontId="131" fillId="0" borderId="39" xfId="3" applyFont="1" applyBorder="1" applyAlignment="1" applyProtection="1">
      <alignment horizontal="center" vertical="center"/>
      <protection locked="0"/>
    </xf>
    <xf numFmtId="0" fontId="131" fillId="23" borderId="0" xfId="3" applyFont="1" applyFill="1"/>
    <xf numFmtId="0" fontId="131" fillId="23" borderId="0" xfId="3" applyFont="1" applyFill="1" applyAlignment="1" applyProtection="1">
      <alignment vertical="center"/>
      <protection locked="0"/>
    </xf>
    <xf numFmtId="0" fontId="132" fillId="23" borderId="0" xfId="3" applyFont="1" applyFill="1" applyAlignment="1" applyProtection="1">
      <alignment vertical="center"/>
      <protection locked="0"/>
    </xf>
    <xf numFmtId="0" fontId="131" fillId="23" borderId="56" xfId="3" applyFont="1" applyFill="1" applyBorder="1"/>
    <xf numFmtId="0" fontId="169" fillId="12" borderId="0" xfId="3" applyFont="1" applyFill="1" applyBorder="1" applyAlignment="1" applyProtection="1">
      <alignment vertical="center"/>
      <protection locked="0"/>
    </xf>
    <xf numFmtId="0" fontId="169" fillId="12" borderId="53" xfId="3" applyFont="1" applyFill="1" applyBorder="1" applyAlignment="1" applyProtection="1">
      <alignment vertical="center"/>
      <protection locked="0"/>
    </xf>
    <xf numFmtId="0" fontId="54" fillId="29" borderId="0" xfId="3" applyFont="1" applyFill="1" applyBorder="1" applyAlignment="1" applyProtection="1">
      <alignment horizontal="left" vertical="center"/>
    </xf>
    <xf numFmtId="0" fontId="133" fillId="29" borderId="0" xfId="3" applyFont="1" applyFill="1" applyBorder="1" applyAlignment="1" applyProtection="1">
      <alignment vertical="center"/>
      <protection locked="0"/>
    </xf>
    <xf numFmtId="0" fontId="131" fillId="29" borderId="0" xfId="3" applyFont="1" applyFill="1" applyBorder="1" applyAlignment="1" applyProtection="1">
      <alignment vertical="center"/>
      <protection locked="0"/>
    </xf>
    <xf numFmtId="3" fontId="131" fillId="0" borderId="0" xfId="3" applyNumberFormat="1" applyFont="1" applyBorder="1" applyAlignment="1" applyProtection="1">
      <alignment vertical="center"/>
    </xf>
    <xf numFmtId="171" fontId="131" fillId="12" borderId="0" xfId="3" applyNumberFormat="1" applyFont="1" applyFill="1" applyBorder="1" applyAlignment="1" applyProtection="1">
      <alignment horizontal="left"/>
      <protection locked="0"/>
    </xf>
    <xf numFmtId="0" fontId="137" fillId="12" borderId="0" xfId="3" applyFont="1" applyFill="1" applyBorder="1" applyAlignment="1" applyProtection="1">
      <alignment horizontal="left"/>
    </xf>
    <xf numFmtId="15" fontId="131" fillId="12" borderId="0" xfId="3" applyNumberFormat="1" applyFont="1" applyFill="1" applyBorder="1" applyAlignment="1" applyProtection="1">
      <alignment horizontal="left"/>
      <protection locked="0"/>
    </xf>
    <xf numFmtId="171" fontId="136" fillId="12" borderId="0" xfId="3" applyNumberFormat="1" applyFont="1" applyFill="1" applyBorder="1" applyAlignment="1" applyProtection="1">
      <alignment horizontal="left"/>
    </xf>
    <xf numFmtId="0" fontId="132" fillId="0" borderId="0" xfId="3" applyFont="1" applyBorder="1" applyAlignment="1" applyProtection="1">
      <alignment horizontal="left" vertical="center"/>
      <protection locked="0"/>
    </xf>
    <xf numFmtId="0" fontId="131" fillId="12" borderId="0" xfId="3" applyFont="1" applyFill="1" applyBorder="1" applyAlignment="1" applyProtection="1">
      <alignment horizontal="left"/>
      <protection locked="0"/>
    </xf>
    <xf numFmtId="0" fontId="131" fillId="0" borderId="0" xfId="3" applyFont="1" applyBorder="1" applyAlignment="1" applyProtection="1">
      <alignment horizontal="left" vertical="center"/>
      <protection locked="0"/>
    </xf>
    <xf numFmtId="0" fontId="131" fillId="0" borderId="0" xfId="3" applyFont="1" applyAlignment="1" applyProtection="1">
      <alignment horizontal="left" vertical="center"/>
      <protection locked="0"/>
    </xf>
    <xf numFmtId="0" fontId="170" fillId="0" borderId="0" xfId="3" applyFont="1" applyBorder="1" applyAlignment="1" applyProtection="1">
      <alignment horizontal="left" vertical="center"/>
    </xf>
    <xf numFmtId="171" fontId="131" fillId="0" borderId="0" xfId="3" applyNumberFormat="1" applyFont="1" applyBorder="1" applyAlignment="1" applyProtection="1">
      <alignment horizontal="left" vertical="center"/>
      <protection locked="0"/>
    </xf>
    <xf numFmtId="14" fontId="38" fillId="0" borderId="43" xfId="3" applyNumberFormat="1" applyFont="1" applyBorder="1" applyAlignment="1" applyProtection="1">
      <alignment vertical="center"/>
      <protection locked="0"/>
    </xf>
    <xf numFmtId="3" fontId="44" fillId="0" borderId="73" xfId="3" applyNumberFormat="1" applyFont="1" applyBorder="1" applyAlignment="1" applyProtection="1">
      <alignment horizontal="left" vertical="center"/>
      <protection locked="0"/>
    </xf>
    <xf numFmtId="3" fontId="44" fillId="0" borderId="158" xfId="3" applyNumberFormat="1" applyFont="1" applyBorder="1" applyAlignment="1" applyProtection="1">
      <alignment horizontal="right" vertical="center"/>
      <protection locked="0"/>
    </xf>
    <xf numFmtId="169" fontId="44" fillId="0" borderId="0" xfId="10" applyNumberFormat="1" applyFont="1" applyBorder="1" applyAlignment="1" applyProtection="1">
      <alignment horizontal="center" vertical="center"/>
      <protection locked="0"/>
    </xf>
    <xf numFmtId="169" fontId="44" fillId="0" borderId="39" xfId="10" applyNumberFormat="1" applyFont="1" applyBorder="1" applyAlignment="1" applyProtection="1">
      <alignment horizontal="center" vertical="center"/>
      <protection locked="0"/>
    </xf>
    <xf numFmtId="3" fontId="44" fillId="0" borderId="87" xfId="3" applyNumberFormat="1" applyFont="1" applyBorder="1" applyAlignment="1" applyProtection="1">
      <alignment horizontal="right" vertical="center"/>
      <protection locked="0"/>
    </xf>
    <xf numFmtId="3" fontId="44" fillId="0" borderId="39" xfId="3" applyNumberFormat="1" applyFont="1" applyBorder="1" applyAlignment="1" applyProtection="1">
      <alignment horizontal="center" vertical="center"/>
      <protection locked="0"/>
    </xf>
    <xf numFmtId="171" fontId="44" fillId="0" borderId="0" xfId="3" applyNumberFormat="1" applyFont="1" applyBorder="1" applyAlignment="1" applyProtection="1">
      <alignment horizontal="center" vertical="center"/>
      <protection locked="0"/>
    </xf>
    <xf numFmtId="171" fontId="44" fillId="0" borderId="39" xfId="3" applyNumberFormat="1" applyFont="1" applyBorder="1" applyAlignment="1" applyProtection="1">
      <alignment horizontal="center" vertical="center"/>
      <protection locked="0"/>
    </xf>
    <xf numFmtId="173" fontId="44" fillId="0" borderId="0" xfId="3" applyNumberFormat="1" applyFont="1" applyBorder="1" applyAlignment="1" applyProtection="1">
      <alignment horizontal="center" vertical="center"/>
      <protection locked="0"/>
    </xf>
    <xf numFmtId="173" fontId="44" fillId="0" borderId="39" xfId="3" applyNumberFormat="1" applyFont="1" applyBorder="1" applyAlignment="1" applyProtection="1">
      <alignment horizontal="center" vertical="center"/>
      <protection locked="0"/>
    </xf>
    <xf numFmtId="1" fontId="44" fillId="0" borderId="0" xfId="3" applyNumberFormat="1" applyFont="1" applyBorder="1" applyAlignment="1" applyProtection="1">
      <alignment horizontal="center" vertical="center"/>
      <protection locked="0"/>
    </xf>
    <xf numFmtId="1" fontId="44" fillId="0" borderId="39" xfId="3" applyNumberFormat="1" applyFont="1" applyBorder="1" applyAlignment="1" applyProtection="1">
      <alignment horizontal="center" vertical="center"/>
      <protection locked="0"/>
    </xf>
    <xf numFmtId="3" fontId="44" fillId="0" borderId="285" xfId="3" applyNumberFormat="1" applyFont="1" applyBorder="1" applyAlignment="1" applyProtection="1">
      <alignment horizontal="left" vertical="center"/>
      <protection locked="0"/>
    </xf>
    <xf numFmtId="0" fontId="44" fillId="0" borderId="285" xfId="3" applyFont="1" applyBorder="1" applyAlignment="1" applyProtection="1">
      <alignment horizontal="left" vertical="center"/>
    </xf>
    <xf numFmtId="0" fontId="44" fillId="0" borderId="74" xfId="3" applyFont="1" applyBorder="1" applyAlignment="1" applyProtection="1">
      <alignment vertical="center"/>
      <protection locked="0"/>
    </xf>
    <xf numFmtId="178" fontId="44" fillId="0" borderId="53" xfId="3" applyNumberFormat="1" applyFont="1" applyBorder="1" applyAlignment="1" applyProtection="1">
      <alignment horizontal="right" vertical="center"/>
      <protection locked="0"/>
    </xf>
    <xf numFmtId="0" fontId="44" fillId="0" borderId="75" xfId="3" applyFont="1" applyBorder="1" applyAlignment="1" applyProtection="1">
      <alignment horizontal="right" vertical="center"/>
      <protection locked="0"/>
    </xf>
    <xf numFmtId="0" fontId="38" fillId="16" borderId="155" xfId="3" applyFont="1" applyFill="1" applyBorder="1" applyAlignment="1" applyProtection="1">
      <alignment horizontal="left" vertical="center"/>
    </xf>
    <xf numFmtId="0" fontId="38" fillId="16" borderId="44" xfId="3" applyFont="1" applyFill="1" applyBorder="1" applyAlignment="1" applyProtection="1">
      <alignment horizontal="center" vertical="center"/>
    </xf>
    <xf numFmtId="178" fontId="38" fillId="16" borderId="45" xfId="3" applyNumberFormat="1" applyFont="1" applyFill="1" applyBorder="1" applyAlignment="1" applyProtection="1">
      <alignment horizontal="center" vertical="center"/>
    </xf>
    <xf numFmtId="0" fontId="131" fillId="0" borderId="53" xfId="3" applyFont="1" applyBorder="1" applyAlignment="1" applyProtection="1">
      <alignment vertical="center"/>
    </xf>
    <xf numFmtId="0" fontId="36" fillId="0" borderId="0" xfId="3" applyFont="1" applyBorder="1" applyAlignment="1" applyProtection="1">
      <alignment vertical="center"/>
    </xf>
    <xf numFmtId="0" fontId="4" fillId="0" borderId="0" xfId="3" applyFont="1"/>
    <xf numFmtId="0" fontId="4" fillId="0" borderId="0" xfId="3"/>
    <xf numFmtId="14" fontId="4" fillId="0" borderId="0" xfId="3" applyNumberFormat="1"/>
    <xf numFmtId="0" fontId="173" fillId="0" borderId="0" xfId="0" applyFont="1" applyAlignment="1" applyProtection="1"/>
    <xf numFmtId="180" fontId="174" fillId="29" borderId="255" xfId="0" applyNumberFormat="1" applyFont="1" applyFill="1" applyBorder="1" applyAlignment="1" applyProtection="1">
      <alignment horizontal="right"/>
    </xf>
    <xf numFmtId="180" fontId="44" fillId="0" borderId="108" xfId="0" applyNumberFormat="1" applyFont="1" applyBorder="1" applyAlignment="1" applyProtection="1">
      <alignment horizontal="right"/>
    </xf>
    <xf numFmtId="204" fontId="44" fillId="0" borderId="244" xfId="0" applyNumberFormat="1" applyFont="1" applyBorder="1" applyAlignment="1" applyProtection="1">
      <alignment horizontal="right"/>
    </xf>
    <xf numFmtId="180" fontId="175" fillId="0" borderId="244" xfId="0" applyNumberFormat="1" applyFont="1" applyBorder="1" applyAlignment="1" applyProtection="1">
      <alignment horizontal="right"/>
    </xf>
    <xf numFmtId="0" fontId="117" fillId="2" borderId="5" xfId="0" applyNumberFormat="1" applyFont="1" applyFill="1" applyBorder="1" applyProtection="1">
      <protection locked="0"/>
    </xf>
    <xf numFmtId="0" fontId="114" fillId="0" borderId="8" xfId="0" applyNumberFormat="1" applyFont="1" applyFill="1" applyBorder="1" applyAlignment="1" applyProtection="1">
      <alignment horizontal="left"/>
      <protection locked="0"/>
    </xf>
    <xf numFmtId="0" fontId="114" fillId="0" borderId="0" xfId="0" applyNumberFormat="1" applyFont="1" applyFill="1" applyBorder="1" applyAlignment="1" applyProtection="1">
      <alignment horizontal="left"/>
      <protection locked="0"/>
    </xf>
    <xf numFmtId="0" fontId="115" fillId="0" borderId="0" xfId="0" applyNumberFormat="1" applyFont="1" applyFill="1" applyBorder="1" applyAlignment="1" applyProtection="1">
      <alignment horizontal="left"/>
      <protection locked="0"/>
    </xf>
    <xf numFmtId="0" fontId="114" fillId="19" borderId="0" xfId="0" applyNumberFormat="1" applyFont="1" applyFill="1" applyBorder="1" applyAlignment="1" applyProtection="1">
      <alignment horizontal="left"/>
      <protection locked="0"/>
    </xf>
    <xf numFmtId="0" fontId="118" fillId="0" borderId="273" xfId="0" applyNumberFormat="1" applyFont="1" applyFill="1" applyBorder="1" applyAlignment="1" applyProtection="1">
      <alignment horizontal="center" vertical="center"/>
      <protection locked="0"/>
    </xf>
    <xf numFmtId="0" fontId="117" fillId="0" borderId="0" xfId="0" applyNumberFormat="1" applyFont="1" applyFill="1" applyBorder="1" applyProtection="1">
      <protection locked="0"/>
    </xf>
    <xf numFmtId="0" fontId="114" fillId="0" borderId="0" xfId="0" applyNumberFormat="1" applyFont="1" applyFill="1" applyBorder="1" applyProtection="1">
      <protection locked="0"/>
    </xf>
    <xf numFmtId="0" fontId="114" fillId="2" borderId="5" xfId="0" applyNumberFormat="1" applyFont="1" applyFill="1" applyBorder="1" applyProtection="1">
      <protection locked="0"/>
    </xf>
    <xf numFmtId="0" fontId="118" fillId="0" borderId="58" xfId="0" applyNumberFormat="1" applyFont="1" applyBorder="1" applyAlignment="1" applyProtection="1">
      <alignment horizontal="center"/>
      <protection locked="0"/>
    </xf>
    <xf numFmtId="0" fontId="117" fillId="0" borderId="58" xfId="0" applyNumberFormat="1" applyFont="1" applyBorder="1" applyAlignment="1" applyProtection="1">
      <alignment horizontal="center"/>
      <protection locked="0"/>
    </xf>
    <xf numFmtId="0" fontId="117" fillId="0" borderId="58" xfId="10" applyNumberFormat="1" applyFont="1" applyBorder="1" applyAlignment="1" applyProtection="1">
      <alignment horizontal="center"/>
      <protection locked="0"/>
    </xf>
    <xf numFmtId="0" fontId="116" fillId="0" borderId="147" xfId="0" applyNumberFormat="1" applyFont="1" applyFill="1" applyBorder="1" applyAlignment="1" applyProtection="1">
      <alignment horizontal="center"/>
    </xf>
    <xf numFmtId="0" fontId="116" fillId="0" borderId="2" xfId="0" applyNumberFormat="1" applyFont="1" applyFill="1" applyBorder="1" applyAlignment="1" applyProtection="1">
      <alignment horizontal="center"/>
    </xf>
    <xf numFmtId="0" fontId="116" fillId="0" borderId="148" xfId="0" applyNumberFormat="1" applyFont="1" applyFill="1" applyBorder="1" applyAlignment="1" applyProtection="1">
      <alignment horizontal="center"/>
    </xf>
    <xf numFmtId="0" fontId="117" fillId="0" borderId="0" xfId="0" applyNumberFormat="1" applyFont="1" applyBorder="1" applyProtection="1"/>
    <xf numFmtId="0" fontId="116" fillId="0" borderId="149" xfId="0" applyNumberFormat="1" applyFont="1" applyFill="1" applyBorder="1" applyAlignment="1" applyProtection="1">
      <alignment horizontal="center"/>
    </xf>
    <xf numFmtId="0" fontId="116" fillId="0" borderId="0" xfId="0" applyNumberFormat="1" applyFont="1" applyFill="1" applyBorder="1" applyAlignment="1" applyProtection="1">
      <alignment horizontal="left"/>
    </xf>
    <xf numFmtId="0" fontId="116" fillId="0" borderId="0" xfId="0" applyNumberFormat="1" applyFont="1" applyFill="1" applyBorder="1" applyAlignment="1" applyProtection="1">
      <alignment horizontal="center"/>
    </xf>
    <xf numFmtId="0" fontId="114" fillId="0" borderId="0" xfId="0" applyNumberFormat="1" applyFont="1" applyFill="1" applyBorder="1" applyAlignment="1" applyProtection="1">
      <alignment horizontal="right"/>
    </xf>
    <xf numFmtId="0" fontId="116" fillId="0" borderId="150" xfId="0" applyNumberFormat="1" applyFont="1" applyFill="1" applyBorder="1" applyAlignment="1" applyProtection="1">
      <alignment horizontal="center"/>
    </xf>
    <xf numFmtId="0" fontId="116" fillId="0" borderId="151" xfId="0" applyNumberFormat="1" applyFont="1" applyFill="1" applyBorder="1" applyAlignment="1" applyProtection="1">
      <alignment horizontal="center"/>
    </xf>
    <xf numFmtId="0" fontId="116" fillId="0" borderId="152" xfId="0" applyNumberFormat="1" applyFont="1" applyFill="1" applyBorder="1" applyAlignment="1" applyProtection="1">
      <alignment horizontal="center"/>
    </xf>
    <xf numFmtId="0" fontId="116" fillId="0" borderId="153" xfId="0" applyNumberFormat="1" applyFont="1" applyFill="1" applyBorder="1" applyAlignment="1" applyProtection="1">
      <alignment horizontal="center"/>
    </xf>
    <xf numFmtId="0" fontId="117" fillId="2" borderId="1" xfId="0" applyNumberFormat="1" applyFont="1" applyFill="1" applyBorder="1" applyProtection="1"/>
    <xf numFmtId="0" fontId="117" fillId="2" borderId="2" xfId="0" applyNumberFormat="1" applyFont="1" applyFill="1" applyBorder="1" applyProtection="1"/>
    <xf numFmtId="0" fontId="117" fillId="2" borderId="3" xfId="0" applyNumberFormat="1" applyFont="1" applyFill="1" applyBorder="1" applyProtection="1"/>
    <xf numFmtId="0" fontId="117" fillId="2" borderId="4" xfId="0" applyNumberFormat="1" applyFont="1" applyFill="1" applyBorder="1" applyProtection="1"/>
    <xf numFmtId="0" fontId="118" fillId="0" borderId="0" xfId="0" applyNumberFormat="1" applyFont="1" applyFill="1" applyBorder="1" applyAlignment="1" applyProtection="1">
      <alignment horizontal="left"/>
    </xf>
    <xf numFmtId="0" fontId="117" fillId="2" borderId="5" xfId="0" applyNumberFormat="1" applyFont="1" applyFill="1" applyBorder="1" applyProtection="1"/>
    <xf numFmtId="0" fontId="114" fillId="0" borderId="0" xfId="0" applyNumberFormat="1" applyFont="1" applyFill="1" applyBorder="1" applyAlignment="1" applyProtection="1">
      <alignment horizontal="left"/>
    </xf>
    <xf numFmtId="0" fontId="115" fillId="0" borderId="0" xfId="0" applyNumberFormat="1" applyFont="1" applyFill="1" applyBorder="1" applyAlignment="1" applyProtection="1">
      <alignment horizontal="left"/>
    </xf>
    <xf numFmtId="0" fontId="114" fillId="0" borderId="139" xfId="0" applyNumberFormat="1" applyFont="1" applyFill="1" applyBorder="1" applyAlignment="1" applyProtection="1">
      <alignment horizontal="left"/>
    </xf>
    <xf numFmtId="0" fontId="118" fillId="0" borderId="0" xfId="0" applyNumberFormat="1" applyFont="1" applyFill="1" applyBorder="1" applyAlignment="1" applyProtection="1">
      <alignment horizontal="justify"/>
    </xf>
    <xf numFmtId="0" fontId="114" fillId="2" borderId="4" xfId="0" applyNumberFormat="1" applyFont="1" applyFill="1" applyBorder="1" applyProtection="1"/>
    <xf numFmtId="0" fontId="114" fillId="0" borderId="0" xfId="0" applyNumberFormat="1" applyFont="1" applyFill="1" applyBorder="1" applyProtection="1"/>
    <xf numFmtId="0" fontId="114" fillId="2" borderId="5" xfId="0" applyNumberFormat="1" applyFont="1" applyFill="1" applyBorder="1" applyProtection="1"/>
    <xf numFmtId="0" fontId="119" fillId="2" borderId="0" xfId="0" applyNumberFormat="1" applyFont="1" applyFill="1" applyBorder="1" applyAlignment="1" applyProtection="1">
      <alignment horizontal="center"/>
    </xf>
    <xf numFmtId="210" fontId="118" fillId="0" borderId="0" xfId="0" applyNumberFormat="1" applyFont="1" applyFill="1" applyBorder="1" applyAlignment="1" applyProtection="1">
      <alignment horizontal="right"/>
    </xf>
    <xf numFmtId="0" fontId="114" fillId="0" borderId="6" xfId="0" applyNumberFormat="1" applyFont="1" applyFill="1" applyBorder="1" applyAlignment="1" applyProtection="1">
      <alignment horizontal="center"/>
    </xf>
    <xf numFmtId="0" fontId="114" fillId="0" borderId="0" xfId="0" applyNumberFormat="1" applyFont="1" applyFill="1" applyBorder="1" applyAlignment="1" applyProtection="1">
      <alignment horizontal="left" indent="1"/>
    </xf>
    <xf numFmtId="0" fontId="114" fillId="2" borderId="7" xfId="0" applyNumberFormat="1" applyFont="1" applyFill="1" applyBorder="1" applyProtection="1"/>
    <xf numFmtId="0" fontId="114" fillId="2" borderId="8" xfId="0" applyNumberFormat="1" applyFont="1" applyFill="1" applyBorder="1" applyProtection="1"/>
    <xf numFmtId="0" fontId="114" fillId="2" borderId="9" xfId="0" applyNumberFormat="1" applyFont="1" applyFill="1" applyBorder="1" applyProtection="1"/>
    <xf numFmtId="0" fontId="118" fillId="0" borderId="0" xfId="0" applyNumberFormat="1" applyFont="1" applyBorder="1" applyAlignment="1" applyProtection="1">
      <alignment horizontal="center"/>
    </xf>
    <xf numFmtId="0" fontId="117" fillId="0" borderId="0" xfId="0" applyNumberFormat="1" applyFont="1" applyBorder="1" applyAlignment="1" applyProtection="1"/>
    <xf numFmtId="0" fontId="117" fillId="0" borderId="0" xfId="10" applyNumberFormat="1" applyFont="1" applyBorder="1" applyAlignment="1" applyProtection="1"/>
    <xf numFmtId="0" fontId="117" fillId="0" borderId="0" xfId="10" applyNumberFormat="1" applyFont="1" applyBorder="1" applyProtection="1"/>
    <xf numFmtId="0" fontId="117" fillId="0" borderId="0" xfId="10" applyNumberFormat="1" applyFont="1" applyBorder="1" applyAlignment="1" applyProtection="1">
      <alignment horizontal="center"/>
    </xf>
    <xf numFmtId="14" fontId="117" fillId="0" borderId="58" xfId="0" applyNumberFormat="1" applyFont="1" applyBorder="1" applyAlignment="1" applyProtection="1">
      <alignment horizontal="center"/>
      <protection locked="0"/>
    </xf>
    <xf numFmtId="0" fontId="114" fillId="19" borderId="0" xfId="1" applyNumberFormat="1" applyFont="1" applyFill="1" applyBorder="1" applyAlignment="1" applyProtection="1">
      <alignment horizontal="center" vertical="top"/>
    </xf>
    <xf numFmtId="171" fontId="114" fillId="19" borderId="0" xfId="1" applyNumberFormat="1" applyFont="1" applyFill="1" applyBorder="1" applyAlignment="1" applyProtection="1">
      <alignment horizontal="center" vertical="top"/>
    </xf>
    <xf numFmtId="0" fontId="114" fillId="0" borderId="8" xfId="0" applyNumberFormat="1" applyFont="1" applyFill="1" applyBorder="1" applyAlignment="1" applyProtection="1">
      <alignment horizontal="left"/>
      <protection locked="0"/>
    </xf>
    <xf numFmtId="14" fontId="114" fillId="19" borderId="0" xfId="0" applyNumberFormat="1" applyFont="1" applyFill="1" applyBorder="1" applyAlignment="1" applyProtection="1">
      <alignment horizontal="left" vertical="top"/>
      <protection locked="0"/>
    </xf>
    <xf numFmtId="0" fontId="1" fillId="0" borderId="0" xfId="12" applyFont="1"/>
    <xf numFmtId="0" fontId="33" fillId="0" borderId="0" xfId="16" applyFont="1"/>
    <xf numFmtId="0" fontId="33" fillId="0" borderId="0" xfId="16" applyFont="1" applyAlignment="1">
      <alignment horizontal="right"/>
    </xf>
    <xf numFmtId="0" fontId="182" fillId="0" borderId="0" xfId="16" applyFont="1" applyAlignment="1"/>
    <xf numFmtId="0" fontId="44" fillId="0" borderId="0" xfId="16" applyFont="1"/>
    <xf numFmtId="14" fontId="95" fillId="5" borderId="0" xfId="16" applyNumberFormat="1" applyFont="1" applyFill="1"/>
    <xf numFmtId="0" fontId="178" fillId="5" borderId="0" xfId="16" applyFill="1"/>
    <xf numFmtId="0" fontId="94" fillId="5" borderId="0" xfId="16" applyFont="1" applyFill="1"/>
    <xf numFmtId="0" fontId="54" fillId="0" borderId="0" xfId="16" applyFont="1" applyAlignment="1"/>
    <xf numFmtId="0" fontId="188" fillId="0" borderId="287" xfId="16" applyFont="1" applyBorder="1" applyAlignment="1">
      <alignment horizontal="left"/>
    </xf>
    <xf numFmtId="0" fontId="46" fillId="0" borderId="0" xfId="16" applyNumberFormat="1" applyFont="1" applyAlignment="1">
      <alignment horizontal="left"/>
    </xf>
    <xf numFmtId="0" fontId="46" fillId="0" borderId="0" xfId="16" applyFont="1" applyAlignment="1">
      <alignment horizontal="left"/>
    </xf>
    <xf numFmtId="4" fontId="36" fillId="5" borderId="166" xfId="16" applyNumberFormat="1" applyFont="1" applyFill="1" applyBorder="1" applyAlignment="1">
      <alignment horizontal="center"/>
    </xf>
    <xf numFmtId="0" fontId="190" fillId="0" borderId="287" xfId="16" applyFont="1" applyBorder="1" applyAlignment="1">
      <alignment horizontal="left"/>
    </xf>
    <xf numFmtId="0" fontId="191" fillId="0" borderId="287" xfId="16" applyFont="1" applyBorder="1"/>
    <xf numFmtId="0" fontId="187" fillId="0" borderId="289" xfId="16" applyFont="1" applyBorder="1" applyAlignment="1">
      <alignment horizontal="left"/>
    </xf>
    <xf numFmtId="0" fontId="190" fillId="0" borderId="288" xfId="16" applyFont="1" applyBorder="1" applyAlignment="1">
      <alignment horizontal="left"/>
    </xf>
    <xf numFmtId="0" fontId="192" fillId="0" borderId="0" xfId="16" applyFont="1" applyBorder="1" applyAlignment="1">
      <alignment horizontal="left"/>
    </xf>
    <xf numFmtId="0" fontId="33" fillId="0" borderId="0" xfId="16" applyFont="1" applyBorder="1"/>
    <xf numFmtId="173" fontId="44" fillId="0" borderId="0" xfId="16" applyNumberFormat="1" applyFont="1" applyBorder="1" applyAlignment="1" applyProtection="1">
      <alignment horizontal="right"/>
    </xf>
    <xf numFmtId="0" fontId="124" fillId="0" borderId="0" xfId="16" applyFont="1"/>
    <xf numFmtId="49" fontId="44" fillId="0" borderId="0" xfId="16" applyNumberFormat="1" applyFont="1" applyAlignment="1">
      <alignment horizontal="right"/>
    </xf>
    <xf numFmtId="0" fontId="44" fillId="0" borderId="0" xfId="16" applyFont="1" applyAlignment="1">
      <alignment horizontal="left"/>
    </xf>
    <xf numFmtId="0" fontId="92" fillId="0" borderId="0" xfId="16" applyFont="1" applyAlignment="1">
      <alignment vertical="top" wrapText="1"/>
    </xf>
    <xf numFmtId="0" fontId="33" fillId="0" borderId="285" xfId="16" applyFont="1" applyBorder="1"/>
    <xf numFmtId="0" fontId="46" fillId="0" borderId="0" xfId="16" applyFont="1" applyBorder="1" applyAlignment="1">
      <alignment horizontal="left"/>
    </xf>
    <xf numFmtId="4" fontId="36" fillId="5" borderId="0" xfId="16" applyNumberFormat="1" applyFont="1" applyFill="1" applyBorder="1" applyAlignment="1">
      <alignment horizontal="center"/>
    </xf>
    <xf numFmtId="0" fontId="137" fillId="12" borderId="38" xfId="3" applyFont="1" applyFill="1" applyBorder="1" applyAlignment="1" applyProtection="1">
      <alignment horizontal="left"/>
    </xf>
    <xf numFmtId="0" fontId="137" fillId="12" borderId="0" xfId="3" applyFont="1" applyFill="1" applyBorder="1" applyAlignment="1" applyProtection="1">
      <alignment horizontal="left"/>
    </xf>
    <xf numFmtId="0" fontId="169" fillId="12" borderId="0" xfId="3" applyFont="1" applyFill="1" applyBorder="1" applyAlignment="1" applyProtection="1">
      <alignment horizontal="center" vertical="center"/>
      <protection locked="0"/>
    </xf>
    <xf numFmtId="0" fontId="169" fillId="12" borderId="39" xfId="3" applyFont="1" applyFill="1" applyBorder="1" applyAlignment="1" applyProtection="1">
      <alignment horizontal="center" vertical="center"/>
      <protection locked="0"/>
    </xf>
    <xf numFmtId="0" fontId="169" fillId="12" borderId="53" xfId="3" applyFont="1" applyFill="1" applyBorder="1" applyAlignment="1" applyProtection="1">
      <alignment horizontal="center" vertical="center"/>
      <protection locked="0"/>
    </xf>
    <xf numFmtId="0" fontId="169" fillId="12" borderId="54" xfId="3" applyFont="1" applyFill="1" applyBorder="1" applyAlignment="1" applyProtection="1">
      <alignment horizontal="center" vertical="center"/>
      <protection locked="0"/>
    </xf>
    <xf numFmtId="0" fontId="133" fillId="0" borderId="0" xfId="3" applyFont="1" applyFill="1" applyBorder="1" applyAlignment="1" applyProtection="1">
      <alignment horizontal="center" vertical="center"/>
      <protection locked="0"/>
    </xf>
    <xf numFmtId="0" fontId="133" fillId="0" borderId="53" xfId="3" applyFont="1" applyFill="1" applyBorder="1" applyAlignment="1" applyProtection="1">
      <alignment horizontal="center" vertical="center"/>
      <protection locked="0"/>
    </xf>
    <xf numFmtId="0" fontId="133" fillId="0" borderId="53" xfId="3" applyFont="1" applyBorder="1" applyAlignment="1" applyProtection="1">
      <alignment horizontal="left" vertical="center"/>
      <protection locked="0"/>
    </xf>
    <xf numFmtId="0" fontId="137" fillId="0" borderId="0" xfId="3" applyFont="1" applyBorder="1" applyAlignment="1" applyProtection="1">
      <alignment horizontal="center" vertical="center"/>
    </xf>
    <xf numFmtId="0" fontId="137" fillId="0" borderId="39" xfId="3" applyFont="1" applyBorder="1" applyAlignment="1" applyProtection="1">
      <alignment horizontal="center" vertical="center"/>
    </xf>
    <xf numFmtId="0" fontId="131" fillId="12" borderId="0" xfId="3" applyFont="1" applyFill="1" applyBorder="1" applyAlignment="1" applyProtection="1">
      <alignment horizontal="left"/>
      <protection locked="0"/>
    </xf>
    <xf numFmtId="0" fontId="135" fillId="0" borderId="0" xfId="3" applyFont="1" applyBorder="1" applyAlignment="1" applyProtection="1">
      <alignment horizontal="center" vertical="center"/>
    </xf>
    <xf numFmtId="0" fontId="170" fillId="0" borderId="0" xfId="3" applyFont="1" applyBorder="1" applyAlignment="1" applyProtection="1">
      <alignment horizontal="left" vertical="center"/>
      <protection locked="0"/>
    </xf>
    <xf numFmtId="0" fontId="131" fillId="0" borderId="0" xfId="3" applyFont="1" applyBorder="1" applyAlignment="1" applyProtection="1">
      <alignment horizontal="center" vertical="center"/>
      <protection locked="0"/>
    </xf>
    <xf numFmtId="0" fontId="131" fillId="0" borderId="39" xfId="3" applyFont="1" applyBorder="1" applyAlignment="1" applyProtection="1">
      <alignment horizontal="center" vertical="center"/>
      <protection locked="0"/>
    </xf>
    <xf numFmtId="0" fontId="137" fillId="12" borderId="53" xfId="3" applyFont="1" applyFill="1" applyBorder="1" applyAlignment="1" applyProtection="1">
      <alignment horizontal="left"/>
    </xf>
    <xf numFmtId="0" fontId="131" fillId="12" borderId="53" xfId="3" applyFont="1" applyFill="1" applyBorder="1" applyAlignment="1" applyProtection="1">
      <alignment horizontal="left"/>
      <protection locked="0"/>
    </xf>
    <xf numFmtId="0" fontId="131" fillId="0" borderId="0" xfId="3" applyFont="1" applyBorder="1" applyAlignment="1" applyProtection="1">
      <alignment horizontal="justify" vertical="center"/>
      <protection locked="0"/>
    </xf>
    <xf numFmtId="0" fontId="131" fillId="0" borderId="39" xfId="3" applyFont="1" applyBorder="1" applyAlignment="1" applyProtection="1">
      <alignment horizontal="justify" vertical="center"/>
      <protection locked="0"/>
    </xf>
    <xf numFmtId="0" fontId="133" fillId="0" borderId="67" xfId="3" applyFont="1" applyBorder="1" applyAlignment="1" applyProtection="1">
      <alignment horizontal="center" vertical="center"/>
    </xf>
    <xf numFmtId="0" fontId="133" fillId="0" borderId="157" xfId="3" applyFont="1" applyBorder="1" applyAlignment="1" applyProtection="1">
      <alignment horizontal="center" vertical="center"/>
    </xf>
    <xf numFmtId="0" fontId="133" fillId="0" borderId="0" xfId="3" applyFont="1" applyBorder="1" applyAlignment="1" applyProtection="1">
      <alignment horizontal="center" vertical="center"/>
    </xf>
    <xf numFmtId="0" fontId="133" fillId="0" borderId="44" xfId="3" applyFont="1" applyBorder="1" applyAlignment="1" applyProtection="1">
      <alignment horizontal="center" vertical="center"/>
    </xf>
    <xf numFmtId="0" fontId="133" fillId="0" borderId="156" xfId="3" applyFont="1" applyBorder="1" applyAlignment="1" applyProtection="1">
      <alignment horizontal="center" vertical="center"/>
    </xf>
    <xf numFmtId="0" fontId="131" fillId="0" borderId="67" xfId="3" applyFont="1" applyBorder="1" applyAlignment="1" applyProtection="1">
      <alignment horizontal="center" vertical="center"/>
      <protection locked="0"/>
    </xf>
    <xf numFmtId="0" fontId="131" fillId="0" borderId="157" xfId="3" applyFont="1" applyBorder="1" applyAlignment="1" applyProtection="1">
      <alignment horizontal="center" vertical="center"/>
      <protection locked="0"/>
    </xf>
    <xf numFmtId="0" fontId="131" fillId="0" borderId="53" xfId="3" applyFont="1" applyBorder="1" applyAlignment="1" applyProtection="1">
      <alignment horizontal="center" vertical="center"/>
      <protection locked="0"/>
    </xf>
    <xf numFmtId="0" fontId="131" fillId="0" borderId="54" xfId="3" applyFont="1" applyBorder="1" applyAlignment="1" applyProtection="1">
      <alignment horizontal="center" vertical="center"/>
      <protection locked="0"/>
    </xf>
    <xf numFmtId="0" fontId="133" fillId="0" borderId="158" xfId="3" applyFont="1" applyBorder="1" applyAlignment="1" applyProtection="1">
      <alignment vertical="center"/>
    </xf>
    <xf numFmtId="0" fontId="133" fillId="0" borderId="67" xfId="3" applyFont="1" applyBorder="1" applyAlignment="1" applyProtection="1">
      <alignment vertical="center"/>
    </xf>
    <xf numFmtId="0" fontId="112" fillId="0" borderId="189" xfId="3" applyFont="1" applyBorder="1" applyAlignment="1" applyProtection="1">
      <alignment horizontal="center" vertical="center" wrapText="1"/>
    </xf>
    <xf numFmtId="0" fontId="112" fillId="0" borderId="104" xfId="3" applyFont="1" applyBorder="1" applyAlignment="1" applyProtection="1">
      <alignment horizontal="center" vertical="center" wrapText="1"/>
    </xf>
    <xf numFmtId="171" fontId="111" fillId="0" borderId="40" xfId="3" applyNumberFormat="1" applyFont="1" applyBorder="1" applyAlignment="1" applyProtection="1">
      <alignment horizontal="center" vertical="center"/>
    </xf>
    <xf numFmtId="171" fontId="111" fillId="0" borderId="42" xfId="3" applyNumberFormat="1" applyFont="1" applyBorder="1" applyAlignment="1" applyProtection="1">
      <alignment horizontal="center" vertical="center"/>
    </xf>
    <xf numFmtId="0" fontId="133" fillId="0" borderId="0" xfId="3" applyFont="1" applyBorder="1" applyAlignment="1">
      <alignment horizontal="center"/>
    </xf>
    <xf numFmtId="0" fontId="131" fillId="0" borderId="0" xfId="3" applyFont="1" applyBorder="1" applyAlignment="1">
      <alignment horizontal="center"/>
    </xf>
    <xf numFmtId="0" fontId="171" fillId="37" borderId="40" xfId="3" applyFont="1" applyFill="1" applyBorder="1" applyAlignment="1" applyProtection="1">
      <alignment horizontal="center" vertical="center"/>
    </xf>
    <xf numFmtId="0" fontId="171" fillId="37" borderId="41" xfId="3" applyFont="1" applyFill="1" applyBorder="1" applyAlignment="1" applyProtection="1">
      <alignment horizontal="center" vertical="center"/>
    </xf>
    <xf numFmtId="0" fontId="171" fillId="37" borderId="42" xfId="3" applyFont="1" applyFill="1" applyBorder="1" applyAlignment="1" applyProtection="1">
      <alignment horizontal="center" vertical="center"/>
    </xf>
    <xf numFmtId="0" fontId="112" fillId="0" borderId="40" xfId="3" applyFont="1" applyBorder="1" applyAlignment="1" applyProtection="1">
      <alignment horizontal="center" vertical="center"/>
    </xf>
    <xf numFmtId="0" fontId="112" fillId="0" borderId="41" xfId="3" applyFont="1" applyBorder="1" applyAlignment="1" applyProtection="1">
      <alignment horizontal="center" vertical="center"/>
    </xf>
    <xf numFmtId="0" fontId="112" fillId="0" borderId="42" xfId="3" applyFont="1" applyBorder="1" applyAlignment="1" applyProtection="1">
      <alignment horizontal="center" vertical="center"/>
    </xf>
    <xf numFmtId="0" fontId="112" fillId="0" borderId="35" xfId="3" applyFont="1" applyBorder="1" applyAlignment="1" applyProtection="1">
      <alignment horizontal="center" vertical="center" wrapText="1"/>
    </xf>
    <xf numFmtId="0" fontId="112" fillId="0" borderId="37" xfId="3" applyFont="1" applyBorder="1" applyAlignment="1" applyProtection="1">
      <alignment horizontal="center" vertical="center" wrapText="1"/>
    </xf>
    <xf numFmtId="0" fontId="112" fillId="0" borderId="55" xfId="3" applyFont="1" applyBorder="1" applyAlignment="1" applyProtection="1">
      <alignment horizontal="center" vertical="center" wrapText="1"/>
    </xf>
    <xf numFmtId="0" fontId="112" fillId="0" borderId="57" xfId="3" applyFont="1" applyBorder="1" applyAlignment="1" applyProtection="1">
      <alignment horizontal="center" vertical="center" wrapText="1"/>
    </xf>
    <xf numFmtId="0" fontId="119" fillId="2" borderId="0" xfId="0" applyNumberFormat="1" applyFont="1" applyFill="1" applyBorder="1" applyAlignment="1" applyProtection="1">
      <alignment horizontal="center"/>
    </xf>
    <xf numFmtId="0" fontId="114" fillId="0" borderId="8" xfId="0" applyNumberFormat="1" applyFont="1" applyFill="1" applyBorder="1" applyAlignment="1" applyProtection="1">
      <alignment horizontal="left"/>
      <protection locked="0"/>
    </xf>
    <xf numFmtId="0" fontId="115" fillId="0" borderId="8" xfId="0" applyNumberFormat="1" applyFont="1" applyFill="1" applyBorder="1" applyAlignment="1" applyProtection="1">
      <alignment horizontal="left"/>
      <protection locked="0"/>
    </xf>
    <xf numFmtId="0" fontId="114" fillId="19" borderId="8" xfId="0" applyNumberFormat="1" applyFont="1" applyFill="1" applyBorder="1" applyAlignment="1" applyProtection="1">
      <alignment horizontal="left"/>
      <protection locked="0"/>
    </xf>
    <xf numFmtId="0" fontId="115" fillId="19" borderId="8" xfId="0" applyNumberFormat="1" applyFont="1" applyFill="1" applyBorder="1" applyAlignment="1" applyProtection="1">
      <alignment horizontal="left"/>
      <protection locked="0"/>
    </xf>
    <xf numFmtId="0" fontId="157" fillId="35" borderId="274" xfId="0" applyNumberFormat="1" applyFont="1" applyFill="1" applyBorder="1" applyAlignment="1" applyProtection="1">
      <alignment horizontal="center" vertical="center"/>
      <protection locked="0"/>
    </xf>
    <xf numFmtId="0" fontId="157" fillId="35" borderId="275" xfId="0" applyNumberFormat="1" applyFont="1" applyFill="1" applyBorder="1" applyAlignment="1" applyProtection="1">
      <alignment horizontal="center" vertical="center"/>
      <protection locked="0"/>
    </xf>
    <xf numFmtId="0" fontId="4" fillId="0" borderId="78" xfId="0" applyFont="1" applyBorder="1" applyAlignment="1">
      <alignment horizontal="center"/>
    </xf>
    <xf numFmtId="0" fontId="0" fillId="0" borderId="79" xfId="0" applyBorder="1" applyAlignment="1">
      <alignment horizontal="center"/>
    </xf>
    <xf numFmtId="0" fontId="0" fillId="0" borderId="81" xfId="0" applyBorder="1" applyAlignment="1">
      <alignment horizontal="center"/>
    </xf>
    <xf numFmtId="4" fontId="12" fillId="5" borderId="43" xfId="0" applyNumberFormat="1" applyFont="1" applyFill="1" applyBorder="1" applyAlignment="1" applyProtection="1">
      <alignment horizontal="center" vertical="top"/>
    </xf>
    <xf numFmtId="4" fontId="12" fillId="5" borderId="45" xfId="0" applyNumberFormat="1" applyFont="1" applyFill="1" applyBorder="1" applyAlignment="1" applyProtection="1">
      <alignment horizontal="center" vertical="top"/>
    </xf>
    <xf numFmtId="0" fontId="83" fillId="8" borderId="43" xfId="0" applyFont="1" applyFill="1" applyBorder="1" applyAlignment="1" applyProtection="1">
      <alignment horizontal="center"/>
    </xf>
    <xf numFmtId="0" fontId="83" fillId="8" borderId="44" xfId="0" applyFont="1" applyFill="1" applyBorder="1" applyAlignment="1" applyProtection="1">
      <alignment horizontal="center"/>
    </xf>
    <xf numFmtId="0" fontId="83" fillId="8" borderId="45" xfId="0" applyFont="1" applyFill="1" applyBorder="1" applyAlignment="1" applyProtection="1">
      <alignment horizontal="center"/>
    </xf>
    <xf numFmtId="0" fontId="12" fillId="24" borderId="40" xfId="0" applyFont="1" applyFill="1" applyBorder="1" applyAlignment="1">
      <alignment horizontal="center"/>
    </xf>
    <xf numFmtId="0" fontId="12" fillId="24" borderId="41" xfId="0" quotePrefix="1" applyFont="1" applyFill="1" applyBorder="1" applyAlignment="1">
      <alignment horizontal="center"/>
    </xf>
    <xf numFmtId="0" fontId="12" fillId="24" borderId="42" xfId="0" quotePrefix="1" applyFont="1" applyFill="1" applyBorder="1" applyAlignment="1">
      <alignment horizontal="center"/>
    </xf>
    <xf numFmtId="0" fontId="4" fillId="0" borderId="35" xfId="0" applyFont="1" applyFill="1" applyBorder="1" applyAlignment="1" applyProtection="1">
      <alignment horizontal="justify" vertical="top" wrapText="1"/>
    </xf>
    <xf numFmtId="0" fontId="15" fillId="0" borderId="36" xfId="0" applyFont="1" applyFill="1" applyBorder="1" applyAlignment="1" applyProtection="1">
      <alignment horizontal="justify" vertical="top"/>
    </xf>
    <xf numFmtId="0" fontId="15" fillId="0" borderId="37" xfId="0" applyFont="1" applyFill="1" applyBorder="1" applyAlignment="1" applyProtection="1">
      <alignment horizontal="justify" vertical="top"/>
    </xf>
    <xf numFmtId="0" fontId="15" fillId="0" borderId="38" xfId="0" applyFont="1" applyFill="1" applyBorder="1" applyAlignment="1" applyProtection="1">
      <alignment horizontal="justify" vertical="top"/>
    </xf>
    <xf numFmtId="0" fontId="15" fillId="0" borderId="0" xfId="0" applyFont="1" applyFill="1" applyBorder="1" applyAlignment="1" applyProtection="1">
      <alignment horizontal="justify" vertical="top"/>
    </xf>
    <xf numFmtId="0" fontId="15" fillId="0" borderId="39" xfId="0" applyFont="1" applyFill="1" applyBorder="1" applyAlignment="1" applyProtection="1">
      <alignment horizontal="justify" vertical="top"/>
    </xf>
    <xf numFmtId="0" fontId="15" fillId="0" borderId="55" xfId="0" applyFont="1" applyFill="1" applyBorder="1" applyAlignment="1" applyProtection="1">
      <alignment horizontal="justify" vertical="top"/>
    </xf>
    <xf numFmtId="0" fontId="15" fillId="0" borderId="56" xfId="0" applyFont="1" applyFill="1" applyBorder="1" applyAlignment="1" applyProtection="1">
      <alignment horizontal="justify" vertical="top"/>
    </xf>
    <xf numFmtId="0" fontId="15" fillId="0" borderId="57" xfId="0" applyFont="1" applyFill="1" applyBorder="1" applyAlignment="1" applyProtection="1">
      <alignment horizontal="justify" vertical="top"/>
    </xf>
    <xf numFmtId="4" fontId="5" fillId="0" borderId="35" xfId="0" applyNumberFormat="1" applyFont="1" applyFill="1" applyBorder="1" applyAlignment="1" applyProtection="1">
      <alignment horizontal="justify" vertical="top" wrapText="1"/>
    </xf>
    <xf numFmtId="4" fontId="5" fillId="0" borderId="36" xfId="0" applyNumberFormat="1" applyFont="1" applyFill="1" applyBorder="1" applyAlignment="1" applyProtection="1">
      <alignment horizontal="justify" vertical="top" wrapText="1"/>
    </xf>
    <xf numFmtId="4" fontId="5" fillId="0" borderId="37" xfId="0" applyNumberFormat="1" applyFont="1" applyFill="1" applyBorder="1" applyAlignment="1" applyProtection="1">
      <alignment horizontal="justify" vertical="top" wrapText="1"/>
    </xf>
    <xf numFmtId="4" fontId="5" fillId="0" borderId="38" xfId="0" applyNumberFormat="1" applyFont="1" applyFill="1" applyBorder="1" applyAlignment="1" applyProtection="1">
      <alignment horizontal="justify" vertical="top" wrapText="1"/>
    </xf>
    <xf numFmtId="4" fontId="5" fillId="0" borderId="0" xfId="0" applyNumberFormat="1" applyFont="1" applyFill="1" applyBorder="1" applyAlignment="1" applyProtection="1">
      <alignment horizontal="justify" vertical="top" wrapText="1"/>
    </xf>
    <xf numFmtId="4" fontId="5" fillId="0" borderId="39" xfId="0" applyNumberFormat="1" applyFont="1" applyFill="1" applyBorder="1" applyAlignment="1" applyProtection="1">
      <alignment horizontal="justify" vertical="top" wrapText="1"/>
    </xf>
    <xf numFmtId="4" fontId="5" fillId="0" borderId="55" xfId="0" applyNumberFormat="1" applyFont="1" applyFill="1" applyBorder="1" applyAlignment="1" applyProtection="1">
      <alignment horizontal="justify" vertical="top" wrapText="1"/>
    </xf>
    <xf numFmtId="4" fontId="5" fillId="0" borderId="56" xfId="0" applyNumberFormat="1" applyFont="1" applyFill="1" applyBorder="1" applyAlignment="1" applyProtection="1">
      <alignment horizontal="justify" vertical="top" wrapText="1"/>
    </xf>
    <xf numFmtId="4" fontId="5" fillId="0" borderId="57" xfId="0" applyNumberFormat="1" applyFont="1" applyFill="1" applyBorder="1" applyAlignment="1" applyProtection="1">
      <alignment horizontal="justify" vertical="top" wrapText="1"/>
    </xf>
    <xf numFmtId="4" fontId="4" fillId="0" borderId="35" xfId="0" applyNumberFormat="1" applyFont="1" applyFill="1" applyBorder="1" applyAlignment="1" applyProtection="1">
      <alignment horizontal="justify" vertical="top" wrapText="1"/>
    </xf>
    <xf numFmtId="4" fontId="15" fillId="0" borderId="36" xfId="0" applyNumberFormat="1" applyFont="1" applyFill="1" applyBorder="1" applyAlignment="1" applyProtection="1">
      <alignment horizontal="justify" vertical="top" wrapText="1"/>
    </xf>
    <xf numFmtId="4" fontId="15" fillId="0" borderId="37" xfId="0" applyNumberFormat="1" applyFont="1" applyFill="1" applyBorder="1" applyAlignment="1" applyProtection="1">
      <alignment horizontal="justify" vertical="top" wrapText="1"/>
    </xf>
    <xf numFmtId="4" fontId="15" fillId="0" borderId="38" xfId="0" applyNumberFormat="1" applyFont="1" applyFill="1" applyBorder="1" applyAlignment="1" applyProtection="1">
      <alignment horizontal="justify" vertical="top" wrapText="1"/>
    </xf>
    <xf numFmtId="4" fontId="15" fillId="0" borderId="0" xfId="0" applyNumberFormat="1" applyFont="1" applyFill="1" applyBorder="1" applyAlignment="1" applyProtection="1">
      <alignment horizontal="justify" vertical="top" wrapText="1"/>
    </xf>
    <xf numFmtId="4" fontId="15" fillId="0" borderId="39" xfId="0" applyNumberFormat="1" applyFont="1" applyFill="1" applyBorder="1" applyAlignment="1" applyProtection="1">
      <alignment horizontal="justify" vertical="top" wrapText="1"/>
    </xf>
    <xf numFmtId="4" fontId="15" fillId="0" borderId="55" xfId="0" applyNumberFormat="1" applyFont="1" applyFill="1" applyBorder="1" applyAlignment="1" applyProtection="1">
      <alignment horizontal="justify" vertical="top" wrapText="1"/>
    </xf>
    <xf numFmtId="4" fontId="15" fillId="0" borderId="56" xfId="0" applyNumberFormat="1" applyFont="1" applyFill="1" applyBorder="1" applyAlignment="1" applyProtection="1">
      <alignment horizontal="justify" vertical="top" wrapText="1"/>
    </xf>
    <xf numFmtId="4" fontId="15" fillId="0" borderId="57" xfId="0" applyNumberFormat="1" applyFont="1" applyFill="1" applyBorder="1" applyAlignment="1" applyProtection="1">
      <alignment horizontal="justify" vertical="top" wrapText="1"/>
    </xf>
    <xf numFmtId="0" fontId="46" fillId="0" borderId="0" xfId="0" applyFont="1" applyBorder="1" applyAlignment="1">
      <alignment horizontal="center"/>
    </xf>
    <xf numFmtId="0" fontId="124" fillId="0" borderId="293" xfId="0" applyFont="1" applyBorder="1" applyAlignment="1">
      <alignment horizontal="center"/>
    </xf>
    <xf numFmtId="0" fontId="124" fillId="0" borderId="0" xfId="0" applyFont="1" applyBorder="1" applyAlignment="1">
      <alignment horizontal="center"/>
    </xf>
    <xf numFmtId="0" fontId="92" fillId="0" borderId="0" xfId="16" applyFont="1" applyAlignment="1">
      <alignment horizontal="left" vertical="top" wrapText="1" indent="2"/>
    </xf>
    <xf numFmtId="0" fontId="44" fillId="12" borderId="0" xfId="16" applyFont="1" applyFill="1" applyAlignment="1">
      <alignment horizontal="left" vertical="top" wrapText="1" indent="2"/>
    </xf>
    <xf numFmtId="0" fontId="61" fillId="0" borderId="291" xfId="16" applyFont="1" applyBorder="1" applyAlignment="1">
      <alignment horizontal="left" vertical="center" wrapText="1" indent="1"/>
    </xf>
    <xf numFmtId="0" fontId="61" fillId="0" borderId="0" xfId="16" applyFont="1" applyBorder="1" applyAlignment="1">
      <alignment horizontal="left" vertical="center" wrapText="1" indent="1"/>
    </xf>
    <xf numFmtId="0" fontId="33" fillId="0" borderId="0" xfId="16" applyFont="1" applyAlignment="1">
      <alignment horizontal="center" vertical="center"/>
    </xf>
    <xf numFmtId="0" fontId="33" fillId="0" borderId="292" xfId="16" applyFont="1" applyBorder="1" applyAlignment="1">
      <alignment horizontal="center" vertical="center"/>
    </xf>
    <xf numFmtId="0" fontId="186" fillId="0" borderId="0" xfId="16" applyFont="1" applyAlignment="1">
      <alignment horizontal="left"/>
    </xf>
    <xf numFmtId="0" fontId="192" fillId="0" borderId="0" xfId="16" applyFont="1" applyBorder="1" applyAlignment="1">
      <alignment horizontal="right"/>
    </xf>
    <xf numFmtId="0" fontId="192" fillId="0" borderId="286" xfId="16" applyFont="1" applyBorder="1" applyAlignment="1">
      <alignment horizontal="right"/>
    </xf>
    <xf numFmtId="211" fontId="38" fillId="0" borderId="289" xfId="16" applyNumberFormat="1" applyFont="1" applyBorder="1" applyAlignment="1">
      <alignment horizontal="right"/>
    </xf>
    <xf numFmtId="211" fontId="38" fillId="0" borderId="290" xfId="16" applyNumberFormat="1" applyFont="1" applyBorder="1" applyAlignment="1">
      <alignment horizontal="right"/>
    </xf>
    <xf numFmtId="0" fontId="61" fillId="0" borderId="289" xfId="16" applyFont="1" applyBorder="1" applyAlignment="1">
      <alignment horizontal="center"/>
    </xf>
    <xf numFmtId="0" fontId="61" fillId="0" borderId="0" xfId="16" applyFont="1" applyBorder="1" applyAlignment="1">
      <alignment horizontal="center"/>
    </xf>
    <xf numFmtId="0" fontId="189" fillId="0" borderId="287" xfId="16" applyFont="1" applyBorder="1" applyAlignment="1">
      <alignment horizontal="center"/>
    </xf>
    <xf numFmtId="0" fontId="124" fillId="0" borderId="0" xfId="16" applyFont="1" applyAlignment="1">
      <alignment horizontal="left"/>
    </xf>
    <xf numFmtId="0" fontId="179" fillId="5" borderId="0" xfId="16" quotePrefix="1" applyFont="1" applyFill="1" applyAlignment="1">
      <alignment horizontal="left"/>
    </xf>
    <xf numFmtId="0" fontId="180" fillId="0" borderId="0" xfId="16" applyFont="1" applyAlignment="1">
      <alignment horizontal="left" indent="1" shrinkToFit="1"/>
    </xf>
    <xf numFmtId="0" fontId="181" fillId="0" borderId="0" xfId="16" applyFont="1" applyAlignment="1">
      <alignment horizontal="left" indent="1" shrinkToFit="1"/>
    </xf>
    <xf numFmtId="171" fontId="183" fillId="0" borderId="0" xfId="16" applyNumberFormat="1" applyFont="1" applyAlignment="1">
      <alignment horizontal="left" indent="1"/>
    </xf>
    <xf numFmtId="0" fontId="54" fillId="0" borderId="0" xfId="16" applyFont="1" applyAlignment="1">
      <alignment horizontal="right" vertical="center" indent="1"/>
    </xf>
    <xf numFmtId="0" fontId="54" fillId="0" borderId="39" xfId="16" applyFont="1" applyBorder="1" applyAlignment="1">
      <alignment horizontal="right" vertical="center" indent="1"/>
    </xf>
    <xf numFmtId="0" fontId="184" fillId="0" borderId="38" xfId="16" applyFont="1" applyBorder="1" applyAlignment="1">
      <alignment horizontal="left" vertical="center" shrinkToFit="1"/>
    </xf>
    <xf numFmtId="0" fontId="184" fillId="0" borderId="0" xfId="16" applyFont="1" applyBorder="1" applyAlignment="1">
      <alignment horizontal="left" vertical="center" shrinkToFit="1"/>
    </xf>
    <xf numFmtId="0" fontId="185" fillId="0" borderId="0" xfId="16" applyFont="1" applyAlignment="1">
      <alignment horizontal="left" indent="1"/>
    </xf>
    <xf numFmtId="0" fontId="162" fillId="14" borderId="247" xfId="0" applyFont="1" applyFill="1" applyBorder="1" applyAlignment="1">
      <alignment horizontal="center" vertical="justify"/>
    </xf>
    <xf numFmtId="0" fontId="162" fillId="14" borderId="0" xfId="0" applyFont="1" applyFill="1" applyBorder="1" applyAlignment="1">
      <alignment horizontal="center" vertical="justify"/>
    </xf>
    <xf numFmtId="0" fontId="162" fillId="14" borderId="252" xfId="0" applyFont="1" applyFill="1" applyBorder="1" applyAlignment="1">
      <alignment horizontal="center" vertical="justify"/>
    </xf>
    <xf numFmtId="0" fontId="38" fillId="5" borderId="80" xfId="0" applyFont="1" applyFill="1" applyBorder="1" applyAlignment="1">
      <alignment horizontal="center"/>
    </xf>
    <xf numFmtId="0" fontId="38" fillId="5" borderId="41" xfId="0" applyFont="1" applyFill="1" applyBorder="1" applyAlignment="1">
      <alignment horizontal="center"/>
    </xf>
    <xf numFmtId="0" fontId="35" fillId="12" borderId="0" xfId="0" applyFont="1" applyFill="1" applyAlignment="1">
      <alignment horizontal="right"/>
    </xf>
    <xf numFmtId="0" fontId="133" fillId="12" borderId="0" xfId="3" applyFont="1" applyFill="1" applyBorder="1" applyAlignment="1" applyProtection="1">
      <alignment horizontal="center" vertical="center"/>
      <protection locked="0"/>
    </xf>
    <xf numFmtId="0" fontId="133" fillId="12" borderId="53" xfId="3" applyFont="1" applyFill="1" applyBorder="1" applyAlignment="1" applyProtection="1">
      <alignment horizontal="center" vertical="center"/>
      <protection locked="0"/>
    </xf>
    <xf numFmtId="0" fontId="137" fillId="0" borderId="44" xfId="3" applyFont="1" applyBorder="1" applyAlignment="1" applyProtection="1">
      <alignment horizontal="center" vertical="center"/>
    </xf>
    <xf numFmtId="0" fontId="137" fillId="0" borderId="156" xfId="3" applyFont="1" applyBorder="1" applyAlignment="1" applyProtection="1">
      <alignment horizontal="center" vertical="center"/>
    </xf>
    <xf numFmtId="0" fontId="135" fillId="0" borderId="53" xfId="3" applyFont="1" applyBorder="1" applyAlignment="1" applyProtection="1">
      <alignment horizontal="center" vertical="center"/>
    </xf>
    <xf numFmtId="0" fontId="38" fillId="3" borderId="0" xfId="0" applyFont="1" applyFill="1" applyBorder="1" applyAlignment="1">
      <alignment horizontal="center" vertical="center"/>
    </xf>
    <xf numFmtId="0" fontId="38" fillId="3" borderId="66" xfId="0" applyFont="1" applyFill="1" applyBorder="1" applyAlignment="1" applyProtection="1">
      <alignment horizontal="center" vertical="center" wrapText="1"/>
      <protection locked="0"/>
    </xf>
    <xf numFmtId="164" fontId="38" fillId="3" borderId="0" xfId="0" applyNumberFormat="1" applyFont="1" applyFill="1" applyBorder="1" applyAlignment="1" applyProtection="1">
      <alignment horizontal="center" vertical="center" wrapText="1"/>
    </xf>
    <xf numFmtId="0" fontId="38" fillId="3" borderId="0" xfId="0" applyFont="1" applyFill="1" applyBorder="1" applyAlignment="1" applyProtection="1">
      <alignment horizontal="center" vertical="center" wrapText="1"/>
    </xf>
    <xf numFmtId="0" fontId="38" fillId="13" borderId="78" xfId="0" applyFont="1" applyFill="1" applyBorder="1" applyAlignment="1" applyProtection="1">
      <alignment horizontal="center" vertical="center"/>
      <protection locked="0"/>
    </xf>
    <xf numFmtId="0" fontId="38" fillId="13" borderId="79" xfId="0" applyFont="1" applyFill="1" applyBorder="1" applyAlignment="1" applyProtection="1">
      <alignment horizontal="center" vertical="center"/>
      <protection locked="0"/>
    </xf>
    <xf numFmtId="0" fontId="38" fillId="13" borderId="81" xfId="0" applyFont="1" applyFill="1" applyBorder="1" applyAlignment="1" applyProtection="1">
      <alignment horizontal="center" vertical="center"/>
      <protection locked="0"/>
    </xf>
    <xf numFmtId="0" fontId="44" fillId="0" borderId="52" xfId="0" applyFont="1" applyBorder="1" applyAlignment="1" applyProtection="1">
      <alignment horizontal="left" vertical="center"/>
      <protection locked="0"/>
    </xf>
    <xf numFmtId="0" fontId="44" fillId="0" borderId="53" xfId="0" applyFont="1" applyBorder="1" applyAlignment="1" applyProtection="1">
      <alignment horizontal="left" vertical="center"/>
      <protection locked="0"/>
    </xf>
    <xf numFmtId="0" fontId="44" fillId="0" borderId="54" xfId="0" applyFont="1" applyBorder="1" applyAlignment="1" applyProtection="1">
      <alignment horizontal="left" vertical="center"/>
      <protection locked="0"/>
    </xf>
    <xf numFmtId="0" fontId="44" fillId="0" borderId="177" xfId="0" applyFont="1" applyBorder="1" applyAlignment="1" applyProtection="1">
      <alignment horizontal="left" vertical="center"/>
      <protection locked="0"/>
    </xf>
    <xf numFmtId="0" fontId="44" fillId="0" borderId="181" xfId="0" applyFont="1" applyBorder="1" applyAlignment="1" applyProtection="1">
      <alignment horizontal="left" vertical="center"/>
      <protection locked="0"/>
    </xf>
    <xf numFmtId="0" fontId="44" fillId="0" borderId="182" xfId="0" applyFont="1" applyBorder="1" applyAlignment="1" applyProtection="1">
      <alignment horizontal="left" vertical="center"/>
      <protection locked="0"/>
    </xf>
    <xf numFmtId="167" fontId="38" fillId="3" borderId="0" xfId="2" applyFont="1" applyFill="1" applyBorder="1" applyAlignment="1" applyProtection="1">
      <alignment horizontal="left" vertical="center" wrapText="1"/>
      <protection locked="0"/>
    </xf>
    <xf numFmtId="0" fontId="38" fillId="0" borderId="158" xfId="0" applyFont="1" applyBorder="1" applyAlignment="1" applyProtection="1">
      <alignment vertical="center"/>
    </xf>
    <xf numFmtId="0" fontId="44" fillId="0" borderId="67" xfId="0" applyFont="1" applyBorder="1" applyAlignment="1">
      <alignment vertical="center"/>
    </xf>
    <xf numFmtId="0" fontId="43" fillId="0" borderId="44" xfId="0" applyFont="1" applyBorder="1" applyAlignment="1" applyProtection="1">
      <alignment horizontal="center" vertical="center"/>
    </xf>
    <xf numFmtId="0" fontId="43" fillId="0" borderId="156" xfId="0" applyFont="1" applyBorder="1" applyAlignment="1" applyProtection="1">
      <alignment horizontal="center" vertical="center"/>
    </xf>
    <xf numFmtId="0" fontId="44" fillId="0" borderId="0" xfId="0" applyFont="1" applyBorder="1" applyAlignment="1" applyProtection="1">
      <alignment horizontal="justify" vertical="center"/>
      <protection locked="0"/>
    </xf>
    <xf numFmtId="0" fontId="44" fillId="0" borderId="39" xfId="0" applyFont="1" applyBorder="1" applyAlignment="1" applyProtection="1">
      <alignment horizontal="justify" vertical="center"/>
      <protection locked="0"/>
    </xf>
    <xf numFmtId="167" fontId="38" fillId="3" borderId="67" xfId="2" applyFont="1" applyFill="1" applyBorder="1" applyAlignment="1" applyProtection="1">
      <alignment horizontal="center" vertical="center" wrapText="1"/>
      <protection locked="0"/>
    </xf>
    <xf numFmtId="167" fontId="38" fillId="3" borderId="157" xfId="2" applyFont="1" applyFill="1" applyBorder="1" applyAlignment="1" applyProtection="1">
      <alignment horizontal="center" vertical="center" wrapText="1"/>
      <protection locked="0"/>
    </xf>
    <xf numFmtId="0" fontId="38" fillId="0" borderId="35" xfId="0" applyFont="1" applyBorder="1" applyAlignment="1" applyProtection="1">
      <alignment horizontal="center" vertical="center" wrapText="1"/>
    </xf>
    <xf numFmtId="0" fontId="38" fillId="0" borderId="55" xfId="0" applyFont="1" applyBorder="1" applyAlignment="1" applyProtection="1">
      <alignment horizontal="center" vertical="center" wrapText="1"/>
    </xf>
    <xf numFmtId="0" fontId="38" fillId="0" borderId="40" xfId="0" applyFont="1" applyBorder="1" applyAlignment="1" applyProtection="1">
      <alignment horizontal="center" vertical="center"/>
    </xf>
    <xf numFmtId="0" fontId="38" fillId="0" borderId="41" xfId="0" applyFont="1" applyBorder="1" applyAlignment="1" applyProtection="1">
      <alignment horizontal="center" vertical="center"/>
    </xf>
    <xf numFmtId="0" fontId="38" fillId="0" borderId="42" xfId="0" applyFont="1" applyBorder="1" applyAlignment="1" applyProtection="1">
      <alignment horizontal="center" vertical="center"/>
    </xf>
    <xf numFmtId="0" fontId="38" fillId="0" borderId="189" xfId="0" applyFont="1" applyBorder="1" applyAlignment="1" applyProtection="1">
      <alignment horizontal="center" vertical="center" wrapText="1"/>
    </xf>
    <xf numFmtId="0" fontId="38" fillId="0" borderId="104" xfId="0" applyFont="1" applyBorder="1" applyAlignment="1">
      <alignment horizontal="center" vertical="center" wrapText="1"/>
    </xf>
    <xf numFmtId="0" fontId="38" fillId="0" borderId="36" xfId="0" applyFont="1" applyBorder="1" applyAlignment="1" applyProtection="1">
      <alignment horizontal="center" vertical="center" wrapText="1"/>
    </xf>
    <xf numFmtId="0" fontId="38" fillId="0" borderId="56" xfId="0" applyFont="1" applyBorder="1" applyAlignment="1">
      <alignment horizontal="center" vertical="center" wrapText="1"/>
    </xf>
    <xf numFmtId="0" fontId="44" fillId="0" borderId="53" xfId="0" applyFont="1" applyBorder="1" applyAlignment="1" applyProtection="1">
      <alignment horizontal="center" vertical="center"/>
      <protection locked="0"/>
    </xf>
    <xf numFmtId="0" fontId="44" fillId="0" borderId="54" xfId="0" applyFont="1" applyBorder="1" applyAlignment="1" applyProtection="1">
      <alignment horizontal="center" vertical="center"/>
      <protection locked="0"/>
    </xf>
    <xf numFmtId="0" fontId="38" fillId="10" borderId="105" xfId="0" applyFont="1" applyFill="1" applyBorder="1" applyAlignment="1" applyProtection="1">
      <alignment horizontal="center" vertical="center"/>
      <protection locked="0"/>
    </xf>
    <xf numFmtId="0" fontId="38" fillId="10" borderId="190" xfId="0" applyFont="1" applyFill="1" applyBorder="1" applyAlignment="1" applyProtection="1">
      <alignment horizontal="center" vertical="center"/>
      <protection locked="0"/>
    </xf>
    <xf numFmtId="0" fontId="38" fillId="0" borderId="53" xfId="0" applyFont="1" applyBorder="1" applyAlignment="1" applyProtection="1">
      <alignment horizontal="right" vertical="center"/>
      <protection locked="0"/>
    </xf>
    <xf numFmtId="0" fontId="38" fillId="0" borderId="54" xfId="0" applyFont="1" applyBorder="1" applyAlignment="1" applyProtection="1">
      <alignment horizontal="right" vertical="center"/>
      <protection locked="0"/>
    </xf>
    <xf numFmtId="0" fontId="38" fillId="0" borderId="37" xfId="0" applyFont="1" applyBorder="1" applyAlignment="1" applyProtection="1">
      <alignment horizontal="center" vertical="center" wrapText="1"/>
    </xf>
    <xf numFmtId="0" fontId="38" fillId="0" borderId="57" xfId="0" applyFont="1" applyBorder="1" applyAlignment="1" applyProtection="1">
      <alignment horizontal="center" vertical="center" wrapText="1"/>
    </xf>
    <xf numFmtId="171" fontId="44" fillId="0" borderId="40" xfId="0" applyNumberFormat="1" applyFont="1" applyBorder="1" applyAlignment="1" applyProtection="1">
      <alignment horizontal="center" vertical="center"/>
    </xf>
    <xf numFmtId="171" fontId="44" fillId="0" borderId="42" xfId="0" applyNumberFormat="1" applyFont="1" applyBorder="1" applyAlignment="1" applyProtection="1">
      <alignment horizontal="center" vertical="center"/>
    </xf>
    <xf numFmtId="0" fontId="44" fillId="0" borderId="104" xfId="0" applyFont="1" applyBorder="1" applyAlignment="1">
      <alignment horizontal="center" vertical="center" wrapText="1"/>
    </xf>
    <xf numFmtId="0" fontId="44" fillId="0" borderId="0" xfId="0" applyFont="1" applyAlignment="1" applyProtection="1">
      <alignment horizontal="center" vertical="center"/>
      <protection locked="0"/>
    </xf>
    <xf numFmtId="0" fontId="44" fillId="0" borderId="39" xfId="0" applyFont="1" applyBorder="1" applyAlignment="1" applyProtection="1">
      <alignment horizontal="center" vertical="center"/>
      <protection locked="0"/>
    </xf>
    <xf numFmtId="0" fontId="38" fillId="0" borderId="67" xfId="0" applyFont="1" applyBorder="1" applyAlignment="1" applyProtection="1">
      <alignment horizontal="center" vertical="center"/>
    </xf>
    <xf numFmtId="0" fontId="38" fillId="0" borderId="157" xfId="0" applyFont="1" applyBorder="1" applyAlignment="1" applyProtection="1">
      <alignment horizontal="center" vertical="center"/>
    </xf>
    <xf numFmtId="0" fontId="38" fillId="0" borderId="44" xfId="0" applyFont="1" applyBorder="1" applyAlignment="1" applyProtection="1">
      <alignment horizontal="center" vertical="center"/>
    </xf>
    <xf numFmtId="0" fontId="38" fillId="0" borderId="156" xfId="0" applyFont="1" applyBorder="1" applyAlignment="1" applyProtection="1">
      <alignment horizontal="center" vertical="center"/>
    </xf>
    <xf numFmtId="171" fontId="44" fillId="0" borderId="0" xfId="0" applyNumberFormat="1" applyFont="1" applyFill="1" applyBorder="1" applyAlignment="1" applyProtection="1">
      <alignment horizontal="center" vertical="center"/>
      <protection locked="0"/>
    </xf>
    <xf numFmtId="0" fontId="44" fillId="0" borderId="0" xfId="0" applyFont="1" applyFill="1" applyBorder="1" applyAlignment="1" applyProtection="1">
      <alignment horizontal="center" vertical="center"/>
      <protection locked="0"/>
    </xf>
    <xf numFmtId="3" fontId="44" fillId="0" borderId="0" xfId="0" applyNumberFormat="1" applyFont="1" applyFill="1" applyBorder="1" applyAlignment="1" applyProtection="1">
      <alignment horizontal="center" vertical="center"/>
      <protection locked="0"/>
    </xf>
    <xf numFmtId="3" fontId="44" fillId="0" borderId="0" xfId="0" applyNumberFormat="1" applyFont="1" applyBorder="1" applyAlignment="1" applyProtection="1">
      <alignment horizontal="center" vertical="center"/>
      <protection locked="0"/>
    </xf>
    <xf numFmtId="0" fontId="44" fillId="0" borderId="67" xfId="0" applyFont="1" applyBorder="1" applyAlignment="1" applyProtection="1">
      <alignment horizontal="center" vertical="center"/>
      <protection locked="0"/>
    </xf>
    <xf numFmtId="0" fontId="44" fillId="0" borderId="157" xfId="0" applyFont="1" applyBorder="1" applyAlignment="1" applyProtection="1">
      <alignment horizontal="center" vertical="center"/>
      <protection locked="0"/>
    </xf>
    <xf numFmtId="0" fontId="44" fillId="0" borderId="0" xfId="0" applyFont="1" applyBorder="1" applyAlignment="1" applyProtection="1">
      <alignment horizontal="center" vertical="center"/>
      <protection locked="0"/>
    </xf>
    <xf numFmtId="10" fontId="44" fillId="0" borderId="0" xfId="0" applyNumberFormat="1" applyFont="1" applyBorder="1" applyAlignment="1" applyProtection="1">
      <alignment horizontal="center" vertical="center"/>
      <protection locked="0"/>
    </xf>
    <xf numFmtId="10" fontId="44" fillId="0" borderId="0" xfId="0" applyNumberFormat="1" applyFont="1" applyFill="1" applyBorder="1" applyAlignment="1" applyProtection="1">
      <alignment horizontal="center" vertical="center"/>
      <protection locked="0"/>
    </xf>
    <xf numFmtId="0" fontId="94" fillId="0" borderId="193" xfId="0" applyFont="1" applyBorder="1" applyAlignment="1" applyProtection="1">
      <alignment horizontal="justify" vertical="top" wrapText="1"/>
    </xf>
    <xf numFmtId="0" fontId="94" fillId="0" borderId="194" xfId="0" applyFont="1" applyBorder="1" applyAlignment="1" applyProtection="1">
      <alignment horizontal="justify" vertical="top" wrapText="1"/>
    </xf>
    <xf numFmtId="0" fontId="97" fillId="0" borderId="0" xfId="0" applyFont="1" applyBorder="1" applyAlignment="1" applyProtection="1">
      <alignment horizontal="right"/>
    </xf>
    <xf numFmtId="169" fontId="98" fillId="6" borderId="40" xfId="0" applyNumberFormat="1" applyFont="1" applyFill="1" applyBorder="1" applyAlignment="1" applyProtection="1">
      <alignment horizontal="center"/>
    </xf>
    <xf numFmtId="169" fontId="98" fillId="6" borderId="41" xfId="0" applyNumberFormat="1" applyFont="1" applyFill="1" applyBorder="1" applyAlignment="1" applyProtection="1">
      <alignment horizontal="center"/>
    </xf>
    <xf numFmtId="3" fontId="94" fillId="0" borderId="195" xfId="0" applyNumberFormat="1" applyFont="1" applyBorder="1" applyAlignment="1" applyProtection="1">
      <alignment horizontal="justify" vertical="top" wrapText="1"/>
    </xf>
    <xf numFmtId="0" fontId="94" fillId="0" borderId="196" xfId="0" applyFont="1" applyBorder="1" applyAlignment="1" applyProtection="1">
      <alignment horizontal="justify" vertical="top" wrapText="1"/>
    </xf>
    <xf numFmtId="0" fontId="94" fillId="0" borderId="205" xfId="0" applyFont="1" applyBorder="1" applyAlignment="1" applyProtection="1">
      <alignment horizontal="justify" vertical="top" wrapText="1"/>
      <protection locked="0"/>
    </xf>
    <xf numFmtId="0" fontId="94" fillId="0" borderId="206" xfId="0" applyFont="1" applyBorder="1" applyAlignment="1" applyProtection="1">
      <alignment horizontal="justify" vertical="top" wrapText="1"/>
      <protection locked="0"/>
    </xf>
    <xf numFmtId="0" fontId="95" fillId="0" borderId="203" xfId="0" applyFont="1" applyBorder="1" applyAlignment="1" applyProtection="1">
      <alignment horizontal="justify" vertical="top" wrapText="1"/>
    </xf>
    <xf numFmtId="0" fontId="95" fillId="0" borderId="204" xfId="0" applyFont="1" applyBorder="1" applyAlignment="1" applyProtection="1">
      <alignment horizontal="justify" vertical="top" wrapText="1"/>
    </xf>
    <xf numFmtId="3" fontId="94" fillId="0" borderId="193" xfId="0" applyNumberFormat="1" applyFont="1" applyBorder="1" applyAlignment="1" applyProtection="1">
      <alignment horizontal="justify" vertical="top" wrapText="1"/>
    </xf>
    <xf numFmtId="0" fontId="94" fillId="0" borderId="197" xfId="0" applyFont="1" applyBorder="1" applyAlignment="1" applyProtection="1">
      <alignment horizontal="justify" vertical="top" wrapText="1"/>
    </xf>
    <xf numFmtId="0" fontId="94" fillId="0" borderId="198" xfId="0" applyFont="1" applyBorder="1" applyAlignment="1" applyProtection="1">
      <alignment horizontal="justify" vertical="top" wrapText="1"/>
    </xf>
    <xf numFmtId="169" fontId="95" fillId="5" borderId="199" xfId="0" applyNumberFormat="1" applyFont="1" applyFill="1" applyBorder="1" applyAlignment="1" applyProtection="1">
      <alignment horizontal="center"/>
    </xf>
    <xf numFmtId="169" fontId="95" fillId="5" borderId="0" xfId="0" applyNumberFormat="1" applyFont="1" applyFill="1" applyBorder="1" applyAlignment="1" applyProtection="1">
      <alignment horizontal="center"/>
    </xf>
    <xf numFmtId="169" fontId="95" fillId="5" borderId="200" xfId="0" applyNumberFormat="1" applyFont="1" applyFill="1" applyBorder="1" applyAlignment="1" applyProtection="1">
      <alignment horizontal="center"/>
    </xf>
    <xf numFmtId="0" fontId="94" fillId="0" borderId="201" xfId="0" applyFont="1" applyBorder="1" applyAlignment="1" applyProtection="1">
      <alignment horizontal="justify" vertical="top" wrapText="1"/>
    </xf>
    <xf numFmtId="0" fontId="94" fillId="0" borderId="202" xfId="0" applyFont="1" applyBorder="1" applyAlignment="1" applyProtection="1">
      <alignment horizontal="justify" vertical="top" wrapText="1"/>
    </xf>
    <xf numFmtId="0" fontId="94" fillId="0" borderId="0" xfId="0" quotePrefix="1" applyFont="1" applyBorder="1" applyAlignment="1">
      <alignment horizontal="justify" vertical="top" wrapText="1"/>
    </xf>
    <xf numFmtId="0" fontId="94" fillId="0" borderId="0" xfId="0" applyFont="1" applyBorder="1" applyAlignment="1">
      <alignment horizontal="justify" vertical="top" wrapText="1"/>
    </xf>
    <xf numFmtId="0" fontId="94" fillId="0" borderId="0" xfId="0" applyFont="1" applyBorder="1" applyAlignment="1" applyProtection="1">
      <alignment horizontal="justify" vertical="top" wrapText="1"/>
    </xf>
    <xf numFmtId="169" fontId="95" fillId="5" borderId="191" xfId="0" applyNumberFormat="1" applyFont="1" applyFill="1" applyBorder="1" applyAlignment="1" applyProtection="1">
      <alignment horizontal="center"/>
    </xf>
    <xf numFmtId="169" fontId="95" fillId="5" borderId="192" xfId="0" applyNumberFormat="1" applyFont="1" applyFill="1" applyBorder="1" applyAlignment="1" applyProtection="1">
      <alignment horizontal="center"/>
    </xf>
    <xf numFmtId="169" fontId="95" fillId="5" borderId="133" xfId="0" applyNumberFormat="1" applyFont="1" applyFill="1" applyBorder="1" applyAlignment="1" applyProtection="1">
      <alignment horizontal="center"/>
    </xf>
    <xf numFmtId="169" fontId="98" fillId="6" borderId="191" xfId="0" applyNumberFormat="1" applyFont="1" applyFill="1" applyBorder="1" applyAlignment="1" applyProtection="1">
      <alignment horizontal="center"/>
    </xf>
    <xf numFmtId="169" fontId="98" fillId="6" borderId="192" xfId="0" applyNumberFormat="1" applyFont="1" applyFill="1" applyBorder="1" applyAlignment="1" applyProtection="1">
      <alignment horizontal="center"/>
    </xf>
    <xf numFmtId="0" fontId="94" fillId="0" borderId="191" xfId="0" applyFont="1" applyBorder="1" applyAlignment="1">
      <alignment horizontal="justify" vertical="top" wrapText="1"/>
    </xf>
    <xf numFmtId="0" fontId="94" fillId="0" borderId="192" xfId="0" applyFont="1" applyBorder="1" applyAlignment="1">
      <alignment horizontal="justify" vertical="top" wrapText="1"/>
    </xf>
    <xf numFmtId="169" fontId="95" fillId="5" borderId="209" xfId="0" applyNumberFormat="1" applyFont="1" applyFill="1" applyBorder="1" applyAlignment="1">
      <alignment horizontal="center"/>
    </xf>
    <xf numFmtId="169" fontId="95" fillId="5" borderId="210" xfId="0" applyNumberFormat="1" applyFont="1" applyFill="1" applyBorder="1" applyAlignment="1">
      <alignment horizontal="center"/>
    </xf>
    <xf numFmtId="169" fontId="95" fillId="5" borderId="211" xfId="0" applyNumberFormat="1" applyFont="1" applyFill="1" applyBorder="1" applyAlignment="1">
      <alignment horizontal="center"/>
    </xf>
    <xf numFmtId="0" fontId="95" fillId="0" borderId="212" xfId="0" applyFont="1" applyBorder="1" applyAlignment="1">
      <alignment horizontal="justify" vertical="top" wrapText="1"/>
    </xf>
    <xf numFmtId="0" fontId="95" fillId="0" borderId="204" xfId="0" applyFont="1" applyBorder="1" applyAlignment="1">
      <alignment horizontal="justify" vertical="top" wrapText="1"/>
    </xf>
    <xf numFmtId="0" fontId="95" fillId="0" borderId="15" xfId="0" applyFont="1" applyBorder="1" applyAlignment="1">
      <alignment horizontal="justify" vertical="top" wrapText="1"/>
    </xf>
    <xf numFmtId="0" fontId="97" fillId="0" borderId="0" xfId="0" applyFont="1" applyBorder="1" applyAlignment="1">
      <alignment horizontal="right"/>
    </xf>
    <xf numFmtId="0" fontId="94" fillId="0" borderId="195" xfId="0" applyFont="1" applyBorder="1" applyAlignment="1">
      <alignment horizontal="justify" vertical="top" wrapText="1"/>
    </xf>
    <xf numFmtId="0" fontId="94" fillId="0" borderId="196" xfId="0" applyFont="1" applyBorder="1" applyAlignment="1">
      <alignment horizontal="justify" vertical="top" wrapText="1"/>
    </xf>
    <xf numFmtId="0" fontId="94" fillId="0" borderId="205" xfId="0" applyFont="1" applyBorder="1" applyAlignment="1">
      <alignment horizontal="justify" vertical="top" wrapText="1"/>
    </xf>
    <xf numFmtId="0" fontId="94" fillId="0" borderId="206" xfId="0" applyFont="1" applyBorder="1" applyAlignment="1">
      <alignment horizontal="justify" vertical="top" wrapText="1"/>
    </xf>
    <xf numFmtId="169" fontId="95" fillId="5" borderId="208" xfId="0" applyNumberFormat="1" applyFont="1" applyFill="1" applyBorder="1" applyAlignment="1">
      <alignment horizontal="center"/>
    </xf>
    <xf numFmtId="169" fontId="95" fillId="5" borderId="0" xfId="0" applyNumberFormat="1" applyFont="1" applyFill="1" applyBorder="1" applyAlignment="1">
      <alignment horizontal="center"/>
    </xf>
    <xf numFmtId="169" fontId="95" fillId="5" borderId="200" xfId="0" applyNumberFormat="1" applyFont="1" applyFill="1" applyBorder="1" applyAlignment="1">
      <alignment horizontal="center"/>
    </xf>
    <xf numFmtId="0" fontId="94" fillId="0" borderId="207" xfId="0" applyFont="1" applyBorder="1" applyAlignment="1">
      <alignment horizontal="justify" vertical="top" wrapText="1"/>
    </xf>
    <xf numFmtId="0" fontId="94" fillId="0" borderId="140" xfId="0" applyFont="1" applyBorder="1" applyAlignment="1">
      <alignment horizontal="justify" vertical="top" wrapText="1"/>
    </xf>
    <xf numFmtId="0" fontId="99" fillId="0" borderId="205" xfId="0" applyFont="1" applyBorder="1" applyAlignment="1">
      <alignment horizontal="justify" vertical="top" wrapText="1"/>
    </xf>
    <xf numFmtId="0" fontId="99" fillId="0" borderId="206" xfId="0" applyFont="1" applyBorder="1" applyAlignment="1">
      <alignment horizontal="justify" vertical="top" wrapText="1"/>
    </xf>
    <xf numFmtId="0" fontId="94" fillId="0" borderId="197" xfId="0" applyFont="1" applyBorder="1" applyAlignment="1" applyProtection="1">
      <alignment horizontal="justify" vertical="top" wrapText="1"/>
      <protection locked="0"/>
    </xf>
    <xf numFmtId="0" fontId="94" fillId="0" borderId="198" xfId="0" applyFont="1" applyBorder="1" applyAlignment="1" applyProtection="1">
      <alignment horizontal="justify" vertical="top" wrapText="1"/>
      <protection locked="0"/>
    </xf>
    <xf numFmtId="0" fontId="94" fillId="0" borderId="193" xfId="0" applyFont="1" applyBorder="1" applyAlignment="1">
      <alignment horizontal="justify" vertical="top" wrapText="1"/>
    </xf>
    <xf numFmtId="0" fontId="94" fillId="0" borderId="194" xfId="0" applyFont="1" applyBorder="1" applyAlignment="1">
      <alignment horizontal="justify" vertical="top" wrapText="1"/>
    </xf>
    <xf numFmtId="0" fontId="94" fillId="0" borderId="205" xfId="0" quotePrefix="1" applyFont="1" applyBorder="1" applyAlignment="1">
      <alignment horizontal="justify" vertical="top" wrapText="1"/>
    </xf>
    <xf numFmtId="0" fontId="94" fillId="0" borderId="206" xfId="0" quotePrefix="1" applyFont="1" applyBorder="1" applyAlignment="1">
      <alignment horizontal="justify" vertical="top" wrapText="1"/>
    </xf>
    <xf numFmtId="169" fontId="95" fillId="5" borderId="209" xfId="0" applyNumberFormat="1" applyFont="1" applyFill="1" applyBorder="1" applyAlignment="1">
      <alignment horizontal="left"/>
    </xf>
    <xf numFmtId="169" fontId="95" fillId="5" borderId="210" xfId="0" applyNumberFormat="1" applyFont="1" applyFill="1" applyBorder="1" applyAlignment="1">
      <alignment horizontal="left"/>
    </xf>
    <xf numFmtId="169" fontId="95" fillId="5" borderId="211" xfId="0" applyNumberFormat="1" applyFont="1" applyFill="1" applyBorder="1" applyAlignment="1">
      <alignment horizontal="left"/>
    </xf>
    <xf numFmtId="0" fontId="94" fillId="0" borderId="191" xfId="0" quotePrefix="1" applyFont="1" applyBorder="1" applyAlignment="1">
      <alignment horizontal="justify" vertical="top" wrapText="1"/>
    </xf>
    <xf numFmtId="0" fontId="94" fillId="0" borderId="192" xfId="0" quotePrefix="1" applyFont="1" applyBorder="1" applyAlignment="1">
      <alignment horizontal="justify" vertical="top" wrapText="1"/>
    </xf>
    <xf numFmtId="169" fontId="95" fillId="5" borderId="208" xfId="0" applyNumberFormat="1" applyFont="1" applyFill="1" applyBorder="1" applyAlignment="1">
      <alignment horizontal="left"/>
    </xf>
    <xf numFmtId="169" fontId="95" fillId="5" borderId="0" xfId="0" applyNumberFormat="1" applyFont="1" applyFill="1" applyBorder="1" applyAlignment="1">
      <alignment horizontal="left"/>
    </xf>
    <xf numFmtId="169" fontId="95" fillId="5" borderId="200" xfId="0" applyNumberFormat="1" applyFont="1" applyFill="1" applyBorder="1" applyAlignment="1">
      <alignment horizontal="left"/>
    </xf>
    <xf numFmtId="0" fontId="94" fillId="0" borderId="201" xfId="0" applyFont="1" applyBorder="1" applyAlignment="1">
      <alignment horizontal="justify" vertical="top" wrapText="1"/>
    </xf>
    <xf numFmtId="0" fontId="94" fillId="0" borderId="202" xfId="0" applyFont="1" applyBorder="1" applyAlignment="1">
      <alignment horizontal="justify" vertical="top" wrapText="1"/>
    </xf>
    <xf numFmtId="0" fontId="94" fillId="0" borderId="197" xfId="0" applyFont="1" applyBorder="1" applyAlignment="1">
      <alignment horizontal="justify" vertical="top" wrapText="1"/>
    </xf>
    <xf numFmtId="0" fontId="94" fillId="0" borderId="198" xfId="0" applyFont="1" applyBorder="1" applyAlignment="1">
      <alignment horizontal="justify" vertical="top" wrapText="1"/>
    </xf>
    <xf numFmtId="0" fontId="94" fillId="0" borderId="201" xfId="0" quotePrefix="1" applyFont="1" applyBorder="1" applyAlignment="1">
      <alignment horizontal="justify" vertical="top" wrapText="1"/>
    </xf>
    <xf numFmtId="0" fontId="94" fillId="0" borderId="202" xfId="0" quotePrefix="1" applyFont="1" applyBorder="1" applyAlignment="1">
      <alignment horizontal="justify" vertical="top" wrapText="1"/>
    </xf>
    <xf numFmtId="0" fontId="94" fillId="0" borderId="13" xfId="0" quotePrefix="1" applyFont="1" applyBorder="1" applyAlignment="1">
      <alignment horizontal="justify" vertical="top" wrapText="1"/>
    </xf>
    <xf numFmtId="0" fontId="94" fillId="0" borderId="197" xfId="0" quotePrefix="1" applyFont="1" applyBorder="1" applyAlignment="1">
      <alignment horizontal="justify" vertical="top" wrapText="1"/>
    </xf>
    <xf numFmtId="0" fontId="94" fillId="0" borderId="198" xfId="0" quotePrefix="1" applyFont="1" applyBorder="1" applyAlignment="1">
      <alignment horizontal="justify" vertical="top" wrapText="1"/>
    </xf>
    <xf numFmtId="0" fontId="94" fillId="0" borderId="112" xfId="0" applyFont="1" applyBorder="1" applyAlignment="1">
      <alignment horizontal="justify" vertical="top" wrapText="1"/>
    </xf>
    <xf numFmtId="0" fontId="94" fillId="0" borderId="193" xfId="0" quotePrefix="1" applyFont="1" applyBorder="1" applyAlignment="1">
      <alignment horizontal="justify" vertical="top" wrapText="1"/>
    </xf>
    <xf numFmtId="0" fontId="94" fillId="0" borderId="194" xfId="0" quotePrefix="1" applyFont="1" applyBorder="1" applyAlignment="1">
      <alignment horizontal="justify" vertical="top" wrapText="1"/>
    </xf>
    <xf numFmtId="169" fontId="102" fillId="5" borderId="191" xfId="0" applyNumberFormat="1" applyFont="1" applyFill="1" applyBorder="1" applyAlignment="1">
      <alignment horizontal="left" wrapText="1"/>
    </xf>
    <xf numFmtId="169" fontId="102" fillId="5" borderId="192" xfId="0" applyNumberFormat="1" applyFont="1" applyFill="1" applyBorder="1" applyAlignment="1">
      <alignment horizontal="left" wrapText="1"/>
    </xf>
    <xf numFmtId="169" fontId="102" fillId="5" borderId="133" xfId="0" applyNumberFormat="1" applyFont="1" applyFill="1" applyBorder="1" applyAlignment="1">
      <alignment horizontal="left" wrapText="1"/>
    </xf>
    <xf numFmtId="0" fontId="95" fillId="0" borderId="193" xfId="0" quotePrefix="1" applyFont="1" applyBorder="1" applyAlignment="1">
      <alignment horizontal="justify" vertical="top" wrapText="1"/>
    </xf>
    <xf numFmtId="0" fontId="95" fillId="0" borderId="194" xfId="0" quotePrefix="1" applyFont="1" applyBorder="1" applyAlignment="1">
      <alignment horizontal="justify" vertical="top" wrapText="1"/>
    </xf>
    <xf numFmtId="0" fontId="95" fillId="0" borderId="194" xfId="0" applyFont="1" applyBorder="1" applyAlignment="1">
      <alignment horizontal="justify" vertical="top" wrapText="1"/>
    </xf>
    <xf numFmtId="0" fontId="95" fillId="0" borderId="193" xfId="0" applyFont="1" applyBorder="1" applyAlignment="1">
      <alignment horizontal="justify" vertical="top" wrapText="1"/>
    </xf>
    <xf numFmtId="0" fontId="95" fillId="0" borderId="197" xfId="0" quotePrefix="1" applyFont="1" applyBorder="1" applyAlignment="1">
      <alignment horizontal="justify" vertical="top" wrapText="1"/>
    </xf>
    <xf numFmtId="0" fontId="95" fillId="0" borderId="198" xfId="0" quotePrefix="1" applyFont="1" applyBorder="1" applyAlignment="1">
      <alignment horizontal="justify" vertical="top" wrapText="1"/>
    </xf>
    <xf numFmtId="0" fontId="95" fillId="0" borderId="198" xfId="0" applyFont="1" applyBorder="1" applyAlignment="1">
      <alignment horizontal="justify" vertical="top" wrapText="1"/>
    </xf>
    <xf numFmtId="0" fontId="97" fillId="0" borderId="213" xfId="0" applyFont="1" applyBorder="1" applyAlignment="1">
      <alignment horizontal="right"/>
    </xf>
    <xf numFmtId="0" fontId="94" fillId="0" borderId="197" xfId="0" quotePrefix="1" applyFont="1" applyBorder="1" applyAlignment="1" applyProtection="1">
      <alignment horizontal="justify" vertical="top" wrapText="1"/>
      <protection locked="0"/>
    </xf>
    <xf numFmtId="0" fontId="94" fillId="0" borderId="198" xfId="0" quotePrefix="1" applyFont="1" applyBorder="1" applyAlignment="1" applyProtection="1">
      <alignment horizontal="justify" vertical="top" wrapText="1"/>
      <protection locked="0"/>
    </xf>
    <xf numFmtId="0" fontId="94" fillId="0" borderId="193" xfId="0" quotePrefix="1" applyFont="1" applyBorder="1" applyAlignment="1" applyProtection="1">
      <alignment horizontal="justify" vertical="top" wrapText="1"/>
      <protection locked="0"/>
    </xf>
    <xf numFmtId="0" fontId="94" fillId="0" borderId="194" xfId="0" quotePrefix="1" applyFont="1" applyBorder="1" applyAlignment="1" applyProtection="1">
      <alignment horizontal="justify" vertical="top" wrapText="1"/>
      <protection locked="0"/>
    </xf>
    <xf numFmtId="0" fontId="94" fillId="0" borderId="194" xfId="0" applyFont="1" applyBorder="1" applyAlignment="1" applyProtection="1">
      <alignment horizontal="justify" vertical="top" wrapText="1"/>
      <protection locked="0"/>
    </xf>
    <xf numFmtId="169" fontId="98" fillId="8" borderId="40" xfId="0" applyNumberFormat="1" applyFont="1" applyFill="1" applyBorder="1" applyAlignment="1">
      <alignment horizontal="center"/>
    </xf>
    <xf numFmtId="169" fontId="98" fillId="8" borderId="41" xfId="0" applyNumberFormat="1" applyFont="1" applyFill="1" applyBorder="1" applyAlignment="1">
      <alignment horizontal="center"/>
    </xf>
    <xf numFmtId="0" fontId="94" fillId="0" borderId="116" xfId="0" quotePrefix="1" applyFont="1" applyBorder="1" applyAlignment="1">
      <alignment horizontal="justify" vertical="top" wrapText="1"/>
    </xf>
    <xf numFmtId="0" fontId="94" fillId="0" borderId="195" xfId="0" quotePrefix="1" applyFont="1" applyBorder="1" applyAlignment="1">
      <alignment horizontal="justify" vertical="top" wrapText="1"/>
    </xf>
    <xf numFmtId="0" fontId="94" fillId="0" borderId="196" xfId="0" quotePrefix="1" applyFont="1" applyBorder="1" applyAlignment="1">
      <alignment horizontal="justify" vertical="top" wrapText="1"/>
    </xf>
    <xf numFmtId="0" fontId="94" fillId="0" borderId="120" xfId="0" quotePrefix="1" applyFont="1" applyBorder="1" applyAlignment="1">
      <alignment horizontal="justify" vertical="top" wrapText="1"/>
    </xf>
    <xf numFmtId="0" fontId="98" fillId="10" borderId="214" xfId="0" applyFont="1" applyFill="1" applyBorder="1" applyAlignment="1">
      <alignment horizontal="center"/>
    </xf>
    <xf numFmtId="0" fontId="98" fillId="10" borderId="215" xfId="0" applyFont="1" applyFill="1" applyBorder="1" applyAlignment="1">
      <alignment horizontal="center"/>
    </xf>
    <xf numFmtId="0" fontId="92" fillId="0" borderId="216" xfId="0" applyFont="1" applyBorder="1" applyAlignment="1"/>
    <xf numFmtId="0" fontId="94" fillId="0" borderId="0" xfId="0" applyFont="1" applyBorder="1" applyAlignment="1">
      <alignment horizontal="left"/>
    </xf>
    <xf numFmtId="0" fontId="94" fillId="0" borderId="32" xfId="0" applyFont="1" applyBorder="1" applyAlignment="1">
      <alignment horizontal="left"/>
    </xf>
    <xf numFmtId="3" fontId="44" fillId="0" borderId="58" xfId="7" applyNumberFormat="1" applyFont="1" applyFill="1" applyBorder="1" applyAlignment="1"/>
    <xf numFmtId="0" fontId="92" fillId="0" borderId="58" xfId="0" applyFont="1" applyBorder="1" applyAlignment="1"/>
    <xf numFmtId="3" fontId="44" fillId="5" borderId="69" xfId="7" applyNumberFormat="1" applyFont="1" applyFill="1" applyBorder="1" applyAlignment="1">
      <alignment horizontal="center"/>
    </xf>
    <xf numFmtId="0" fontId="44" fillId="0" borderId="60" xfId="0" applyFont="1" applyBorder="1" applyAlignment="1">
      <alignment horizontal="center"/>
    </xf>
    <xf numFmtId="3" fontId="38" fillId="5" borderId="58" xfId="7" applyNumberFormat="1" applyFont="1" applyFill="1" applyBorder="1" applyAlignment="1">
      <alignment horizontal="center"/>
    </xf>
    <xf numFmtId="3" fontId="38" fillId="5" borderId="43" xfId="7" applyNumberFormat="1" applyFont="1" applyFill="1" applyBorder="1" applyAlignment="1"/>
    <xf numFmtId="0" fontId="92" fillId="0" borderId="44" xfId="0" applyFont="1" applyBorder="1" applyAlignment="1"/>
    <xf numFmtId="0" fontId="92" fillId="0" borderId="45" xfId="0" applyFont="1" applyBorder="1" applyAlignment="1"/>
    <xf numFmtId="0" fontId="90" fillId="0" borderId="0" xfId="0" applyFont="1" applyAlignment="1">
      <alignment horizontal="center"/>
    </xf>
    <xf numFmtId="0" fontId="36" fillId="0" borderId="0" xfId="0" applyFont="1" applyAlignment="1">
      <alignment horizontal="center"/>
    </xf>
    <xf numFmtId="3" fontId="38" fillId="5" borderId="43" xfId="7" applyNumberFormat="1" applyFont="1" applyFill="1" applyBorder="1" applyAlignment="1">
      <alignment horizontal="center"/>
    </xf>
    <xf numFmtId="3" fontId="38" fillId="5" borderId="44" xfId="7" applyNumberFormat="1" applyFont="1" applyFill="1" applyBorder="1" applyAlignment="1">
      <alignment horizontal="center"/>
    </xf>
    <xf numFmtId="3" fontId="38" fillId="5" borderId="45" xfId="7" applyNumberFormat="1" applyFont="1" applyFill="1" applyBorder="1" applyAlignment="1">
      <alignment horizontal="center"/>
    </xf>
    <xf numFmtId="0" fontId="44" fillId="0" borderId="58" xfId="0" applyFont="1" applyBorder="1" applyAlignment="1"/>
    <xf numFmtId="3" fontId="44" fillId="0" borderId="58" xfId="7" applyNumberFormat="1" applyFont="1" applyBorder="1" applyAlignment="1"/>
    <xf numFmtId="3" fontId="38" fillId="5" borderId="73" xfId="7" applyNumberFormat="1" applyFont="1" applyFill="1" applyBorder="1" applyAlignment="1">
      <alignment horizontal="center" vertical="center"/>
    </xf>
    <xf numFmtId="0" fontId="44" fillId="0" borderId="68" xfId="0" applyFont="1" applyBorder="1" applyAlignment="1">
      <alignment vertical="center"/>
    </xf>
    <xf numFmtId="0" fontId="44" fillId="0" borderId="74" xfId="0" applyFont="1" applyBorder="1" applyAlignment="1">
      <alignment vertical="center"/>
    </xf>
    <xf numFmtId="0" fontId="44" fillId="0" borderId="53" xfId="0" applyFont="1" applyBorder="1" applyAlignment="1">
      <alignment vertical="center"/>
    </xf>
    <xf numFmtId="0" fontId="44" fillId="0" borderId="75" xfId="0" applyFont="1" applyBorder="1" applyAlignment="1">
      <alignment vertical="center"/>
    </xf>
    <xf numFmtId="0" fontId="22" fillId="0" borderId="193" xfId="0" applyFont="1" applyBorder="1" applyAlignment="1" applyProtection="1">
      <alignment horizontal="justify" vertical="top" wrapText="1"/>
    </xf>
    <xf numFmtId="0" fontId="22" fillId="0" borderId="194" xfId="0" applyFont="1" applyBorder="1" applyAlignment="1" applyProtection="1">
      <alignment horizontal="justify" vertical="top" wrapText="1"/>
    </xf>
    <xf numFmtId="0" fontId="24" fillId="0" borderId="0" xfId="0" applyFont="1" applyBorder="1" applyAlignment="1" applyProtection="1">
      <alignment horizontal="right"/>
    </xf>
    <xf numFmtId="169" fontId="25" fillId="6" borderId="40" xfId="0" applyNumberFormat="1" applyFont="1" applyFill="1" applyBorder="1" applyAlignment="1" applyProtection="1">
      <alignment horizontal="center"/>
    </xf>
    <xf numFmtId="169" fontId="25" fillId="6" borderId="41" xfId="0" applyNumberFormat="1" applyFont="1" applyFill="1" applyBorder="1" applyAlignment="1" applyProtection="1">
      <alignment horizontal="center"/>
    </xf>
    <xf numFmtId="3" fontId="22" fillId="0" borderId="195" xfId="0" applyNumberFormat="1" applyFont="1" applyBorder="1" applyAlignment="1" applyProtection="1">
      <alignment horizontal="justify" vertical="top" wrapText="1"/>
    </xf>
    <xf numFmtId="0" fontId="22" fillId="0" borderId="196" xfId="0" applyFont="1" applyBorder="1" applyAlignment="1" applyProtection="1">
      <alignment horizontal="justify" vertical="top" wrapText="1"/>
    </xf>
    <xf numFmtId="0" fontId="22" fillId="0" borderId="205" xfId="0" applyFont="1" applyBorder="1" applyAlignment="1" applyProtection="1">
      <alignment horizontal="justify" vertical="top" wrapText="1"/>
      <protection locked="0"/>
    </xf>
    <xf numFmtId="0" fontId="22" fillId="0" borderId="206" xfId="0" applyFont="1" applyBorder="1" applyAlignment="1" applyProtection="1">
      <alignment horizontal="justify" vertical="top" wrapText="1"/>
      <protection locked="0"/>
    </xf>
    <xf numFmtId="0" fontId="23" fillId="0" borderId="203" xfId="0" applyFont="1" applyBorder="1" applyAlignment="1" applyProtection="1">
      <alignment horizontal="justify" vertical="top" wrapText="1"/>
    </xf>
    <xf numFmtId="0" fontId="23" fillId="0" borderId="204" xfId="0" applyFont="1" applyBorder="1" applyAlignment="1" applyProtection="1">
      <alignment horizontal="justify" vertical="top" wrapText="1"/>
    </xf>
    <xf numFmtId="3" fontId="22" fillId="0" borderId="193" xfId="0" applyNumberFormat="1" applyFont="1" applyBorder="1" applyAlignment="1" applyProtection="1">
      <alignment horizontal="justify" vertical="top" wrapText="1"/>
    </xf>
    <xf numFmtId="0" fontId="22" fillId="0" borderId="197" xfId="0" applyFont="1" applyBorder="1" applyAlignment="1" applyProtection="1">
      <alignment horizontal="justify" vertical="top" wrapText="1"/>
    </xf>
    <xf numFmtId="0" fontId="22" fillId="0" borderId="198" xfId="0" applyFont="1" applyBorder="1" applyAlignment="1" applyProtection="1">
      <alignment horizontal="justify" vertical="top" wrapText="1"/>
    </xf>
    <xf numFmtId="169" fontId="23" fillId="5" borderId="199" xfId="0" applyNumberFormat="1" applyFont="1" applyFill="1" applyBorder="1" applyAlignment="1" applyProtection="1">
      <alignment horizontal="center"/>
    </xf>
    <xf numFmtId="169" fontId="23" fillId="5" borderId="0" xfId="0" applyNumberFormat="1" applyFont="1" applyFill="1" applyBorder="1" applyAlignment="1" applyProtection="1">
      <alignment horizontal="center"/>
    </xf>
    <xf numFmtId="169" fontId="23" fillId="5" borderId="200" xfId="0" applyNumberFormat="1" applyFont="1" applyFill="1" applyBorder="1" applyAlignment="1" applyProtection="1">
      <alignment horizontal="center"/>
    </xf>
    <xf numFmtId="0" fontId="22" fillId="0" borderId="201" xfId="0" applyFont="1" applyBorder="1" applyAlignment="1" applyProtection="1">
      <alignment horizontal="justify" vertical="top" wrapText="1"/>
    </xf>
    <xf numFmtId="0" fontId="22" fillId="0" borderId="202" xfId="0" applyFont="1" applyBorder="1" applyAlignment="1" applyProtection="1">
      <alignment horizontal="justify" vertical="top" wrapText="1"/>
    </xf>
    <xf numFmtId="0" fontId="22" fillId="0" borderId="0" xfId="0" applyFont="1" applyBorder="1" applyAlignment="1" applyProtection="1">
      <alignment horizontal="justify" vertical="top" wrapText="1"/>
    </xf>
    <xf numFmtId="0" fontId="22" fillId="0" borderId="0" xfId="0" quotePrefix="1" applyFont="1" applyBorder="1" applyAlignment="1">
      <alignment horizontal="justify" vertical="top" wrapText="1"/>
    </xf>
    <xf numFmtId="0" fontId="22" fillId="0" borderId="0" xfId="0" applyFont="1" applyBorder="1" applyAlignment="1">
      <alignment horizontal="justify" vertical="top" wrapText="1"/>
    </xf>
    <xf numFmtId="169" fontId="23" fillId="5" borderId="191" xfId="0" applyNumberFormat="1" applyFont="1" applyFill="1" applyBorder="1" applyAlignment="1" applyProtection="1">
      <alignment horizontal="center"/>
    </xf>
    <xf numFmtId="169" fontId="23" fillId="5" borderId="192" xfId="0" applyNumberFormat="1" applyFont="1" applyFill="1" applyBorder="1" applyAlignment="1" applyProtection="1">
      <alignment horizontal="center"/>
    </xf>
    <xf numFmtId="169" fontId="23" fillId="5" borderId="133" xfId="0" applyNumberFormat="1" applyFont="1" applyFill="1" applyBorder="1" applyAlignment="1" applyProtection="1">
      <alignment horizontal="center"/>
    </xf>
    <xf numFmtId="169" fontId="25" fillId="6" borderId="191" xfId="0" applyNumberFormat="1" applyFont="1" applyFill="1" applyBorder="1" applyAlignment="1" applyProtection="1">
      <alignment horizontal="center"/>
    </xf>
    <xf numFmtId="169" fontId="25" fillId="6" borderId="192" xfId="0" applyNumberFormat="1" applyFont="1" applyFill="1" applyBorder="1" applyAlignment="1" applyProtection="1">
      <alignment horizontal="center"/>
    </xf>
    <xf numFmtId="0" fontId="24" fillId="0" borderId="0" xfId="0" applyFont="1" applyBorder="1" applyAlignment="1">
      <alignment horizontal="right"/>
    </xf>
    <xf numFmtId="0" fontId="22" fillId="0" borderId="195" xfId="0" applyFont="1" applyBorder="1" applyAlignment="1">
      <alignment horizontal="justify" vertical="top" wrapText="1"/>
    </xf>
    <xf numFmtId="0" fontId="22" fillId="0" borderId="196" xfId="0" applyFont="1" applyBorder="1" applyAlignment="1">
      <alignment horizontal="justify" vertical="top" wrapText="1"/>
    </xf>
    <xf numFmtId="0" fontId="22" fillId="0" borderId="193" xfId="0" applyFont="1" applyBorder="1" applyAlignment="1">
      <alignment horizontal="justify" vertical="top" wrapText="1"/>
    </xf>
    <xf numFmtId="0" fontId="22" fillId="0" borderId="194" xfId="0" applyFont="1" applyBorder="1" applyAlignment="1">
      <alignment horizontal="justify" vertical="top" wrapText="1"/>
    </xf>
    <xf numFmtId="0" fontId="22" fillId="0" borderId="205" xfId="0" applyFont="1" applyBorder="1" applyAlignment="1">
      <alignment horizontal="justify" vertical="top" wrapText="1"/>
    </xf>
    <xf numFmtId="0" fontId="22" fillId="0" borderId="206" xfId="0" applyFont="1" applyBorder="1" applyAlignment="1">
      <alignment horizontal="justify" vertical="top" wrapText="1"/>
    </xf>
    <xf numFmtId="0" fontId="22" fillId="0" borderId="197" xfId="0" applyFont="1" applyBorder="1" applyAlignment="1" applyProtection="1">
      <alignment horizontal="justify" vertical="top" wrapText="1"/>
      <protection locked="0"/>
    </xf>
    <xf numFmtId="0" fontId="22" fillId="0" borderId="198" xfId="0" applyFont="1" applyBorder="1" applyAlignment="1" applyProtection="1">
      <alignment horizontal="justify" vertical="top" wrapText="1"/>
      <protection locked="0"/>
    </xf>
    <xf numFmtId="169" fontId="23" fillId="5" borderId="208" xfId="0" applyNumberFormat="1" applyFont="1" applyFill="1" applyBorder="1" applyAlignment="1">
      <alignment horizontal="center"/>
    </xf>
    <xf numFmtId="169" fontId="23" fillId="5" borderId="0" xfId="0" applyNumberFormat="1" applyFont="1" applyFill="1" applyBorder="1" applyAlignment="1">
      <alignment horizontal="center"/>
    </xf>
    <xf numFmtId="169" fontId="23" fillId="5" borderId="200" xfId="0" applyNumberFormat="1" applyFont="1" applyFill="1" applyBorder="1" applyAlignment="1">
      <alignment horizontal="center"/>
    </xf>
    <xf numFmtId="0" fontId="22" fillId="0" borderId="207" xfId="0" applyFont="1" applyBorder="1" applyAlignment="1">
      <alignment horizontal="justify" vertical="top" wrapText="1"/>
    </xf>
    <xf numFmtId="0" fontId="22" fillId="0" borderId="140" xfId="0" applyFont="1" applyBorder="1" applyAlignment="1">
      <alignment horizontal="justify" vertical="top" wrapText="1"/>
    </xf>
    <xf numFmtId="0" fontId="22" fillId="0" borderId="205" xfId="0" quotePrefix="1" applyFont="1" applyBorder="1" applyAlignment="1">
      <alignment horizontal="justify" vertical="top" wrapText="1"/>
    </xf>
    <xf numFmtId="0" fontId="22" fillId="0" borderId="206" xfId="0" quotePrefix="1" applyFont="1" applyBorder="1" applyAlignment="1">
      <alignment horizontal="justify" vertical="top" wrapText="1"/>
    </xf>
    <xf numFmtId="0" fontId="26" fillId="0" borderId="205" xfId="0" applyFont="1" applyBorder="1" applyAlignment="1">
      <alignment horizontal="justify" vertical="top" wrapText="1"/>
    </xf>
    <xf numFmtId="0" fontId="26" fillId="0" borderId="206" xfId="0" applyFont="1" applyBorder="1" applyAlignment="1">
      <alignment horizontal="justify" vertical="top" wrapText="1"/>
    </xf>
    <xf numFmtId="0" fontId="22" fillId="0" borderId="191" xfId="0" applyFont="1" applyBorder="1" applyAlignment="1">
      <alignment horizontal="justify" vertical="top" wrapText="1"/>
    </xf>
    <xf numFmtId="0" fontId="22" fillId="0" borderId="192" xfId="0" applyFont="1" applyBorder="1" applyAlignment="1">
      <alignment horizontal="justify" vertical="top" wrapText="1"/>
    </xf>
    <xf numFmtId="169" fontId="23" fillId="5" borderId="209" xfId="0" applyNumberFormat="1" applyFont="1" applyFill="1" applyBorder="1" applyAlignment="1">
      <alignment horizontal="center"/>
    </xf>
    <xf numFmtId="169" fontId="23" fillId="5" borderId="210" xfId="0" applyNumberFormat="1" applyFont="1" applyFill="1" applyBorder="1" applyAlignment="1">
      <alignment horizontal="center"/>
    </xf>
    <xf numFmtId="169" fontId="23" fillId="5" borderId="211" xfId="0" applyNumberFormat="1" applyFont="1" applyFill="1" applyBorder="1" applyAlignment="1">
      <alignment horizontal="center"/>
    </xf>
    <xf numFmtId="0" fontId="23" fillId="0" borderId="212" xfId="0" applyFont="1" applyBorder="1" applyAlignment="1">
      <alignment horizontal="justify" vertical="top" wrapText="1"/>
    </xf>
    <xf numFmtId="0" fontId="23" fillId="0" borderId="204" xfId="0" applyFont="1" applyBorder="1" applyAlignment="1">
      <alignment horizontal="justify" vertical="top" wrapText="1"/>
    </xf>
    <xf numFmtId="0" fontId="23" fillId="0" borderId="15" xfId="0" applyFont="1" applyBorder="1" applyAlignment="1">
      <alignment horizontal="justify" vertical="top" wrapText="1"/>
    </xf>
    <xf numFmtId="0" fontId="19" fillId="0" borderId="189" xfId="0" applyFont="1" applyBorder="1" applyAlignment="1" applyProtection="1">
      <alignment horizontal="center" vertical="center" wrapText="1"/>
    </xf>
    <xf numFmtId="0" fontId="0" fillId="0" borderId="104" xfId="0" applyBorder="1" applyAlignment="1">
      <alignment horizontal="center" vertical="center" wrapText="1"/>
    </xf>
    <xf numFmtId="171" fontId="8" fillId="0" borderId="40" xfId="0" applyNumberFormat="1" applyFont="1" applyBorder="1" applyAlignment="1" applyProtection="1">
      <alignment horizontal="center" vertical="center"/>
    </xf>
    <xf numFmtId="171" fontId="8" fillId="0" borderId="42" xfId="0" applyNumberFormat="1" applyFont="1" applyBorder="1" applyAlignment="1" applyProtection="1">
      <alignment horizontal="center" vertical="center"/>
    </xf>
    <xf numFmtId="167" fontId="9" fillId="3" borderId="67" xfId="2" applyFont="1" applyFill="1" applyBorder="1" applyAlignment="1" applyProtection="1">
      <alignment horizontal="center" vertical="center" wrapText="1"/>
      <protection locked="0"/>
    </xf>
    <xf numFmtId="167" fontId="9" fillId="3" borderId="157" xfId="2" applyFont="1" applyFill="1" applyBorder="1" applyAlignment="1" applyProtection="1">
      <alignment horizontal="center" vertical="center" wrapText="1"/>
      <protection locked="0"/>
    </xf>
    <xf numFmtId="0" fontId="9" fillId="3" borderId="0" xfId="0" applyFont="1" applyFill="1" applyBorder="1" applyAlignment="1">
      <alignment horizontal="center" vertical="center"/>
    </xf>
    <xf numFmtId="0" fontId="9" fillId="3" borderId="66" xfId="0" applyFont="1" applyFill="1" applyBorder="1" applyAlignment="1" applyProtection="1">
      <alignment horizontal="center" vertical="center" wrapText="1"/>
      <protection locked="0"/>
    </xf>
    <xf numFmtId="164" fontId="9" fillId="3" borderId="0" xfId="0" applyNumberFormat="1"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167" fontId="9" fillId="3" borderId="0" xfId="2" applyFont="1" applyFill="1" applyBorder="1" applyAlignment="1" applyProtection="1">
      <alignment horizontal="left" vertical="center" wrapText="1"/>
      <protection locked="0"/>
    </xf>
    <xf numFmtId="0" fontId="19" fillId="0" borderId="104" xfId="0" applyFont="1" applyBorder="1" applyAlignment="1">
      <alignment horizontal="center" vertical="center" wrapText="1"/>
    </xf>
    <xf numFmtId="0" fontId="9" fillId="0" borderId="158" xfId="0" applyFont="1" applyBorder="1" applyAlignment="1" applyProtection="1">
      <alignment vertical="center"/>
    </xf>
    <xf numFmtId="0" fontId="0" fillId="0" borderId="67" xfId="0" applyBorder="1" applyAlignment="1">
      <alignment vertical="center"/>
    </xf>
    <xf numFmtId="0" fontId="9" fillId="13" borderId="78" xfId="0" applyFont="1" applyFill="1" applyBorder="1" applyAlignment="1" applyProtection="1">
      <alignment horizontal="center" vertical="center"/>
      <protection locked="0"/>
    </xf>
    <xf numFmtId="0" fontId="9" fillId="13" borderId="79" xfId="0" applyFont="1" applyFill="1" applyBorder="1" applyAlignment="1" applyProtection="1">
      <alignment horizontal="center" vertical="center"/>
      <protection locked="0"/>
    </xf>
    <xf numFmtId="0" fontId="9" fillId="13" borderId="81" xfId="0" applyFont="1" applyFill="1" applyBorder="1" applyAlignment="1" applyProtection="1">
      <alignment horizontal="center" vertical="center"/>
      <protection locked="0"/>
    </xf>
    <xf numFmtId="0" fontId="5" fillId="0" borderId="52" xfId="0" applyFont="1" applyBorder="1" applyAlignment="1" applyProtection="1">
      <alignment horizontal="left" vertical="center"/>
      <protection locked="0"/>
    </xf>
    <xf numFmtId="0" fontId="5" fillId="0" borderId="53" xfId="0" applyFont="1" applyBorder="1" applyAlignment="1" applyProtection="1">
      <alignment horizontal="left" vertical="center"/>
      <protection locked="0"/>
    </xf>
    <xf numFmtId="0" fontId="5" fillId="0" borderId="54" xfId="0" applyFont="1" applyBorder="1" applyAlignment="1" applyProtection="1">
      <alignment horizontal="left" vertical="center"/>
      <protection locked="0"/>
    </xf>
    <xf numFmtId="0" fontId="9" fillId="10" borderId="105" xfId="0" applyFont="1" applyFill="1" applyBorder="1" applyAlignment="1" applyProtection="1">
      <alignment horizontal="center" vertical="center"/>
      <protection locked="0"/>
    </xf>
    <xf numFmtId="0" fontId="9" fillId="10" borderId="190" xfId="0" applyFont="1" applyFill="1" applyBorder="1" applyAlignment="1" applyProtection="1">
      <alignment horizontal="center" vertical="center"/>
      <protection locked="0"/>
    </xf>
    <xf numFmtId="0" fontId="5" fillId="0" borderId="177" xfId="0" applyFont="1" applyBorder="1" applyAlignment="1" applyProtection="1">
      <alignment horizontal="left" vertical="center"/>
      <protection locked="0"/>
    </xf>
    <xf numFmtId="0" fontId="5" fillId="0" borderId="181" xfId="0" applyFont="1" applyBorder="1" applyAlignment="1" applyProtection="1">
      <alignment horizontal="left" vertical="center"/>
      <protection locked="0"/>
    </xf>
    <xf numFmtId="0" fontId="5" fillId="0" borderId="182" xfId="0" applyFont="1" applyBorder="1" applyAlignment="1" applyProtection="1">
      <alignment horizontal="left" vertical="center"/>
      <protection locked="0"/>
    </xf>
    <xf numFmtId="0" fontId="19" fillId="0" borderId="35" xfId="0" applyFont="1" applyBorder="1" applyAlignment="1" applyProtection="1">
      <alignment horizontal="center" vertical="center" wrapText="1"/>
    </xf>
    <xf numFmtId="0" fontId="19" fillId="0" borderId="55" xfId="0" applyFont="1" applyBorder="1" applyAlignment="1" applyProtection="1">
      <alignment horizontal="center" vertical="center" wrapText="1"/>
    </xf>
    <xf numFmtId="0" fontId="19" fillId="0" borderId="40" xfId="0" applyFont="1" applyBorder="1" applyAlignment="1" applyProtection="1">
      <alignment horizontal="center" vertical="center"/>
    </xf>
    <xf numFmtId="0" fontId="19" fillId="0" borderId="41" xfId="0" applyFont="1" applyBorder="1" applyAlignment="1" applyProtection="1">
      <alignment horizontal="center" vertical="center"/>
    </xf>
    <xf numFmtId="0" fontId="19" fillId="0" borderId="42" xfId="0" applyFont="1" applyBorder="1" applyAlignment="1" applyProtection="1">
      <alignment horizontal="center" vertical="center"/>
    </xf>
    <xf numFmtId="0" fontId="19" fillId="0" borderId="37" xfId="0" applyFont="1" applyBorder="1" applyAlignment="1" applyProtection="1">
      <alignment horizontal="center" vertical="center" wrapText="1"/>
    </xf>
    <xf numFmtId="0" fontId="19" fillId="0" borderId="57" xfId="0" applyFont="1" applyBorder="1" applyAlignment="1" applyProtection="1">
      <alignment horizontal="center" vertical="center" wrapText="1"/>
    </xf>
    <xf numFmtId="0" fontId="19" fillId="0" borderId="36" xfId="0" applyFont="1" applyBorder="1" applyAlignment="1" applyProtection="1">
      <alignment horizontal="center" vertical="center" wrapText="1"/>
    </xf>
    <xf numFmtId="0" fontId="19" fillId="0" borderId="56" xfId="0" applyFont="1" applyBorder="1" applyAlignment="1">
      <alignment horizontal="center" vertical="center" wrapText="1"/>
    </xf>
    <xf numFmtId="0" fontId="5" fillId="0" borderId="53" xfId="0" applyFont="1" applyBorder="1" applyAlignment="1" applyProtection="1">
      <alignment horizontal="center" vertical="center"/>
      <protection locked="0"/>
    </xf>
    <xf numFmtId="0" fontId="5" fillId="0" borderId="54"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9" fillId="0" borderId="44" xfId="0" applyFont="1" applyBorder="1" applyAlignment="1" applyProtection="1">
      <alignment horizontal="center" vertical="center"/>
    </xf>
    <xf numFmtId="0" fontId="9" fillId="0" borderId="156" xfId="0" applyFont="1" applyBorder="1" applyAlignment="1" applyProtection="1">
      <alignment horizontal="center" vertical="center"/>
    </xf>
    <xf numFmtId="0" fontId="5" fillId="0" borderId="67" xfId="0" applyFont="1" applyBorder="1" applyAlignment="1" applyProtection="1">
      <alignment horizontal="center" vertical="center"/>
      <protection locked="0"/>
    </xf>
    <xf numFmtId="0" fontId="5" fillId="0" borderId="157" xfId="0" applyFont="1" applyBorder="1" applyAlignment="1" applyProtection="1">
      <alignment horizontal="center" vertical="center"/>
      <protection locked="0"/>
    </xf>
    <xf numFmtId="3" fontId="5" fillId="0" borderId="0" xfId="0" applyNumberFormat="1" applyFont="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0" fontId="5" fillId="0" borderId="0" xfId="0" applyNumberFormat="1"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9" fillId="0" borderId="67" xfId="0" applyFont="1" applyBorder="1" applyAlignment="1" applyProtection="1">
      <alignment horizontal="center" vertical="center"/>
    </xf>
    <xf numFmtId="0" fontId="9" fillId="0" borderId="157" xfId="0" applyFont="1" applyBorder="1" applyAlignment="1" applyProtection="1">
      <alignment horizontal="center" vertical="center"/>
    </xf>
    <xf numFmtId="3" fontId="5" fillId="0" borderId="0" xfId="0" applyNumberFormat="1" applyFont="1" applyFill="1" applyBorder="1" applyAlignment="1" applyProtection="1">
      <alignment horizontal="center" vertical="center"/>
      <protection locked="0"/>
    </xf>
    <xf numFmtId="10" fontId="5" fillId="0" borderId="0" xfId="0" applyNumberFormat="1" applyFont="1" applyFill="1" applyBorder="1" applyAlignment="1" applyProtection="1">
      <alignment horizontal="center" vertical="center"/>
      <protection locked="0"/>
    </xf>
    <xf numFmtId="171" fontId="5" fillId="0" borderId="0" xfId="0" applyNumberFormat="1" applyFont="1" applyFill="1" applyBorder="1" applyAlignment="1" applyProtection="1">
      <alignment horizontal="center" vertical="center"/>
      <protection locked="0"/>
    </xf>
    <xf numFmtId="0" fontId="5" fillId="0" borderId="0" xfId="0" applyFont="1" applyBorder="1" applyAlignment="1" applyProtection="1">
      <alignment horizontal="justify" vertical="center"/>
      <protection locked="0"/>
    </xf>
    <xf numFmtId="0" fontId="5" fillId="0" borderId="39" xfId="0" applyFont="1" applyBorder="1" applyAlignment="1" applyProtection="1">
      <alignment horizontal="justify" vertical="center"/>
      <protection locked="0"/>
    </xf>
    <xf numFmtId="0" fontId="12" fillId="0" borderId="53" xfId="0" applyFont="1" applyBorder="1" applyAlignment="1" applyProtection="1">
      <alignment horizontal="right" vertical="center"/>
      <protection locked="0"/>
    </xf>
    <xf numFmtId="0" fontId="12" fillId="0" borderId="54" xfId="0" applyFont="1" applyBorder="1" applyAlignment="1" applyProtection="1">
      <alignment horizontal="right" vertical="center"/>
      <protection locked="0"/>
    </xf>
    <xf numFmtId="0" fontId="13" fillId="0" borderId="44" xfId="0" applyFont="1" applyBorder="1" applyAlignment="1" applyProtection="1">
      <alignment horizontal="center" vertical="center"/>
    </xf>
    <xf numFmtId="0" fontId="13" fillId="0" borderId="156" xfId="0" applyFont="1" applyBorder="1" applyAlignment="1" applyProtection="1">
      <alignment horizontal="center" vertical="center"/>
    </xf>
    <xf numFmtId="0" fontId="8" fillId="0" borderId="0" xfId="5" applyFont="1" applyFill="1" applyBorder="1" applyAlignment="1">
      <alignment horizontal="left" vertical="top" wrapText="1"/>
    </xf>
    <xf numFmtId="0" fontId="8" fillId="0" borderId="39" xfId="0" applyFont="1" applyBorder="1" applyAlignment="1">
      <alignment horizontal="left" vertical="top" wrapText="1"/>
    </xf>
    <xf numFmtId="0" fontId="8" fillId="0" borderId="39" xfId="5" applyFont="1" applyFill="1" applyBorder="1" applyAlignment="1">
      <alignment horizontal="left" vertical="top" wrapText="1"/>
    </xf>
    <xf numFmtId="0" fontId="19" fillId="5" borderId="40" xfId="5" applyFont="1" applyFill="1" applyBorder="1" applyAlignment="1">
      <alignment horizontal="center" vertical="top" wrapText="1"/>
    </xf>
    <xf numFmtId="0" fontId="19" fillId="5" borderId="42" xfId="5" applyFont="1" applyFill="1" applyBorder="1" applyAlignment="1">
      <alignment horizontal="center" vertical="top" wrapText="1"/>
    </xf>
    <xf numFmtId="169" fontId="23" fillId="5" borderId="208" xfId="0" applyNumberFormat="1" applyFont="1" applyFill="1" applyBorder="1" applyAlignment="1">
      <alignment horizontal="left"/>
    </xf>
    <xf numFmtId="169" fontId="23" fillId="5" borderId="0" xfId="0" applyNumberFormat="1" applyFont="1" applyFill="1" applyBorder="1" applyAlignment="1">
      <alignment horizontal="left"/>
    </xf>
    <xf numFmtId="169" fontId="23" fillId="5" borderId="200" xfId="0" applyNumberFormat="1" applyFont="1" applyFill="1" applyBorder="1" applyAlignment="1">
      <alignment horizontal="left"/>
    </xf>
    <xf numFmtId="0" fontId="24" fillId="0" borderId="213" xfId="0" applyFont="1" applyBorder="1" applyAlignment="1">
      <alignment horizontal="right"/>
    </xf>
    <xf numFmtId="169" fontId="25" fillId="8" borderId="40" xfId="0" applyNumberFormat="1" applyFont="1" applyFill="1" applyBorder="1" applyAlignment="1">
      <alignment horizontal="center"/>
    </xf>
    <xf numFmtId="169" fontId="25" fillId="8" borderId="41" xfId="0" applyNumberFormat="1" applyFont="1" applyFill="1" applyBorder="1" applyAlignment="1">
      <alignment horizontal="center"/>
    </xf>
    <xf numFmtId="0" fontId="22" fillId="0" borderId="197" xfId="0" quotePrefix="1" applyFont="1" applyBorder="1" applyAlignment="1">
      <alignment horizontal="justify" vertical="top" wrapText="1"/>
    </xf>
    <xf numFmtId="0" fontId="22" fillId="0" borderId="198" xfId="0" quotePrefix="1" applyFont="1" applyBorder="1" applyAlignment="1">
      <alignment horizontal="justify" vertical="top" wrapText="1"/>
    </xf>
    <xf numFmtId="0" fontId="22" fillId="0" borderId="198" xfId="0" applyFont="1" applyBorder="1" applyAlignment="1">
      <alignment horizontal="justify" vertical="top" wrapText="1"/>
    </xf>
    <xf numFmtId="0" fontId="23" fillId="0" borderId="193" xfId="0" quotePrefix="1" applyFont="1" applyBorder="1" applyAlignment="1">
      <alignment horizontal="justify" vertical="top" wrapText="1"/>
    </xf>
    <xf numFmtId="0" fontId="23" fillId="0" borderId="194" xfId="0" quotePrefix="1" applyFont="1" applyBorder="1" applyAlignment="1">
      <alignment horizontal="justify" vertical="top" wrapText="1"/>
    </xf>
    <xf numFmtId="0" fontId="23" fillId="0" borderId="194" xfId="0" applyFont="1" applyBorder="1" applyAlignment="1">
      <alignment horizontal="justify" vertical="top" wrapText="1"/>
    </xf>
    <xf numFmtId="0" fontId="22" fillId="0" borderId="201" xfId="0" quotePrefix="1" applyFont="1" applyBorder="1" applyAlignment="1">
      <alignment horizontal="justify" vertical="top" wrapText="1"/>
    </xf>
    <xf numFmtId="0" fontId="22" fillId="0" borderId="202" xfId="0" quotePrefix="1" applyFont="1" applyBorder="1" applyAlignment="1">
      <alignment horizontal="justify" vertical="top" wrapText="1"/>
    </xf>
    <xf numFmtId="0" fontId="22" fillId="0" borderId="116" xfId="0" quotePrefix="1" applyFont="1" applyBorder="1" applyAlignment="1">
      <alignment horizontal="justify" vertical="top" wrapText="1"/>
    </xf>
    <xf numFmtId="0" fontId="22" fillId="0" borderId="195" xfId="0" quotePrefix="1" applyFont="1" applyBorder="1" applyAlignment="1">
      <alignment horizontal="justify" vertical="top" wrapText="1"/>
    </xf>
    <xf numFmtId="0" fontId="22" fillId="0" borderId="196" xfId="0" quotePrefix="1" applyFont="1" applyBorder="1" applyAlignment="1">
      <alignment horizontal="justify" vertical="top" wrapText="1"/>
    </xf>
    <xf numFmtId="0" fontId="22" fillId="0" borderId="120" xfId="0" quotePrefix="1" applyFont="1" applyBorder="1" applyAlignment="1">
      <alignment horizontal="justify" vertical="top" wrapText="1"/>
    </xf>
    <xf numFmtId="0" fontId="22" fillId="0" borderId="193" xfId="0" quotePrefix="1" applyFont="1" applyBorder="1" applyAlignment="1">
      <alignment horizontal="justify" vertical="top" wrapText="1"/>
    </xf>
    <xf numFmtId="0" fontId="22" fillId="0" borderId="194" xfId="0" quotePrefix="1" applyFont="1" applyBorder="1" applyAlignment="1">
      <alignment horizontal="justify" vertical="top" wrapText="1"/>
    </xf>
    <xf numFmtId="0" fontId="22" fillId="0" borderId="193" xfId="0" quotePrefix="1" applyFont="1" applyBorder="1" applyAlignment="1" applyProtection="1">
      <alignment horizontal="justify" vertical="top" wrapText="1"/>
      <protection locked="0"/>
    </xf>
    <xf numFmtId="0" fontId="22" fillId="0" borderId="194" xfId="0" quotePrefix="1" applyFont="1" applyBorder="1" applyAlignment="1" applyProtection="1">
      <alignment horizontal="justify" vertical="top" wrapText="1"/>
      <protection locked="0"/>
    </xf>
    <xf numFmtId="0" fontId="22" fillId="0" borderId="194" xfId="0" applyFont="1" applyBorder="1" applyAlignment="1" applyProtection="1">
      <alignment horizontal="justify" vertical="top" wrapText="1"/>
      <protection locked="0"/>
    </xf>
    <xf numFmtId="0" fontId="23" fillId="0" borderId="197" xfId="0" quotePrefix="1" applyFont="1" applyBorder="1" applyAlignment="1">
      <alignment horizontal="justify" vertical="top" wrapText="1"/>
    </xf>
    <xf numFmtId="0" fontId="23" fillId="0" borderId="198" xfId="0" quotePrefix="1" applyFont="1" applyBorder="1" applyAlignment="1">
      <alignment horizontal="justify" vertical="top" wrapText="1"/>
    </xf>
    <xf numFmtId="0" fontId="23" fillId="0" borderId="198" xfId="0" applyFont="1" applyBorder="1" applyAlignment="1">
      <alignment horizontal="justify" vertical="top" wrapText="1"/>
    </xf>
    <xf numFmtId="0" fontId="22" fillId="0" borderId="202" xfId="0" applyFont="1" applyBorder="1" applyAlignment="1">
      <alignment horizontal="justify" vertical="top" wrapText="1"/>
    </xf>
    <xf numFmtId="0" fontId="22" fillId="0" borderId="197" xfId="0" quotePrefix="1" applyFont="1" applyBorder="1" applyAlignment="1" applyProtection="1">
      <alignment horizontal="justify" vertical="top" wrapText="1"/>
      <protection locked="0"/>
    </xf>
    <xf numFmtId="0" fontId="22" fillId="0" borderId="198" xfId="0" quotePrefix="1" applyFont="1" applyBorder="1" applyAlignment="1" applyProtection="1">
      <alignment horizontal="justify" vertical="top" wrapText="1"/>
      <protection locked="0"/>
    </xf>
    <xf numFmtId="0" fontId="23" fillId="0" borderId="193" xfId="0" applyFont="1" applyBorder="1" applyAlignment="1">
      <alignment horizontal="justify" vertical="top" wrapText="1"/>
    </xf>
    <xf numFmtId="169" fontId="49" fillId="5" borderId="191" xfId="0" applyNumberFormat="1" applyFont="1" applyFill="1" applyBorder="1" applyAlignment="1">
      <alignment horizontal="left" wrapText="1"/>
    </xf>
    <xf numFmtId="169" fontId="49" fillId="5" borderId="192" xfId="0" applyNumberFormat="1" applyFont="1" applyFill="1" applyBorder="1" applyAlignment="1">
      <alignment horizontal="left" wrapText="1"/>
    </xf>
    <xf numFmtId="169" fontId="49" fillId="5" borderId="133" xfId="0" applyNumberFormat="1" applyFont="1" applyFill="1" applyBorder="1" applyAlignment="1">
      <alignment horizontal="left" wrapText="1"/>
    </xf>
    <xf numFmtId="0" fontId="22" fillId="0" borderId="13" xfId="0" quotePrefix="1" applyFont="1" applyBorder="1" applyAlignment="1">
      <alignment horizontal="justify" vertical="top" wrapText="1"/>
    </xf>
    <xf numFmtId="0" fontId="22" fillId="0" borderId="112" xfId="0" applyFont="1" applyBorder="1" applyAlignment="1">
      <alignment horizontal="justify" vertical="top" wrapText="1"/>
    </xf>
    <xf numFmtId="0" fontId="22" fillId="0" borderId="191" xfId="0" quotePrefix="1" applyFont="1" applyBorder="1" applyAlignment="1">
      <alignment horizontal="justify" vertical="top" wrapText="1"/>
    </xf>
    <xf numFmtId="0" fontId="22" fillId="0" borderId="192" xfId="0" quotePrefix="1" applyFont="1" applyBorder="1" applyAlignment="1">
      <alignment horizontal="justify" vertical="top" wrapText="1"/>
    </xf>
    <xf numFmtId="0" fontId="22" fillId="0" borderId="201" xfId="0" applyFont="1" applyBorder="1" applyAlignment="1">
      <alignment horizontal="justify" vertical="top" wrapText="1"/>
    </xf>
    <xf numFmtId="0" fontId="22" fillId="0" borderId="197" xfId="0" applyFont="1" applyBorder="1" applyAlignment="1">
      <alignment horizontal="justify" vertical="top" wrapText="1"/>
    </xf>
    <xf numFmtId="169" fontId="23" fillId="5" borderId="209" xfId="0" applyNumberFormat="1" applyFont="1" applyFill="1" applyBorder="1" applyAlignment="1">
      <alignment horizontal="left"/>
    </xf>
    <xf numFmtId="169" fontId="23" fillId="5" borderId="210" xfId="0" applyNumberFormat="1" applyFont="1" applyFill="1" applyBorder="1" applyAlignment="1">
      <alignment horizontal="left"/>
    </xf>
    <xf numFmtId="169" fontId="23" fillId="5" borderId="211" xfId="0" applyNumberFormat="1" applyFont="1" applyFill="1" applyBorder="1" applyAlignment="1">
      <alignment horizontal="left"/>
    </xf>
    <xf numFmtId="0" fontId="25" fillId="10" borderId="214" xfId="0" applyFont="1" applyFill="1" applyBorder="1" applyAlignment="1">
      <alignment horizontal="center"/>
    </xf>
    <xf numFmtId="0" fontId="25" fillId="10" borderId="215" xfId="0" applyFont="1" applyFill="1" applyBorder="1" applyAlignment="1">
      <alignment horizontal="center"/>
    </xf>
    <xf numFmtId="0" fontId="0" fillId="0" borderId="216" xfId="0" applyBorder="1" applyAlignment="1"/>
    <xf numFmtId="0" fontId="22" fillId="0" borderId="32" xfId="0" applyFont="1" applyBorder="1" applyAlignment="1">
      <alignment horizontal="left"/>
    </xf>
    <xf numFmtId="0" fontId="22" fillId="0" borderId="0" xfId="0" applyFont="1" applyBorder="1" applyAlignment="1">
      <alignment horizontal="left"/>
    </xf>
    <xf numFmtId="3" fontId="5" fillId="0" borderId="58" xfId="7" applyNumberFormat="1" applyFont="1" applyBorder="1" applyAlignment="1"/>
    <xf numFmtId="0" fontId="5" fillId="0" borderId="58" xfId="0" applyFont="1" applyBorder="1" applyAlignment="1"/>
    <xf numFmtId="0" fontId="47" fillId="0" borderId="0" xfId="0" applyFont="1" applyAlignment="1">
      <alignment horizontal="center"/>
    </xf>
    <xf numFmtId="0" fontId="19" fillId="0" borderId="0" xfId="0" applyFont="1" applyAlignment="1">
      <alignment horizontal="center"/>
    </xf>
    <xf numFmtId="3" fontId="9" fillId="5" borderId="58" xfId="7" applyNumberFormat="1" applyFont="1" applyFill="1" applyBorder="1" applyAlignment="1">
      <alignment horizontal="center"/>
    </xf>
    <xf numFmtId="3" fontId="5" fillId="5" borderId="69" xfId="7" applyNumberFormat="1" applyFont="1" applyFill="1" applyBorder="1" applyAlignment="1">
      <alignment horizontal="center"/>
    </xf>
    <xf numFmtId="0" fontId="5" fillId="0" borderId="60" xfId="0" applyFont="1" applyBorder="1" applyAlignment="1">
      <alignment horizontal="center"/>
    </xf>
    <xf numFmtId="3" fontId="9" fillId="5" borderId="43" xfId="7" applyNumberFormat="1" applyFont="1" applyFill="1" applyBorder="1" applyAlignment="1">
      <alignment horizontal="center"/>
    </xf>
    <xf numFmtId="3" fontId="9" fillId="5" borderId="44" xfId="7" applyNumberFormat="1" applyFont="1" applyFill="1" applyBorder="1" applyAlignment="1">
      <alignment horizontal="center"/>
    </xf>
    <xf numFmtId="3" fontId="9" fillId="5" borderId="45" xfId="7" applyNumberFormat="1" applyFont="1" applyFill="1" applyBorder="1" applyAlignment="1">
      <alignment horizontal="center"/>
    </xf>
    <xf numFmtId="3" fontId="5" fillId="0" borderId="58" xfId="7" applyNumberFormat="1" applyFont="1" applyFill="1" applyBorder="1" applyAlignment="1"/>
    <xf numFmtId="0" fontId="0" fillId="0" borderId="58" xfId="0" applyBorder="1" applyAlignment="1"/>
    <xf numFmtId="3" fontId="9" fillId="5" borderId="73" xfId="7" applyNumberFormat="1" applyFont="1" applyFill="1" applyBorder="1" applyAlignment="1">
      <alignment horizontal="center" vertical="center"/>
    </xf>
    <xf numFmtId="0" fontId="5" fillId="0" borderId="67" xfId="0" applyFont="1" applyBorder="1" applyAlignment="1">
      <alignment vertical="center"/>
    </xf>
    <xf numFmtId="0" fontId="5" fillId="0" borderId="68" xfId="0" applyFont="1" applyBorder="1" applyAlignment="1">
      <alignment vertical="center"/>
    </xf>
    <xf numFmtId="0" fontId="5" fillId="0" borderId="74" xfId="0" applyFont="1" applyBorder="1" applyAlignment="1">
      <alignment vertical="center"/>
    </xf>
    <xf numFmtId="0" fontId="5" fillId="0" borderId="53" xfId="0" applyFont="1" applyBorder="1" applyAlignment="1">
      <alignment vertical="center"/>
    </xf>
    <xf numFmtId="0" fontId="5" fillId="0" borderId="75" xfId="0" applyFont="1" applyBorder="1" applyAlignment="1">
      <alignment vertical="center"/>
    </xf>
    <xf numFmtId="0" fontId="9" fillId="5" borderId="58" xfId="0" applyFont="1" applyFill="1" applyBorder="1" applyAlignment="1">
      <alignment horizontal="center"/>
    </xf>
    <xf numFmtId="3" fontId="9" fillId="5" borderId="43" xfId="7" applyNumberFormat="1" applyFont="1" applyFill="1" applyBorder="1" applyAlignment="1"/>
    <xf numFmtId="0" fontId="0" fillId="0" borderId="44" xfId="0" applyBorder="1" applyAlignment="1"/>
    <xf numFmtId="0" fontId="0" fillId="0" borderId="45" xfId="0" applyBorder="1" applyAlignment="1"/>
    <xf numFmtId="0" fontId="126" fillId="0" borderId="0" xfId="0" applyFont="1" applyAlignment="1">
      <alignment wrapText="1"/>
    </xf>
    <xf numFmtId="0" fontId="124" fillId="0" borderId="218" xfId="0" applyFont="1" applyBorder="1" applyAlignment="1">
      <alignment wrapText="1"/>
    </xf>
    <xf numFmtId="0" fontId="127" fillId="0" borderId="0" xfId="0" applyFont="1" applyAlignment="1">
      <alignment horizontal="right" vertical="top"/>
    </xf>
    <xf numFmtId="0" fontId="124" fillId="0" borderId="0" xfId="0" applyFont="1" applyAlignment="1">
      <alignment vertical="top"/>
    </xf>
    <xf numFmtId="0" fontId="80" fillId="14" borderId="78" xfId="0" applyFont="1" applyFill="1" applyBorder="1" applyAlignment="1">
      <alignment horizontal="center"/>
    </xf>
    <xf numFmtId="0" fontId="80" fillId="14" borderId="79" xfId="0" applyFont="1" applyFill="1" applyBorder="1" applyAlignment="1">
      <alignment horizontal="center"/>
    </xf>
    <xf numFmtId="0" fontId="80" fillId="14" borderId="81" xfId="0" applyFont="1" applyFill="1" applyBorder="1" applyAlignment="1">
      <alignment horizontal="center"/>
    </xf>
    <xf numFmtId="0" fontId="9" fillId="12" borderId="78" xfId="0" applyFont="1" applyFill="1" applyBorder="1" applyAlignment="1" applyProtection="1">
      <alignment horizontal="center" vertical="center"/>
      <protection locked="0"/>
    </xf>
    <xf numFmtId="0" fontId="9" fillId="12" borderId="79" xfId="0" applyFont="1" applyFill="1" applyBorder="1" applyAlignment="1" applyProtection="1">
      <alignment horizontal="center" vertical="center"/>
      <protection locked="0"/>
    </xf>
    <xf numFmtId="0" fontId="9" fillId="12" borderId="81" xfId="0" applyFont="1" applyFill="1" applyBorder="1" applyAlignment="1" applyProtection="1">
      <alignment horizontal="center" vertical="center"/>
      <protection locked="0"/>
    </xf>
    <xf numFmtId="0" fontId="5" fillId="12" borderId="52" xfId="0" applyFont="1" applyFill="1" applyBorder="1" applyAlignment="1" applyProtection="1">
      <alignment horizontal="left" vertical="center"/>
      <protection locked="0"/>
    </xf>
    <xf numFmtId="0" fontId="5" fillId="12" borderId="53" xfId="0" applyFont="1" applyFill="1" applyBorder="1" applyAlignment="1" applyProtection="1">
      <alignment horizontal="left" vertical="center"/>
      <protection locked="0"/>
    </xf>
    <xf numFmtId="0" fontId="5" fillId="12" borderId="54" xfId="0" applyFont="1" applyFill="1" applyBorder="1" applyAlignment="1" applyProtection="1">
      <alignment horizontal="left" vertical="center"/>
      <protection locked="0"/>
    </xf>
    <xf numFmtId="0" fontId="9" fillId="12" borderId="105" xfId="0" applyFont="1" applyFill="1" applyBorder="1" applyAlignment="1" applyProtection="1">
      <alignment horizontal="center" vertical="center"/>
      <protection locked="0"/>
    </xf>
    <xf numFmtId="0" fontId="9" fillId="12" borderId="190" xfId="0" applyFont="1" applyFill="1" applyBorder="1" applyAlignment="1" applyProtection="1">
      <alignment horizontal="center" vertical="center"/>
      <protection locked="0"/>
    </xf>
    <xf numFmtId="0" fontId="5" fillId="12" borderId="177" xfId="0" applyFont="1" applyFill="1" applyBorder="1" applyAlignment="1" applyProtection="1">
      <alignment horizontal="left" vertical="center"/>
      <protection locked="0"/>
    </xf>
    <xf numFmtId="0" fontId="5" fillId="12" borderId="181" xfId="0" applyFont="1" applyFill="1" applyBorder="1" applyAlignment="1" applyProtection="1">
      <alignment horizontal="left" vertical="center"/>
      <protection locked="0"/>
    </xf>
    <xf numFmtId="0" fontId="5" fillId="12" borderId="182" xfId="0" applyFont="1" applyFill="1" applyBorder="1" applyAlignment="1" applyProtection="1">
      <alignment horizontal="left" vertical="center"/>
      <protection locked="0"/>
    </xf>
    <xf numFmtId="0" fontId="19" fillId="12" borderId="189" xfId="0" applyFont="1" applyFill="1" applyBorder="1" applyAlignment="1" applyProtection="1">
      <alignment horizontal="center" vertical="center" wrapText="1"/>
    </xf>
    <xf numFmtId="0" fontId="0" fillId="12" borderId="104" xfId="0" applyFill="1" applyBorder="1" applyAlignment="1">
      <alignment horizontal="center" vertical="center" wrapText="1"/>
    </xf>
    <xf numFmtId="167" fontId="9" fillId="12" borderId="67" xfId="2" applyFont="1" applyFill="1" applyBorder="1" applyAlignment="1" applyProtection="1">
      <alignment horizontal="center" vertical="center" wrapText="1"/>
      <protection locked="0"/>
    </xf>
    <xf numFmtId="167" fontId="9" fillId="12" borderId="157" xfId="2" applyFont="1" applyFill="1" applyBorder="1" applyAlignment="1" applyProtection="1">
      <alignment horizontal="center" vertical="center" wrapText="1"/>
      <protection locked="0"/>
    </xf>
    <xf numFmtId="0" fontId="9" fillId="12" borderId="0" xfId="0" applyFont="1" applyFill="1" applyBorder="1" applyAlignment="1">
      <alignment horizontal="center" vertical="center"/>
    </xf>
    <xf numFmtId="0" fontId="9" fillId="12" borderId="66" xfId="0" applyFont="1" applyFill="1" applyBorder="1" applyAlignment="1" applyProtection="1">
      <alignment horizontal="center" vertical="center" wrapText="1"/>
      <protection locked="0"/>
    </xf>
    <xf numFmtId="164" fontId="9" fillId="12" borderId="0" xfId="0" applyNumberFormat="1"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167" fontId="9" fillId="12" borderId="0" xfId="2" applyFont="1" applyFill="1" applyBorder="1" applyAlignment="1" applyProtection="1">
      <alignment horizontal="left" vertical="center" wrapText="1"/>
      <protection locked="0"/>
    </xf>
    <xf numFmtId="0" fontId="19" fillId="12" borderId="104" xfId="0" applyFont="1" applyFill="1" applyBorder="1" applyAlignment="1">
      <alignment horizontal="center" vertical="center" wrapText="1"/>
    </xf>
    <xf numFmtId="0" fontId="19" fillId="12" borderId="35" xfId="0" applyFont="1" applyFill="1" applyBorder="1" applyAlignment="1" applyProtection="1">
      <alignment horizontal="center" vertical="center" wrapText="1"/>
    </xf>
    <xf numFmtId="0" fontId="19" fillId="12" borderId="55" xfId="0" applyFont="1" applyFill="1" applyBorder="1" applyAlignment="1" applyProtection="1">
      <alignment horizontal="center" vertical="center" wrapText="1"/>
    </xf>
    <xf numFmtId="0" fontId="19" fillId="12" borderId="40" xfId="0" applyFont="1" applyFill="1" applyBorder="1" applyAlignment="1" applyProtection="1">
      <alignment horizontal="center" vertical="center"/>
    </xf>
    <xf numFmtId="0" fontId="19" fillId="12" borderId="41" xfId="0" applyFont="1" applyFill="1" applyBorder="1" applyAlignment="1" applyProtection="1">
      <alignment horizontal="center" vertical="center"/>
    </xf>
    <xf numFmtId="0" fontId="19" fillId="12" borderId="42" xfId="0" applyFont="1" applyFill="1" applyBorder="1" applyAlignment="1" applyProtection="1">
      <alignment horizontal="center" vertical="center"/>
    </xf>
    <xf numFmtId="0" fontId="19" fillId="12" borderId="36" xfId="0" applyFont="1" applyFill="1" applyBorder="1" applyAlignment="1" applyProtection="1">
      <alignment horizontal="center" vertical="center" wrapText="1"/>
    </xf>
    <xf numFmtId="0" fontId="19" fillId="12" borderId="56" xfId="0" applyFont="1" applyFill="1" applyBorder="1" applyAlignment="1">
      <alignment horizontal="center" vertical="center" wrapText="1"/>
    </xf>
    <xf numFmtId="0" fontId="9" fillId="12" borderId="158" xfId="0" applyFont="1" applyFill="1" applyBorder="1" applyAlignment="1" applyProtection="1">
      <alignment vertical="center"/>
    </xf>
    <xf numFmtId="0" fontId="0" fillId="12" borderId="67" xfId="0" applyFill="1" applyBorder="1" applyAlignment="1">
      <alignment vertical="center"/>
    </xf>
    <xf numFmtId="0" fontId="13" fillId="12" borderId="44" xfId="0" applyFont="1" applyFill="1" applyBorder="1" applyAlignment="1" applyProtection="1">
      <alignment horizontal="center" vertical="center"/>
    </xf>
    <xf numFmtId="0" fontId="13" fillId="12" borderId="156" xfId="0" applyFont="1" applyFill="1" applyBorder="1" applyAlignment="1" applyProtection="1">
      <alignment horizontal="center" vertical="center"/>
    </xf>
    <xf numFmtId="0" fontId="5" fillId="12" borderId="0" xfId="0" applyFont="1" applyFill="1" applyBorder="1" applyAlignment="1" applyProtection="1">
      <alignment horizontal="justify" vertical="center"/>
      <protection locked="0"/>
    </xf>
    <xf numFmtId="0" fontId="5" fillId="12" borderId="39" xfId="0" applyFont="1" applyFill="1" applyBorder="1" applyAlignment="1" applyProtection="1">
      <alignment horizontal="justify" vertical="center"/>
      <protection locked="0"/>
    </xf>
    <xf numFmtId="0" fontId="64" fillId="12" borderId="0" xfId="0" applyFont="1" applyFill="1" applyAlignment="1">
      <alignment horizontal="left"/>
    </xf>
    <xf numFmtId="0" fontId="38" fillId="12" borderId="246" xfId="0" applyFont="1" applyFill="1" applyBorder="1" applyAlignment="1">
      <alignment horizontal="justify" vertical="top" wrapText="1"/>
    </xf>
    <xf numFmtId="0" fontId="38" fillId="12" borderId="247" xfId="0" applyFont="1" applyFill="1" applyBorder="1" applyAlignment="1">
      <alignment horizontal="justify" vertical="top"/>
    </xf>
    <xf numFmtId="0" fontId="38" fillId="12" borderId="248" xfId="0" applyFont="1" applyFill="1" applyBorder="1" applyAlignment="1">
      <alignment horizontal="justify" vertical="top"/>
    </xf>
    <xf numFmtId="0" fontId="38" fillId="12" borderId="249" xfId="0" applyFont="1" applyFill="1" applyBorder="1" applyAlignment="1">
      <alignment horizontal="justify" vertical="top"/>
    </xf>
    <xf numFmtId="0" fontId="38" fillId="12" borderId="0" xfId="0" applyFont="1" applyFill="1" applyBorder="1" applyAlignment="1">
      <alignment horizontal="justify" vertical="top"/>
    </xf>
    <xf numFmtId="0" fontId="38" fillId="12" borderId="250" xfId="0" applyFont="1" applyFill="1" applyBorder="1" applyAlignment="1">
      <alignment horizontal="justify" vertical="top"/>
    </xf>
    <xf numFmtId="0" fontId="38" fillId="12" borderId="251" xfId="0" applyFont="1" applyFill="1" applyBorder="1" applyAlignment="1">
      <alignment horizontal="justify" vertical="top"/>
    </xf>
    <xf numFmtId="0" fontId="38" fillId="12" borderId="252" xfId="0" applyFont="1" applyFill="1" applyBorder="1" applyAlignment="1">
      <alignment horizontal="justify" vertical="top"/>
    </xf>
    <xf numFmtId="0" fontId="38" fillId="12" borderId="253" xfId="0" applyFont="1" applyFill="1" applyBorder="1" applyAlignment="1">
      <alignment horizontal="justify" vertical="top"/>
    </xf>
    <xf numFmtId="0" fontId="65" fillId="12" borderId="0" xfId="0" applyFont="1" applyFill="1" applyAlignment="1">
      <alignment horizontal="justify" vertical="top" wrapText="1"/>
    </xf>
    <xf numFmtId="171" fontId="81" fillId="12" borderId="0" xfId="0" applyNumberFormat="1" applyFont="1" applyFill="1" applyBorder="1" applyAlignment="1">
      <alignment horizontal="center" vertical="center"/>
    </xf>
    <xf numFmtId="0" fontId="74" fillId="12" borderId="0" xfId="0" applyFont="1" applyFill="1" applyAlignment="1">
      <alignment horizontal="left" vertical="center"/>
    </xf>
    <xf numFmtId="0" fontId="158" fillId="16" borderId="73" xfId="14" applyFont="1" applyFill="1" applyBorder="1" applyAlignment="1">
      <alignment horizontal="center" vertical="center" wrapText="1"/>
    </xf>
    <xf numFmtId="0" fontId="158" fillId="16" borderId="67" xfId="14" applyFont="1" applyFill="1" applyBorder="1" applyAlignment="1">
      <alignment horizontal="center" vertical="center" wrapText="1"/>
    </xf>
    <xf numFmtId="0" fontId="158" fillId="16" borderId="68" xfId="14" applyFont="1" applyFill="1" applyBorder="1" applyAlignment="1">
      <alignment horizontal="center" vertical="center" wrapText="1"/>
    </xf>
    <xf numFmtId="0" fontId="158" fillId="16" borderId="74" xfId="14" applyFont="1" applyFill="1" applyBorder="1" applyAlignment="1">
      <alignment horizontal="center" vertical="center" wrapText="1"/>
    </xf>
    <xf numFmtId="0" fontId="158" fillId="16" borderId="53" xfId="14" applyFont="1" applyFill="1" applyBorder="1" applyAlignment="1">
      <alignment horizontal="center" vertical="center" wrapText="1"/>
    </xf>
    <xf numFmtId="0" fontId="158" fillId="16" borderId="75" xfId="14" applyFont="1" applyFill="1" applyBorder="1" applyAlignment="1">
      <alignment horizontal="center" vertical="center" wrapText="1"/>
    </xf>
    <xf numFmtId="0" fontId="146" fillId="0" borderId="261" xfId="12" applyFont="1" applyBorder="1" applyAlignment="1" applyProtection="1">
      <alignment horizontal="center"/>
    </xf>
    <xf numFmtId="0" fontId="146" fillId="0" borderId="262" xfId="12" applyFont="1" applyBorder="1" applyAlignment="1" applyProtection="1">
      <alignment horizontal="center"/>
    </xf>
    <xf numFmtId="0" fontId="146" fillId="0" borderId="263" xfId="12" applyFont="1" applyBorder="1" applyAlignment="1" applyProtection="1">
      <alignment horizontal="center"/>
    </xf>
    <xf numFmtId="0" fontId="146" fillId="13" borderId="264" xfId="12" applyFont="1" applyFill="1" applyBorder="1" applyAlignment="1" applyProtection="1">
      <alignment horizontal="center"/>
    </xf>
    <xf numFmtId="3" fontId="65" fillId="12" borderId="0" xfId="0" applyNumberFormat="1" applyFont="1" applyFill="1" applyAlignment="1">
      <alignment horizontal="left"/>
    </xf>
    <xf numFmtId="0" fontId="81" fillId="12" borderId="0" xfId="0" applyFont="1" applyFill="1" applyAlignment="1">
      <alignment horizontal="right"/>
    </xf>
    <xf numFmtId="0" fontId="82" fillId="12" borderId="0" xfId="0" applyFont="1" applyFill="1" applyAlignment="1">
      <alignment horizontal="right" vertical="center"/>
    </xf>
    <xf numFmtId="0" fontId="67" fillId="12" borderId="53" xfId="0" applyFont="1" applyFill="1" applyBorder="1" applyAlignment="1">
      <alignment horizontal="center"/>
    </xf>
    <xf numFmtId="3" fontId="65" fillId="12" borderId="53" xfId="0" applyNumberFormat="1" applyFont="1" applyFill="1" applyBorder="1" applyAlignment="1">
      <alignment horizontal="left"/>
    </xf>
    <xf numFmtId="3" fontId="67" fillId="12" borderId="0" xfId="0" applyNumberFormat="1" applyFont="1" applyFill="1" applyAlignment="1">
      <alignment horizontal="center"/>
    </xf>
    <xf numFmtId="0" fontId="67" fillId="12" borderId="0" xfId="0" applyFont="1" applyFill="1" applyAlignment="1">
      <alignment horizontal="center"/>
    </xf>
    <xf numFmtId="0" fontId="65" fillId="12" borderId="0" xfId="0" applyFont="1" applyFill="1" applyAlignment="1">
      <alignment horizontal="left" vertical="top"/>
    </xf>
    <xf numFmtId="0" fontId="65" fillId="12" borderId="0" xfId="0" applyFont="1" applyFill="1" applyAlignment="1">
      <alignment horizontal="left"/>
    </xf>
    <xf numFmtId="0" fontId="67" fillId="12" borderId="222" xfId="0" applyFont="1" applyFill="1" applyBorder="1" applyAlignment="1">
      <alignment horizontal="center" wrapText="1"/>
    </xf>
    <xf numFmtId="0" fontId="67" fillId="12" borderId="225" xfId="0" applyFont="1" applyFill="1" applyBorder="1" applyAlignment="1">
      <alignment horizontal="center" wrapText="1"/>
    </xf>
    <xf numFmtId="0" fontId="67" fillId="12" borderId="223" xfId="0" applyFont="1" applyFill="1" applyBorder="1" applyAlignment="1">
      <alignment horizontal="center" wrapText="1"/>
    </xf>
    <xf numFmtId="0" fontId="67" fillId="12" borderId="220" xfId="0" applyFont="1" applyFill="1" applyBorder="1" applyAlignment="1">
      <alignment horizontal="center" wrapText="1"/>
    </xf>
    <xf numFmtId="0" fontId="67" fillId="12" borderId="220" xfId="0" applyFont="1" applyFill="1" applyBorder="1" applyAlignment="1">
      <alignment horizontal="center"/>
    </xf>
    <xf numFmtId="0" fontId="67" fillId="12" borderId="219" xfId="0" applyFont="1" applyFill="1" applyBorder="1" applyAlignment="1">
      <alignment horizontal="center"/>
    </xf>
    <xf numFmtId="0" fontId="67" fillId="12" borderId="219" xfId="0" applyFont="1" applyFill="1" applyBorder="1" applyAlignment="1">
      <alignment horizontal="left"/>
    </xf>
    <xf numFmtId="0" fontId="43" fillId="9" borderId="0" xfId="0" applyFont="1" applyFill="1" applyBorder="1" applyAlignment="1">
      <alignment horizontal="left" wrapText="1"/>
    </xf>
    <xf numFmtId="0" fontId="43" fillId="9" borderId="39" xfId="0" applyFont="1" applyFill="1" applyBorder="1" applyAlignment="1">
      <alignment horizontal="left" wrapText="1"/>
    </xf>
    <xf numFmtId="0" fontId="43" fillId="9" borderId="56" xfId="0" applyFont="1" applyFill="1" applyBorder="1" applyAlignment="1">
      <alignment horizontal="left" wrapText="1"/>
    </xf>
    <xf numFmtId="0" fontId="43" fillId="9" borderId="57" xfId="0" applyFont="1" applyFill="1" applyBorder="1" applyAlignment="1">
      <alignment horizontal="left" wrapText="1"/>
    </xf>
  </cellXfs>
  <cellStyles count="17">
    <cellStyle name="Millares" xfId="1" builtinId="3"/>
    <cellStyle name="Millares [0]" xfId="2" builtinId="6"/>
    <cellStyle name="Millares 2" xfId="15"/>
    <cellStyle name="Normal" xfId="0" builtinId="0"/>
    <cellStyle name="Normal 2" xfId="3"/>
    <cellStyle name="Normal 2 2" xfId="4"/>
    <cellStyle name="Normal 3" xfId="11"/>
    <cellStyle name="Normal 4" xfId="12"/>
    <cellStyle name="Normal 5" xfId="14"/>
    <cellStyle name="Normal 6" xfId="16"/>
    <cellStyle name="Normal_Admocred 2001" xfId="5"/>
    <cellStyle name="Normal_Apoyo Word P1 y P4" xfId="6"/>
    <cellStyle name="Normal_Cash-Flow" xfId="7"/>
    <cellStyle name="Normal_Nuevo Modelo spread BBDDCC070605" xfId="8"/>
    <cellStyle name="Normal_Zscore" xfId="9"/>
    <cellStyle name="Porcentaje" xfId="10" builtinId="5"/>
    <cellStyle name="Porcentaje 2" xfId="13"/>
  </cellStyles>
  <dxfs count="8">
    <dxf>
      <font>
        <b/>
        <i val="0"/>
        <color theme="0"/>
      </font>
      <fill>
        <patternFill>
          <bgColor rgb="FFFF0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dxf>
    <dxf>
      <fill>
        <patternFill>
          <bgColor rgb="FFFFFF00"/>
        </patternFill>
      </fill>
    </dxf>
    <dxf>
      <fill>
        <patternFill>
          <bgColor theme="0" tint="-0.34998626667073579"/>
        </patternFill>
      </fill>
    </dxf>
    <dxf>
      <font>
        <b/>
        <i val="0"/>
        <color theme="0"/>
      </font>
      <fill>
        <patternFill>
          <bgColor rgb="FFFF0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dxf>
  </dxfs>
  <tableStyles count="0" defaultTableStyle="TableStyleMedium9"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externalLink" Target="externalLinks/externalLink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4.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7.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s-CO"/>
              <a:t>Coberturas de deuda proyectadas</a:t>
            </a:r>
          </a:p>
        </c:rich>
      </c:tx>
      <c:overlay val="0"/>
    </c:title>
    <c:autoTitleDeleted val="0"/>
    <c:plotArea>
      <c:layout>
        <c:manualLayout>
          <c:layoutTarget val="inner"/>
          <c:xMode val="edge"/>
          <c:yMode val="edge"/>
          <c:x val="0.15045262199367937"/>
          <c:y val="0.15776647710702829"/>
          <c:w val="0.81177114765416236"/>
          <c:h val="0.65680920093321671"/>
        </c:manualLayout>
      </c:layout>
      <c:barChart>
        <c:barDir val="col"/>
        <c:grouping val="stacked"/>
        <c:varyColors val="0"/>
        <c:ser>
          <c:idx val="0"/>
          <c:order val="0"/>
          <c:tx>
            <c:strRef>
              <c:f>ParametrosPry!$H$182</c:f>
              <c:strCache>
                <c:ptCount val="1"/>
                <c:pt idx="0">
                  <c:v>Amortización</c:v>
                </c:pt>
              </c:strCache>
            </c:strRef>
          </c:tx>
          <c:invertIfNegative val="0"/>
          <c:cat>
            <c:numRef>
              <c:f>ParametrosPry!$I$181:$P$181</c:f>
              <c:numCache>
                <c:formatCode>General</c:formatCode>
                <c:ptCount val="8"/>
                <c:pt idx="0">
                  <c:v>2010</c:v>
                </c:pt>
                <c:pt idx="1">
                  <c:v>2011</c:v>
                </c:pt>
                <c:pt idx="2">
                  <c:v>2012</c:v>
                </c:pt>
                <c:pt idx="3">
                  <c:v>2013</c:v>
                </c:pt>
                <c:pt idx="4">
                  <c:v>2014</c:v>
                </c:pt>
                <c:pt idx="5">
                  <c:v>2015</c:v>
                </c:pt>
                <c:pt idx="6">
                  <c:v>2016</c:v>
                </c:pt>
                <c:pt idx="7">
                  <c:v>2017</c:v>
                </c:pt>
              </c:numCache>
            </c:numRef>
          </c:cat>
          <c:val>
            <c:numRef>
              <c:f>ParametrosPry!$I$182:$P$182</c:f>
              <c:numCache>
                <c:formatCode>#,##0</c:formatCode>
                <c:ptCount val="8"/>
                <c:pt idx="0">
                  <c:v>0</c:v>
                </c:pt>
                <c:pt idx="1">
                  <c:v>0</c:v>
                </c:pt>
                <c:pt idx="2" formatCode="_-* #,##0\ _P_t_s_-;\-* #,##0\ _P_t_s_-;_-* &quot;-&quot;??\ _P_t_s_-;_-@_-">
                  <c:v>0</c:v>
                </c:pt>
                <c:pt idx="3" formatCode="_-* #,##0\ _P_t_s_-;\-* #,##0\ _P_t_s_-;_-* &quot;-&quot;??\ _P_t_s_-;_-@_-">
                  <c:v>34260</c:v>
                </c:pt>
                <c:pt idx="4" formatCode="_-* #,##0\ _P_t_s_-;\-* #,##0\ _P_t_s_-;_-* &quot;-&quot;??\ _P_t_s_-;_-@_-">
                  <c:v>17564.333333333332</c:v>
                </c:pt>
                <c:pt idx="5" formatCode="_-* #,##0\ _P_t_s_-;\-* #,##0\ _P_t_s_-;_-* &quot;-&quot;??\ _P_t_s_-;_-@_-">
                  <c:v>20769.666666666668</c:v>
                </c:pt>
                <c:pt idx="6" formatCode="_-* #,##0\ _P_t_s_-;\-* #,##0\ _P_t_s_-;_-* &quot;-&quot;??\ _P_t_s_-;_-@_-">
                  <c:v>7984.666666666667</c:v>
                </c:pt>
                <c:pt idx="7" formatCode="_-* #,##0\ _P_t_s_-;\-* #,##0\ _P_t_s_-;_-* &quot;-&quot;??\ _P_t_s_-;_-@_-">
                  <c:v>-60578.666666666664</c:v>
                </c:pt>
              </c:numCache>
            </c:numRef>
          </c:val>
          <c:extLst xmlns:c16r2="http://schemas.microsoft.com/office/drawing/2015/06/chart">
            <c:ext xmlns:c16="http://schemas.microsoft.com/office/drawing/2014/chart" uri="{C3380CC4-5D6E-409C-BE32-E72D297353CC}">
              <c16:uniqueId val="{00000000-8128-4927-BD32-4E70314391EE}"/>
            </c:ext>
          </c:extLst>
        </c:ser>
        <c:ser>
          <c:idx val="1"/>
          <c:order val="1"/>
          <c:tx>
            <c:strRef>
              <c:f>ParametrosPry!$H$183</c:f>
              <c:strCache>
                <c:ptCount val="1"/>
                <c:pt idx="0">
                  <c:v>Interés</c:v>
                </c:pt>
              </c:strCache>
            </c:strRef>
          </c:tx>
          <c:invertIfNegative val="0"/>
          <c:cat>
            <c:numRef>
              <c:f>ParametrosPry!$I$181:$P$181</c:f>
              <c:numCache>
                <c:formatCode>General</c:formatCode>
                <c:ptCount val="8"/>
                <c:pt idx="0">
                  <c:v>2010</c:v>
                </c:pt>
                <c:pt idx="1">
                  <c:v>2011</c:v>
                </c:pt>
                <c:pt idx="2">
                  <c:v>2012</c:v>
                </c:pt>
                <c:pt idx="3">
                  <c:v>2013</c:v>
                </c:pt>
                <c:pt idx="4">
                  <c:v>2014</c:v>
                </c:pt>
                <c:pt idx="5">
                  <c:v>2015</c:v>
                </c:pt>
                <c:pt idx="6">
                  <c:v>2016</c:v>
                </c:pt>
                <c:pt idx="7">
                  <c:v>2017</c:v>
                </c:pt>
              </c:numCache>
            </c:numRef>
          </c:cat>
          <c:val>
            <c:numRef>
              <c:f>ParametrosPry!$I$183:$P$183</c:f>
              <c:numCache>
                <c:formatCode>#,##0</c:formatCode>
                <c:ptCount val="8"/>
                <c:pt idx="0">
                  <c:v>0</c:v>
                </c:pt>
                <c:pt idx="1">
                  <c:v>0</c:v>
                </c:pt>
                <c:pt idx="2" formatCode="_-* #,##0\ _P_t_s_-;\-* #,##0\ _P_t_s_-;_-* &quot;-&quot;??\ _P_t_s_-;_-@_-">
                  <c:v>0</c:v>
                </c:pt>
                <c:pt idx="3" formatCode="_-* #,##0\ _P_t_s_-;\-* #,##0\ _P_t_s_-;_-* &quot;-&quot;??\ _P_t_s_-;_-@_-">
                  <c:v>0</c:v>
                </c:pt>
                <c:pt idx="4" formatCode="_-* #,##0\ _P_t_s_-;\-* #,##0\ _P_t_s_-;_-* &quot;-&quot;??\ _P_t_s_-;_-@_-">
                  <c:v>0</c:v>
                </c:pt>
                <c:pt idx="5" formatCode="_-* #,##0\ _P_t_s_-;\-* #,##0\ _P_t_s_-;_-* &quot;-&quot;??\ _P_t_s_-;_-@_-">
                  <c:v>0</c:v>
                </c:pt>
                <c:pt idx="6" formatCode="_-* #,##0\ _P_t_s_-;\-* #,##0\ _P_t_s_-;_-* &quot;-&quot;??\ _P_t_s_-;_-@_-">
                  <c:v>0</c:v>
                </c:pt>
                <c:pt idx="7" formatCode="_-* #,##0\ _P_t_s_-;\-* #,##0\ _P_t_s_-;_-* &quot;-&quot;??\ _P_t_s_-;_-@_-">
                  <c:v>0</c:v>
                </c:pt>
              </c:numCache>
            </c:numRef>
          </c:val>
          <c:extLst xmlns:c16r2="http://schemas.microsoft.com/office/drawing/2015/06/chart">
            <c:ext xmlns:c16="http://schemas.microsoft.com/office/drawing/2014/chart" uri="{C3380CC4-5D6E-409C-BE32-E72D297353CC}">
              <c16:uniqueId val="{00000001-8128-4927-BD32-4E70314391EE}"/>
            </c:ext>
          </c:extLst>
        </c:ser>
        <c:dLbls>
          <c:showLegendKey val="0"/>
          <c:showVal val="0"/>
          <c:showCatName val="0"/>
          <c:showSerName val="0"/>
          <c:showPercent val="0"/>
          <c:showBubbleSize val="0"/>
        </c:dLbls>
        <c:gapWidth val="55"/>
        <c:overlap val="100"/>
        <c:axId val="318230104"/>
        <c:axId val="318232064"/>
      </c:barChart>
      <c:lineChart>
        <c:grouping val="standard"/>
        <c:varyColors val="0"/>
        <c:ser>
          <c:idx val="2"/>
          <c:order val="2"/>
          <c:tx>
            <c:strRef>
              <c:f>ParametrosPry!$H$184</c:f>
              <c:strCache>
                <c:ptCount val="1"/>
                <c:pt idx="0">
                  <c:v>FCO Proyectado</c:v>
                </c:pt>
              </c:strCache>
            </c:strRef>
          </c:tx>
          <c:spPr>
            <a:ln w="25400"/>
            <a:effectLst>
              <a:outerShdw blurRad="50800" dist="50800" dir="5400000" algn="ctr" rotWithShape="0">
                <a:srgbClr val="000000">
                  <a:alpha val="43137"/>
                </a:srgbClr>
              </a:outerShdw>
            </a:effectLst>
          </c:spPr>
          <c:marker>
            <c:symbol val="none"/>
          </c:marker>
          <c:cat>
            <c:numRef>
              <c:f>ParametrosPry!$I$181:$P$181</c:f>
              <c:numCache>
                <c:formatCode>General</c:formatCode>
                <c:ptCount val="8"/>
                <c:pt idx="0">
                  <c:v>2010</c:v>
                </c:pt>
                <c:pt idx="1">
                  <c:v>2011</c:v>
                </c:pt>
                <c:pt idx="2">
                  <c:v>2012</c:v>
                </c:pt>
                <c:pt idx="3">
                  <c:v>2013</c:v>
                </c:pt>
                <c:pt idx="4">
                  <c:v>2014</c:v>
                </c:pt>
                <c:pt idx="5">
                  <c:v>2015</c:v>
                </c:pt>
                <c:pt idx="6">
                  <c:v>2016</c:v>
                </c:pt>
                <c:pt idx="7">
                  <c:v>2017</c:v>
                </c:pt>
              </c:numCache>
            </c:numRef>
          </c:cat>
          <c:val>
            <c:numRef>
              <c:f>ParametrosPry!$I$184:$P$184</c:f>
              <c:numCache>
                <c:formatCode>#,##0</c:formatCode>
                <c:ptCount val="8"/>
                <c:pt idx="0">
                  <c:v>0</c:v>
                </c:pt>
                <c:pt idx="1">
                  <c:v>0</c:v>
                </c:pt>
                <c:pt idx="2" formatCode="_-* #,##0\ _P_t_s_-;\-* #,##0\ _P_t_s_-;_-* &quot;-&quot;??\ _P_t_s_-;_-@_-">
                  <c:v>0</c:v>
                </c:pt>
                <c:pt idx="3" formatCode="_-* #,##0\ _P_t_s_-;\-* #,##0\ _P_t_s_-;_-* &quot;-&quot;??\ _P_t_s_-;_-@_-">
                  <c:v>0</c:v>
                </c:pt>
                <c:pt idx="4" formatCode="_-* #,##0\ _P_t_s_-;\-* #,##0\ _P_t_s_-;_-* &quot;-&quot;??\ _P_t_s_-;_-@_-">
                  <c:v>0</c:v>
                </c:pt>
                <c:pt idx="5" formatCode="_-* #,##0\ _P_t_s_-;\-* #,##0\ _P_t_s_-;_-* &quot;-&quot;??\ _P_t_s_-;_-@_-">
                  <c:v>0</c:v>
                </c:pt>
                <c:pt idx="6" formatCode="_-* #,##0\ _P_t_s_-;\-* #,##0\ _P_t_s_-;_-* &quot;-&quot;??\ _P_t_s_-;_-@_-">
                  <c:v>0</c:v>
                </c:pt>
                <c:pt idx="7" formatCode="_-* #,##0\ _P_t_s_-;\-* #,##0\ _P_t_s_-;_-* &quot;-&quot;??\ _P_t_s_-;_-@_-">
                  <c:v>0</c:v>
                </c:pt>
              </c:numCache>
            </c:numRef>
          </c:val>
          <c:smooth val="1"/>
          <c:extLst xmlns:c16r2="http://schemas.microsoft.com/office/drawing/2015/06/chart">
            <c:ext xmlns:c16="http://schemas.microsoft.com/office/drawing/2014/chart" uri="{C3380CC4-5D6E-409C-BE32-E72D297353CC}">
              <c16:uniqueId val="{00000002-8128-4927-BD32-4E70314391EE}"/>
            </c:ext>
          </c:extLst>
        </c:ser>
        <c:dLbls>
          <c:showLegendKey val="0"/>
          <c:showVal val="0"/>
          <c:showCatName val="0"/>
          <c:showSerName val="0"/>
          <c:showPercent val="0"/>
          <c:showBubbleSize val="0"/>
        </c:dLbls>
        <c:marker val="1"/>
        <c:smooth val="0"/>
        <c:axId val="318230104"/>
        <c:axId val="318232064"/>
      </c:lineChart>
      <c:catAx>
        <c:axId val="318230104"/>
        <c:scaling>
          <c:orientation val="minMax"/>
        </c:scaling>
        <c:delete val="0"/>
        <c:axPos val="b"/>
        <c:numFmt formatCode="General" sourceLinked="1"/>
        <c:majorTickMark val="none"/>
        <c:minorTickMark val="none"/>
        <c:tickLblPos val="nextTo"/>
        <c:crossAx val="318232064"/>
        <c:crosses val="autoZero"/>
        <c:auto val="1"/>
        <c:lblAlgn val="ctr"/>
        <c:lblOffset val="100"/>
        <c:noMultiLvlLbl val="0"/>
      </c:catAx>
      <c:valAx>
        <c:axId val="318232064"/>
        <c:scaling>
          <c:orientation val="minMax"/>
        </c:scaling>
        <c:delete val="0"/>
        <c:axPos val="l"/>
        <c:majorGridlines/>
        <c:numFmt formatCode="#,##0" sourceLinked="1"/>
        <c:majorTickMark val="none"/>
        <c:minorTickMark val="none"/>
        <c:tickLblPos val="nextTo"/>
        <c:crossAx val="318230104"/>
        <c:crosses val="autoZero"/>
        <c:crossBetween val="between"/>
      </c:valAx>
    </c:plotArea>
    <c:legend>
      <c:legendPos val="r"/>
      <c:layout>
        <c:manualLayout>
          <c:xMode val="edge"/>
          <c:yMode val="edge"/>
          <c:x val="2.4166666666666794E-3"/>
          <c:y val="0.87668124817731119"/>
          <c:w val="0.93647222222222226"/>
          <c:h val="0.12152194517351998"/>
        </c:manualLayout>
      </c:layout>
      <c:overlay val="0"/>
    </c:legend>
    <c:plotVisOnly val="1"/>
    <c:dispBlanksAs val="gap"/>
    <c:showDLblsOverMax val="0"/>
  </c:chart>
  <c:spPr>
    <a:ln>
      <a:solidFill>
        <a:schemeClr val="bg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43285214348207"/>
          <c:y val="3.3830282556194732E-2"/>
          <c:w val="0.73050940507436568"/>
          <c:h val="0.77842769083171337"/>
        </c:manualLayout>
      </c:layout>
      <c:barChart>
        <c:barDir val="col"/>
        <c:grouping val="stacked"/>
        <c:varyColors val="0"/>
        <c:ser>
          <c:idx val="0"/>
          <c:order val="0"/>
          <c:tx>
            <c:strRef>
              <c:f>ParametrosPry!$H$212</c:f>
              <c:strCache>
                <c:ptCount val="1"/>
                <c:pt idx="0">
                  <c:v>Ingresos</c:v>
                </c:pt>
              </c:strCache>
            </c:strRef>
          </c:tx>
          <c:invertIfNegative val="0"/>
          <c:cat>
            <c:numRef>
              <c:f>ParametrosPry!$I$211:$Q$211</c:f>
              <c:numCache>
                <c:formatCode>General</c:formatCode>
                <c:ptCount val="9"/>
                <c:pt idx="0">
                  <c:v>2009</c:v>
                </c:pt>
                <c:pt idx="1">
                  <c:v>2010</c:v>
                </c:pt>
                <c:pt idx="2">
                  <c:v>2011</c:v>
                </c:pt>
                <c:pt idx="3">
                  <c:v>2012</c:v>
                </c:pt>
                <c:pt idx="4">
                  <c:v>2013</c:v>
                </c:pt>
                <c:pt idx="5">
                  <c:v>2014</c:v>
                </c:pt>
                <c:pt idx="6">
                  <c:v>2015</c:v>
                </c:pt>
                <c:pt idx="7">
                  <c:v>2016</c:v>
                </c:pt>
                <c:pt idx="8">
                  <c:v>2017</c:v>
                </c:pt>
              </c:numCache>
            </c:numRef>
          </c:cat>
          <c:val>
            <c:numRef>
              <c:f>ParametrosPry!$I$212:$Q$212</c:f>
              <c:numCache>
                <c:formatCode>#,##0</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9A98-44A8-9C71-0E30FFE0DF7C}"/>
            </c:ext>
          </c:extLst>
        </c:ser>
        <c:ser>
          <c:idx val="1"/>
          <c:order val="1"/>
          <c:tx>
            <c:strRef>
              <c:f>ParametrosPry!$H$213</c:f>
              <c:strCache>
                <c:ptCount val="1"/>
                <c:pt idx="0">
                  <c:v>Ebitda</c:v>
                </c:pt>
              </c:strCache>
            </c:strRef>
          </c:tx>
          <c:invertIfNegative val="0"/>
          <c:cat>
            <c:numRef>
              <c:f>ParametrosPry!$I$211:$Q$211</c:f>
              <c:numCache>
                <c:formatCode>General</c:formatCode>
                <c:ptCount val="9"/>
                <c:pt idx="0">
                  <c:v>2009</c:v>
                </c:pt>
                <c:pt idx="1">
                  <c:v>2010</c:v>
                </c:pt>
                <c:pt idx="2">
                  <c:v>2011</c:v>
                </c:pt>
                <c:pt idx="3">
                  <c:v>2012</c:v>
                </c:pt>
                <c:pt idx="4">
                  <c:v>2013</c:v>
                </c:pt>
                <c:pt idx="5">
                  <c:v>2014</c:v>
                </c:pt>
                <c:pt idx="6">
                  <c:v>2015</c:v>
                </c:pt>
                <c:pt idx="7">
                  <c:v>2016</c:v>
                </c:pt>
                <c:pt idx="8">
                  <c:v>2017</c:v>
                </c:pt>
              </c:numCache>
            </c:numRef>
          </c:cat>
          <c:val>
            <c:numRef>
              <c:f>ParametrosPry!$I$213:$Q$213</c:f>
              <c:numCache>
                <c:formatCode>#,##0</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1-9A98-44A8-9C71-0E30FFE0DF7C}"/>
            </c:ext>
          </c:extLst>
        </c:ser>
        <c:dLbls>
          <c:showLegendKey val="0"/>
          <c:showVal val="0"/>
          <c:showCatName val="0"/>
          <c:showSerName val="0"/>
          <c:showPercent val="0"/>
          <c:showBubbleSize val="0"/>
        </c:dLbls>
        <c:gapWidth val="55"/>
        <c:overlap val="100"/>
        <c:axId val="318225008"/>
        <c:axId val="318225400"/>
      </c:barChart>
      <c:lineChart>
        <c:grouping val="standard"/>
        <c:varyColors val="0"/>
        <c:ser>
          <c:idx val="2"/>
          <c:order val="2"/>
          <c:tx>
            <c:strRef>
              <c:f>ParametrosPry!$H$214</c:f>
              <c:strCache>
                <c:ptCount val="1"/>
                <c:pt idx="0">
                  <c:v>Margen Ebitda</c:v>
                </c:pt>
              </c:strCache>
            </c:strRef>
          </c:tx>
          <c:marker>
            <c:symbol val="none"/>
          </c:marker>
          <c:cat>
            <c:numRef>
              <c:f>ParametrosPry!$I$211:$Q$211</c:f>
              <c:numCache>
                <c:formatCode>General</c:formatCode>
                <c:ptCount val="9"/>
                <c:pt idx="0">
                  <c:v>2009</c:v>
                </c:pt>
                <c:pt idx="1">
                  <c:v>2010</c:v>
                </c:pt>
                <c:pt idx="2">
                  <c:v>2011</c:v>
                </c:pt>
                <c:pt idx="3">
                  <c:v>2012</c:v>
                </c:pt>
                <c:pt idx="4">
                  <c:v>2013</c:v>
                </c:pt>
                <c:pt idx="5">
                  <c:v>2014</c:v>
                </c:pt>
                <c:pt idx="6">
                  <c:v>2015</c:v>
                </c:pt>
                <c:pt idx="7">
                  <c:v>2016</c:v>
                </c:pt>
                <c:pt idx="8">
                  <c:v>2017</c:v>
                </c:pt>
              </c:numCache>
            </c:numRef>
          </c:cat>
          <c:val>
            <c:numRef>
              <c:f>ParametrosPry!$I$214:$Q$214</c:f>
              <c:numCache>
                <c:formatCode>0.00%</c:formatCode>
                <c:ptCount val="9"/>
                <c:pt idx="0">
                  <c:v>0</c:v>
                </c:pt>
                <c:pt idx="1">
                  <c:v>0</c:v>
                </c:pt>
                <c:pt idx="2">
                  <c:v>0</c:v>
                </c:pt>
                <c:pt idx="3">
                  <c:v>0</c:v>
                </c:pt>
                <c:pt idx="4">
                  <c:v>0</c:v>
                </c:pt>
                <c:pt idx="5">
                  <c:v>0</c:v>
                </c:pt>
                <c:pt idx="6">
                  <c:v>0</c:v>
                </c:pt>
                <c:pt idx="7">
                  <c:v>0</c:v>
                </c:pt>
                <c:pt idx="8">
                  <c:v>0</c:v>
                </c:pt>
              </c:numCache>
            </c:numRef>
          </c:val>
          <c:smooth val="0"/>
          <c:extLst xmlns:c16r2="http://schemas.microsoft.com/office/drawing/2015/06/chart">
            <c:ext xmlns:c16="http://schemas.microsoft.com/office/drawing/2014/chart" uri="{C3380CC4-5D6E-409C-BE32-E72D297353CC}">
              <c16:uniqueId val="{00000002-9A98-44A8-9C71-0E30FFE0DF7C}"/>
            </c:ext>
          </c:extLst>
        </c:ser>
        <c:dLbls>
          <c:showLegendKey val="0"/>
          <c:showVal val="0"/>
          <c:showCatName val="0"/>
          <c:showSerName val="0"/>
          <c:showPercent val="0"/>
          <c:showBubbleSize val="0"/>
        </c:dLbls>
        <c:marker val="1"/>
        <c:smooth val="0"/>
        <c:axId val="318227360"/>
        <c:axId val="318226184"/>
      </c:lineChart>
      <c:catAx>
        <c:axId val="318225008"/>
        <c:scaling>
          <c:orientation val="minMax"/>
        </c:scaling>
        <c:delete val="0"/>
        <c:axPos val="b"/>
        <c:numFmt formatCode="General" sourceLinked="1"/>
        <c:majorTickMark val="none"/>
        <c:minorTickMark val="none"/>
        <c:tickLblPos val="nextTo"/>
        <c:txPr>
          <a:bodyPr/>
          <a:lstStyle/>
          <a:p>
            <a:pPr>
              <a:defRPr sz="1100"/>
            </a:pPr>
            <a:endParaRPr lang="es-CO"/>
          </a:p>
        </c:txPr>
        <c:crossAx val="318225400"/>
        <c:crosses val="autoZero"/>
        <c:auto val="1"/>
        <c:lblAlgn val="ctr"/>
        <c:lblOffset val="100"/>
        <c:noMultiLvlLbl val="0"/>
      </c:catAx>
      <c:valAx>
        <c:axId val="318225400"/>
        <c:scaling>
          <c:orientation val="minMax"/>
        </c:scaling>
        <c:delete val="0"/>
        <c:axPos val="l"/>
        <c:majorGridlines/>
        <c:numFmt formatCode="#,##0" sourceLinked="1"/>
        <c:majorTickMark val="none"/>
        <c:minorTickMark val="none"/>
        <c:tickLblPos val="nextTo"/>
        <c:crossAx val="318225008"/>
        <c:crosses val="autoZero"/>
        <c:crossBetween val="between"/>
        <c:dispUnits>
          <c:builtInUnit val="thousands"/>
          <c:dispUnitsLbl>
            <c:layout>
              <c:manualLayout>
                <c:xMode val="edge"/>
                <c:yMode val="edge"/>
                <c:x val="4.2499999999999986E-3"/>
                <c:y val="0.26165595595815144"/>
              </c:manualLayout>
            </c:layout>
            <c:tx>
              <c:rich>
                <a:bodyPr/>
                <a:lstStyle/>
                <a:p>
                  <a:pPr>
                    <a:defRPr sz="1400"/>
                  </a:pPr>
                  <a:r>
                    <a:rPr lang="es-CO" sz="1400"/>
                    <a:t>Miles de millones</a:t>
                  </a:r>
                </a:p>
              </c:rich>
            </c:tx>
          </c:dispUnitsLbl>
        </c:dispUnits>
      </c:valAx>
      <c:valAx>
        <c:axId val="318226184"/>
        <c:scaling>
          <c:orientation val="minMax"/>
          <c:min val="0"/>
        </c:scaling>
        <c:delete val="0"/>
        <c:axPos val="r"/>
        <c:numFmt formatCode="0%" sourceLinked="0"/>
        <c:majorTickMark val="out"/>
        <c:minorTickMark val="none"/>
        <c:tickLblPos val="nextTo"/>
        <c:txPr>
          <a:bodyPr/>
          <a:lstStyle/>
          <a:p>
            <a:pPr>
              <a:defRPr sz="1100"/>
            </a:pPr>
            <a:endParaRPr lang="es-CO"/>
          </a:p>
        </c:txPr>
        <c:crossAx val="318227360"/>
        <c:crosses val="max"/>
        <c:crossBetween val="between"/>
      </c:valAx>
      <c:catAx>
        <c:axId val="318227360"/>
        <c:scaling>
          <c:orientation val="minMax"/>
        </c:scaling>
        <c:delete val="1"/>
        <c:axPos val="b"/>
        <c:numFmt formatCode="General" sourceLinked="1"/>
        <c:majorTickMark val="out"/>
        <c:minorTickMark val="none"/>
        <c:tickLblPos val="none"/>
        <c:crossAx val="318226184"/>
        <c:crosses val="autoZero"/>
        <c:auto val="1"/>
        <c:lblAlgn val="ctr"/>
        <c:lblOffset val="100"/>
        <c:noMultiLvlLbl val="0"/>
      </c:catAx>
      <c:spPr>
        <a:solidFill>
          <a:schemeClr val="bg1">
            <a:lumMod val="95000"/>
          </a:schemeClr>
        </a:solidFill>
      </c:spPr>
    </c:plotArea>
    <c:legend>
      <c:legendPos val="r"/>
      <c:layout>
        <c:manualLayout>
          <c:xMode val="edge"/>
          <c:yMode val="edge"/>
          <c:x val="5.9722222222222225E-3"/>
          <c:y val="0.88447027686998736"/>
          <c:w val="0.96625000000000005"/>
          <c:h val="0.11373295608243958"/>
        </c:manualLayout>
      </c:layout>
      <c:overlay val="0"/>
      <c:txPr>
        <a:bodyPr/>
        <a:lstStyle/>
        <a:p>
          <a:pPr>
            <a:defRPr sz="1200"/>
          </a:pPr>
          <a:endParaRPr lang="es-CO"/>
        </a:p>
      </c:txPr>
    </c:legend>
    <c:plotVisOnly val="1"/>
    <c:dispBlanksAs val="gap"/>
    <c:showDLblsOverMax val="0"/>
  </c:chart>
  <c:spPr>
    <a:ln>
      <a:solidFill>
        <a:sysClr val="window" lastClr="FFFFFF"/>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87751531058618"/>
          <c:y val="7.4433143773694949E-2"/>
          <c:w val="0.85445581802274717"/>
          <c:h val="0.73551290463692043"/>
        </c:manualLayout>
      </c:layout>
      <c:lineChart>
        <c:grouping val="standard"/>
        <c:varyColors val="0"/>
        <c:ser>
          <c:idx val="0"/>
          <c:order val="0"/>
          <c:tx>
            <c:strRef>
              <c:f>ParametrosPry!$H$239</c:f>
              <c:strCache>
                <c:ptCount val="1"/>
                <c:pt idx="0">
                  <c:v>DFN / Ebitda</c:v>
                </c:pt>
              </c:strCache>
            </c:strRef>
          </c:tx>
          <c:marker>
            <c:symbol val="none"/>
          </c:marker>
          <c:cat>
            <c:numRef>
              <c:f>ParametrosPry!$I$238:$O$238</c:f>
              <c:numCache>
                <c:formatCode>General</c:formatCode>
                <c:ptCount val="7"/>
                <c:pt idx="0">
                  <c:v>2010</c:v>
                </c:pt>
                <c:pt idx="1">
                  <c:v>2011</c:v>
                </c:pt>
                <c:pt idx="2">
                  <c:v>2012</c:v>
                </c:pt>
                <c:pt idx="3">
                  <c:v>2013</c:v>
                </c:pt>
                <c:pt idx="4">
                  <c:v>2014</c:v>
                </c:pt>
                <c:pt idx="5">
                  <c:v>2015</c:v>
                </c:pt>
                <c:pt idx="6">
                  <c:v>2016</c:v>
                </c:pt>
              </c:numCache>
            </c:numRef>
          </c:cat>
          <c:val>
            <c:numRef>
              <c:f>ParametrosPry!$I$239:$O$239</c:f>
              <c:numCache>
                <c:formatCode>_-* #,##0.00\ _P_t_s_-;\-* #,##0.00\ _P_t_s_-;_-* "-"??\ _P_t_s_-;_-@_-</c:formatCode>
                <c:ptCount val="7"/>
                <c:pt idx="0">
                  <c:v>0</c:v>
                </c:pt>
                <c:pt idx="1">
                  <c:v>0</c:v>
                </c:pt>
                <c:pt idx="2">
                  <c:v>0</c:v>
                </c:pt>
                <c:pt idx="3">
                  <c:v>0</c:v>
                </c:pt>
                <c:pt idx="4">
                  <c:v>0</c:v>
                </c:pt>
                <c:pt idx="5">
                  <c:v>0</c:v>
                </c:pt>
                <c:pt idx="6">
                  <c:v>0</c:v>
                </c:pt>
              </c:numCache>
            </c:numRef>
          </c:val>
          <c:smooth val="0"/>
          <c:extLst xmlns:c16r2="http://schemas.microsoft.com/office/drawing/2015/06/chart">
            <c:ext xmlns:c16="http://schemas.microsoft.com/office/drawing/2014/chart" uri="{C3380CC4-5D6E-409C-BE32-E72D297353CC}">
              <c16:uniqueId val="{00000000-583F-429A-ABA5-17015EAC428A}"/>
            </c:ext>
          </c:extLst>
        </c:ser>
        <c:ser>
          <c:idx val="1"/>
          <c:order val="1"/>
          <c:tx>
            <c:strRef>
              <c:f>ParametrosPry!$H$240</c:f>
              <c:strCache>
                <c:ptCount val="1"/>
                <c:pt idx="0">
                  <c:v>FCO / Servicio de deuda</c:v>
                </c:pt>
              </c:strCache>
            </c:strRef>
          </c:tx>
          <c:marker>
            <c:symbol val="none"/>
          </c:marker>
          <c:cat>
            <c:numRef>
              <c:f>ParametrosPry!$I$238:$O$238</c:f>
              <c:numCache>
                <c:formatCode>General</c:formatCode>
                <c:ptCount val="7"/>
                <c:pt idx="0">
                  <c:v>2010</c:v>
                </c:pt>
                <c:pt idx="1">
                  <c:v>2011</c:v>
                </c:pt>
                <c:pt idx="2">
                  <c:v>2012</c:v>
                </c:pt>
                <c:pt idx="3">
                  <c:v>2013</c:v>
                </c:pt>
                <c:pt idx="4">
                  <c:v>2014</c:v>
                </c:pt>
                <c:pt idx="5">
                  <c:v>2015</c:v>
                </c:pt>
                <c:pt idx="6">
                  <c:v>2016</c:v>
                </c:pt>
              </c:numCache>
            </c:numRef>
          </c:cat>
          <c:val>
            <c:numRef>
              <c:f>ParametrosPry!$I$240:$O$240</c:f>
              <c:numCache>
                <c:formatCode>0.000</c:formatCode>
                <c:ptCount val="7"/>
                <c:pt idx="0">
                  <c:v>0</c:v>
                </c:pt>
                <c:pt idx="1">
                  <c:v>0</c:v>
                </c:pt>
                <c:pt idx="2">
                  <c:v>0</c:v>
                </c:pt>
                <c:pt idx="3">
                  <c:v>0</c:v>
                </c:pt>
                <c:pt idx="4">
                  <c:v>0</c:v>
                </c:pt>
                <c:pt idx="5">
                  <c:v>0</c:v>
                </c:pt>
                <c:pt idx="6">
                  <c:v>0</c:v>
                </c:pt>
              </c:numCache>
            </c:numRef>
          </c:val>
          <c:smooth val="0"/>
          <c:extLst xmlns:c16r2="http://schemas.microsoft.com/office/drawing/2015/06/chart">
            <c:ext xmlns:c16="http://schemas.microsoft.com/office/drawing/2014/chart" uri="{C3380CC4-5D6E-409C-BE32-E72D297353CC}">
              <c16:uniqueId val="{00000001-583F-429A-ABA5-17015EAC428A}"/>
            </c:ext>
          </c:extLst>
        </c:ser>
        <c:dLbls>
          <c:showLegendKey val="0"/>
          <c:showVal val="0"/>
          <c:showCatName val="0"/>
          <c:showSerName val="0"/>
          <c:showPercent val="0"/>
          <c:showBubbleSize val="0"/>
        </c:dLbls>
        <c:smooth val="0"/>
        <c:axId val="664935480"/>
        <c:axId val="664930384"/>
      </c:lineChart>
      <c:catAx>
        <c:axId val="664935480"/>
        <c:scaling>
          <c:orientation val="minMax"/>
        </c:scaling>
        <c:delete val="0"/>
        <c:axPos val="b"/>
        <c:numFmt formatCode="General" sourceLinked="1"/>
        <c:majorTickMark val="none"/>
        <c:minorTickMark val="none"/>
        <c:tickLblPos val="nextTo"/>
        <c:crossAx val="664930384"/>
        <c:crosses val="autoZero"/>
        <c:auto val="1"/>
        <c:lblAlgn val="ctr"/>
        <c:lblOffset val="100"/>
        <c:noMultiLvlLbl val="0"/>
      </c:catAx>
      <c:valAx>
        <c:axId val="664930384"/>
        <c:scaling>
          <c:orientation val="minMax"/>
        </c:scaling>
        <c:delete val="0"/>
        <c:axPos val="l"/>
        <c:majorGridlines/>
        <c:title>
          <c:tx>
            <c:rich>
              <a:bodyPr/>
              <a:lstStyle/>
              <a:p>
                <a:pPr>
                  <a:defRPr sz="1600"/>
                </a:pPr>
                <a:r>
                  <a:rPr lang="es-CO" sz="1600"/>
                  <a:t>Veces</a:t>
                </a:r>
              </a:p>
            </c:rich>
          </c:tx>
          <c:overlay val="0"/>
        </c:title>
        <c:numFmt formatCode="#,##0" sourceLinked="0"/>
        <c:majorTickMark val="none"/>
        <c:minorTickMark val="none"/>
        <c:tickLblPos val="nextTo"/>
        <c:crossAx val="664935480"/>
        <c:crosses val="autoZero"/>
        <c:crossBetween val="between"/>
      </c:valAx>
      <c:spPr>
        <a:solidFill>
          <a:sysClr val="window" lastClr="FFFFFF">
            <a:lumMod val="95000"/>
          </a:sysClr>
        </a:solidFill>
      </c:spPr>
    </c:plotArea>
    <c:legend>
      <c:legendPos val="r"/>
      <c:layout>
        <c:manualLayout>
          <c:xMode val="edge"/>
          <c:yMode val="edge"/>
          <c:x val="2.555555555555521E-3"/>
          <c:y val="0.88574839603382916"/>
          <c:w val="0.98633333333333328"/>
          <c:h val="0.11264654418197723"/>
        </c:manualLayout>
      </c:layout>
      <c:overlay val="0"/>
    </c:legend>
    <c:plotVisOnly val="1"/>
    <c:dispBlanksAs val="gap"/>
    <c:showDLblsOverMax val="0"/>
  </c:chart>
  <c:spPr>
    <a:ln>
      <a:solidFill>
        <a:sysClr val="window" lastClr="FFFF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56968215158923E-2"/>
          <c:y val="0.22388059701492538"/>
          <c:w val="0.82396088019559965"/>
          <c:h val="0.50746268656715587"/>
        </c:manualLayout>
      </c:layout>
      <c:barChart>
        <c:barDir val="col"/>
        <c:grouping val="clustered"/>
        <c:varyColors val="0"/>
        <c:ser>
          <c:idx val="0"/>
          <c:order val="0"/>
          <c:tx>
            <c:strRef>
              <c:f>'Datos Financieros Consolidados'!$C$50</c:f>
              <c:strCache>
                <c:ptCount val="1"/>
                <c:pt idx="0">
                  <c:v>Ingresos</c:v>
                </c:pt>
              </c:strCache>
            </c:strRef>
          </c:tx>
          <c:spPr>
            <a:solidFill>
              <a:schemeClr val="bg1">
                <a:lumMod val="50000"/>
              </a:schemeClr>
            </a:solidFill>
          </c:spPr>
          <c:invertIfNegative val="0"/>
          <c:dLbls>
            <c:dLbl>
              <c:idx val="3"/>
              <c:layout>
                <c:manualLayout>
                  <c:x val="2.7777777777779895E-3"/>
                  <c:y val="-9.2592592592594895E-3"/>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3F94-4D37-BF10-B8B3568F53A6}"/>
                </c:ext>
                <c:ext xmlns:c15="http://schemas.microsoft.com/office/drawing/2012/chart" uri="{CE6537A1-D6FC-4f65-9D91-7224C49458BB}"/>
              </c:extLst>
            </c:dLbl>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Consolidados'!$D$49:$H$49</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Consolidados'!$D$50:$F$50</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3F94-4D37-BF10-B8B3568F53A6}"/>
            </c:ext>
          </c:extLst>
        </c:ser>
        <c:dLbls>
          <c:showLegendKey val="0"/>
          <c:showVal val="0"/>
          <c:showCatName val="0"/>
          <c:showSerName val="0"/>
          <c:showPercent val="0"/>
          <c:showBubbleSize val="0"/>
        </c:dLbls>
        <c:gapWidth val="200"/>
        <c:axId val="664933912"/>
        <c:axId val="664928816"/>
      </c:barChart>
      <c:lineChart>
        <c:grouping val="stacked"/>
        <c:varyColors val="0"/>
        <c:ser>
          <c:idx val="1"/>
          <c:order val="1"/>
          <c:tx>
            <c:strRef>
              <c:f>'Datos Financieros Consolidados'!$C$51</c:f>
              <c:strCache>
                <c:ptCount val="1"/>
                <c:pt idx="0">
                  <c:v>CAGR</c:v>
                </c:pt>
              </c:strCache>
            </c:strRef>
          </c:tx>
          <c:spPr>
            <a:ln>
              <a:noFill/>
            </a:ln>
          </c:spPr>
          <c:marker>
            <c:symbol val="none"/>
          </c:marker>
          <c:dLbls>
            <c:dLbl>
              <c:idx val="0"/>
              <c:delete val="1"/>
              <c:extLst xmlns:c16r2="http://schemas.microsoft.com/office/drawing/2015/06/chart">
                <c:ext xmlns:c16="http://schemas.microsoft.com/office/drawing/2014/chart" uri="{C3380CC4-5D6E-409C-BE32-E72D297353CC}">
                  <c16:uniqueId val="{00000002-3F94-4D37-BF10-B8B3568F53A6}"/>
                </c:ext>
                <c:ext xmlns:c15="http://schemas.microsoft.com/office/drawing/2012/chart" uri="{CE6537A1-D6FC-4f65-9D91-7224C49458BB}"/>
              </c:extLst>
            </c:dLbl>
            <c:dLbl>
              <c:idx val="1"/>
              <c:layout>
                <c:manualLayout>
                  <c:x val="-4.7170141468165346E-2"/>
                  <c:y val="-5.7504693325647789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3F94-4D37-BF10-B8B3568F53A6}"/>
                </c:ext>
                <c:ext xmlns:c15="http://schemas.microsoft.com/office/drawing/2012/chart" uri="{CE6537A1-D6FC-4f65-9D91-7224C49458BB}"/>
              </c:extLst>
            </c:dLbl>
            <c:dLbl>
              <c:idx val="2"/>
              <c:layout>
                <c:manualLayout>
                  <c:x val="-4.7169701271617792E-2"/>
                  <c:y val="-5.2875603041119004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3F94-4D37-BF10-B8B3568F53A6}"/>
                </c:ext>
                <c:ext xmlns:c15="http://schemas.microsoft.com/office/drawing/2012/chart" uri="{CE6537A1-D6FC-4f65-9D91-7224C49458BB}"/>
              </c:extLst>
            </c:dLbl>
            <c:dLbl>
              <c:idx val="3"/>
              <c:layout>
                <c:manualLayout>
                  <c:x val="-4.4392116079830596E-2"/>
                  <c:y val="-5.7255373198832067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3F94-4D37-BF10-B8B3568F53A6}"/>
                </c:ext>
                <c:ext xmlns:c15="http://schemas.microsoft.com/office/drawing/2012/chart" uri="{CE6537A1-D6FC-4f65-9D91-7224C49458BB}"/>
              </c:extLst>
            </c:dLbl>
            <c:dLbl>
              <c:idx val="4"/>
              <c:layout>
                <c:manualLayout>
                  <c:x val="-4.40251572327044E-2"/>
                  <c:y val="-5.9655735502925987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3F94-4D37-BF10-B8B3568F53A6}"/>
                </c:ext>
                <c:ext xmlns:c15="http://schemas.microsoft.com/office/drawing/2012/chart" uri="{CE6537A1-D6FC-4f65-9D91-7224C49458BB}"/>
              </c:extLst>
            </c:dLbl>
            <c:spPr>
              <a:noFill/>
              <a:ln>
                <a:noFill/>
              </a:ln>
              <a:effectLst/>
            </c:spPr>
            <c:txPr>
              <a:bodyPr/>
              <a:lstStyle/>
              <a:p>
                <a:pPr>
                  <a:defRPr b="1">
                    <a:solidFill>
                      <a:schemeClr val="bg1"/>
                    </a:solidFill>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Consolidados'!$D$49:$H$49</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Consolidados'!$D$51:$F$51</c:f>
              <c:numCache>
                <c:formatCode>0%</c:formatCode>
                <c:ptCount val="3"/>
                <c:pt idx="1">
                  <c:v>0</c:v>
                </c:pt>
                <c:pt idx="2">
                  <c:v>0</c:v>
                </c:pt>
              </c:numCache>
            </c:numRef>
          </c:val>
          <c:smooth val="0"/>
          <c:extLst xmlns:c16r2="http://schemas.microsoft.com/office/drawing/2015/06/chart">
            <c:ext xmlns:c16="http://schemas.microsoft.com/office/drawing/2014/chart" uri="{C3380CC4-5D6E-409C-BE32-E72D297353CC}">
              <c16:uniqueId val="{00000007-3F94-4D37-BF10-B8B3568F53A6}"/>
            </c:ext>
          </c:extLst>
        </c:ser>
        <c:dLbls>
          <c:showLegendKey val="0"/>
          <c:showVal val="0"/>
          <c:showCatName val="0"/>
          <c:showSerName val="0"/>
          <c:showPercent val="0"/>
          <c:showBubbleSize val="0"/>
        </c:dLbls>
        <c:marker val="1"/>
        <c:smooth val="0"/>
        <c:axId val="664932344"/>
        <c:axId val="664931168"/>
      </c:lineChart>
      <c:dateAx>
        <c:axId val="664932344"/>
        <c:scaling>
          <c:orientation val="minMax"/>
        </c:scaling>
        <c:delete val="0"/>
        <c:axPos val="b"/>
        <c:numFmt formatCode="dd/mm/yyyy" sourceLinked="0"/>
        <c:majorTickMark val="none"/>
        <c:minorTickMark val="none"/>
        <c:tickLblPos val="nextTo"/>
        <c:spPr>
          <a:ln w="25400">
            <a:solidFill>
              <a:schemeClr val="bg1">
                <a:lumMod val="75000"/>
              </a:schemeClr>
            </a:solidFill>
          </a:ln>
        </c:spPr>
        <c:txPr>
          <a:bodyPr/>
          <a:lstStyle/>
          <a:p>
            <a:pPr>
              <a:defRPr b="1"/>
            </a:pPr>
            <a:endParaRPr lang="es-CO"/>
          </a:p>
        </c:txPr>
        <c:crossAx val="664931168"/>
        <c:crosses val="autoZero"/>
        <c:auto val="1"/>
        <c:lblOffset val="100"/>
        <c:baseTimeUnit val="years"/>
        <c:majorUnit val="1"/>
        <c:minorUnit val="1"/>
      </c:dateAx>
      <c:valAx>
        <c:axId val="664931168"/>
        <c:scaling>
          <c:orientation val="minMax"/>
        </c:scaling>
        <c:delete val="1"/>
        <c:axPos val="l"/>
        <c:numFmt formatCode="General" sourceLinked="1"/>
        <c:majorTickMark val="out"/>
        <c:minorTickMark val="none"/>
        <c:tickLblPos val="none"/>
        <c:crossAx val="664932344"/>
        <c:crosses val="autoZero"/>
        <c:crossBetween val="between"/>
      </c:valAx>
      <c:dateAx>
        <c:axId val="664933912"/>
        <c:scaling>
          <c:orientation val="minMax"/>
        </c:scaling>
        <c:delete val="1"/>
        <c:axPos val="b"/>
        <c:numFmt formatCode="mmm\-yy" sourceLinked="1"/>
        <c:majorTickMark val="out"/>
        <c:minorTickMark val="none"/>
        <c:tickLblPos val="none"/>
        <c:crossAx val="664928816"/>
        <c:crosses val="autoZero"/>
        <c:auto val="1"/>
        <c:lblOffset val="100"/>
        <c:baseTimeUnit val="years"/>
      </c:dateAx>
      <c:valAx>
        <c:axId val="664928816"/>
        <c:scaling>
          <c:orientation val="minMax"/>
        </c:scaling>
        <c:delete val="1"/>
        <c:axPos val="r"/>
        <c:numFmt formatCode="#,##0" sourceLinked="1"/>
        <c:majorTickMark val="out"/>
        <c:minorTickMark val="none"/>
        <c:tickLblPos val="none"/>
        <c:crossAx val="664933912"/>
        <c:crosses val="max"/>
        <c:crossBetween val="between"/>
      </c:valAx>
      <c:spPr>
        <a:noFill/>
        <a:ln w="25400">
          <a:noFill/>
        </a:ln>
      </c:spPr>
    </c:plotArea>
    <c:plotVisOnly val="1"/>
    <c:dispBlanksAs val="gap"/>
    <c:showDLblsOverMax val="0"/>
  </c:chart>
  <c:spPr>
    <a:ln>
      <a:solidFill>
        <a:schemeClr val="bg1">
          <a:lumMod val="95000"/>
        </a:schemeClr>
      </a:solidFill>
    </a:ln>
  </c:spPr>
  <c:txPr>
    <a:bodyPr/>
    <a:lstStyle/>
    <a:p>
      <a:pPr>
        <a:defRPr sz="700">
          <a:latin typeface="Arial" pitchFamily="34" charset="0"/>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'Datos Financieros Consolidados'!$C$57</c:f>
              <c:strCache>
                <c:ptCount val="1"/>
                <c:pt idx="0">
                  <c:v>CAJA</c:v>
                </c:pt>
              </c:strCache>
            </c:strRef>
          </c:tx>
          <c:spPr>
            <a:solidFill>
              <a:sysClr val="window" lastClr="FFFFFF">
                <a:lumMod val="75000"/>
              </a:sysClr>
            </a:solidFill>
          </c:spPr>
          <c:invertIfNegative val="0"/>
          <c:dLbls>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Consolidados'!$D$56:$H$56</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Consolidados'!$D$57:$F$57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9E67-45C0-ADF8-DEA1817377F6}"/>
            </c:ext>
          </c:extLst>
        </c:ser>
        <c:ser>
          <c:idx val="1"/>
          <c:order val="1"/>
          <c:tx>
            <c:strRef>
              <c:f>'Datos Financieros Consolidados'!$C$58</c:f>
              <c:strCache>
                <c:ptCount val="1"/>
                <c:pt idx="0">
                  <c:v>DFN</c:v>
                </c:pt>
              </c:strCache>
            </c:strRef>
          </c:tx>
          <c:spPr>
            <a:solidFill>
              <a:sysClr val="window" lastClr="FFFFFF">
                <a:lumMod val="50000"/>
              </a:sysClr>
            </a:solidFill>
          </c:spPr>
          <c:invertIfNegative val="0"/>
          <c:dLbls>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Consolidados'!$D$56:$H$56</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Consolidados'!$D$58:$F$58</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9E67-45C0-ADF8-DEA1817377F6}"/>
            </c:ext>
          </c:extLst>
        </c:ser>
        <c:ser>
          <c:idx val="2"/>
          <c:order val="2"/>
          <c:tx>
            <c:strRef>
              <c:f>'Datos Financieros Consolidados'!$C$59</c:f>
              <c:strCache>
                <c:ptCount val="1"/>
                <c:pt idx="0">
                  <c:v>DFB</c:v>
                </c:pt>
              </c:strCache>
            </c:strRef>
          </c:tx>
          <c:spPr>
            <a:noFill/>
            <a:ln>
              <a:noFill/>
            </a:ln>
          </c:spPr>
          <c:invertIfNegative val="0"/>
          <c:dLbls>
            <c:dLbl>
              <c:idx val="0"/>
              <c:layout>
                <c:manualLayout>
                  <c:x val="2.7777777777778707E-3"/>
                  <c:y val="0.10648148148148306"/>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9E67-45C0-ADF8-DEA1817377F6}"/>
                </c:ext>
                <c:ext xmlns:c15="http://schemas.microsoft.com/office/drawing/2012/chart" uri="{CE6537A1-D6FC-4f65-9D91-7224C49458BB}"/>
              </c:extLst>
            </c:dLbl>
            <c:dLbl>
              <c:idx val="1"/>
              <c:layout>
                <c:manualLayout>
                  <c:x val="0"/>
                  <c:y val="0.1388888888888889"/>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9E67-45C0-ADF8-DEA1817377F6}"/>
                </c:ext>
                <c:ext xmlns:c15="http://schemas.microsoft.com/office/drawing/2012/chart" uri="{CE6537A1-D6FC-4f65-9D91-7224C49458BB}"/>
              </c:extLst>
            </c:dLbl>
            <c:dLbl>
              <c:idx val="2"/>
              <c:layout>
                <c:manualLayout>
                  <c:x val="0"/>
                  <c:y val="0.12012662890823141"/>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9E67-45C0-ADF8-DEA1817377F6}"/>
                </c:ext>
                <c:ext xmlns:c15="http://schemas.microsoft.com/office/drawing/2012/chart" uri="{CE6537A1-D6FC-4f65-9D91-7224C49458BB}"/>
              </c:extLst>
            </c:dLbl>
            <c:dLbl>
              <c:idx val="3"/>
              <c:layout>
                <c:manualLayout>
                  <c:x val="0"/>
                  <c:y val="0.10185185185185186"/>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9E67-45C0-ADF8-DEA1817377F6}"/>
                </c:ext>
                <c:ext xmlns:c15="http://schemas.microsoft.com/office/drawing/2012/chart" uri="{CE6537A1-D6FC-4f65-9D91-7224C49458BB}"/>
              </c:extLst>
            </c:dLbl>
            <c:dLbl>
              <c:idx val="4"/>
              <c:layout>
                <c:manualLayout>
                  <c:x val="0"/>
                  <c:y val="0.11574074074074195"/>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9E67-45C0-ADF8-DEA1817377F6}"/>
                </c:ext>
                <c:ext xmlns:c15="http://schemas.microsoft.com/office/drawing/2012/chart" uri="{CE6537A1-D6FC-4f65-9D91-7224C49458BB}"/>
              </c:extLst>
            </c:dLbl>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Consolidados'!$D$56:$H$56</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Consolidados'!$D$59:$F$59</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7-9E67-45C0-ADF8-DEA1817377F6}"/>
            </c:ext>
          </c:extLst>
        </c:ser>
        <c:dLbls>
          <c:showLegendKey val="0"/>
          <c:showVal val="0"/>
          <c:showCatName val="0"/>
          <c:showSerName val="0"/>
          <c:showPercent val="0"/>
          <c:showBubbleSize val="0"/>
        </c:dLbls>
        <c:gapWidth val="200"/>
        <c:overlap val="100"/>
        <c:axId val="664928032"/>
        <c:axId val="664933128"/>
      </c:barChart>
      <c:dateAx>
        <c:axId val="664928032"/>
        <c:scaling>
          <c:orientation val="minMax"/>
        </c:scaling>
        <c:delete val="0"/>
        <c:axPos val="b"/>
        <c:numFmt formatCode="dd/mm/yyyy" sourceLinked="0"/>
        <c:majorTickMark val="none"/>
        <c:minorTickMark val="none"/>
        <c:tickLblPos val="nextTo"/>
        <c:spPr>
          <a:ln w="25400">
            <a:solidFill>
              <a:schemeClr val="lt1">
                <a:shade val="50000"/>
              </a:schemeClr>
            </a:solidFill>
          </a:ln>
        </c:spPr>
        <c:txPr>
          <a:bodyPr/>
          <a:lstStyle/>
          <a:p>
            <a:pPr>
              <a:defRPr b="1"/>
            </a:pPr>
            <a:endParaRPr lang="es-CO"/>
          </a:p>
        </c:txPr>
        <c:crossAx val="664933128"/>
        <c:crosses val="autoZero"/>
        <c:auto val="1"/>
        <c:lblOffset val="100"/>
        <c:baseTimeUnit val="years"/>
        <c:majorUnit val="1"/>
        <c:minorUnit val="1"/>
      </c:dateAx>
      <c:valAx>
        <c:axId val="664933128"/>
        <c:scaling>
          <c:orientation val="minMax"/>
        </c:scaling>
        <c:delete val="1"/>
        <c:axPos val="l"/>
        <c:numFmt formatCode="#,##0" sourceLinked="1"/>
        <c:majorTickMark val="out"/>
        <c:minorTickMark val="none"/>
        <c:tickLblPos val="none"/>
        <c:crossAx val="664928032"/>
        <c:crosses val="autoZero"/>
        <c:crossBetween val="between"/>
      </c:valAx>
      <c:spPr>
        <a:noFill/>
        <a:ln w="25400">
          <a:noFill/>
        </a:ln>
      </c:spPr>
    </c:plotArea>
    <c:legend>
      <c:legendPos val="r"/>
      <c:legendEntry>
        <c:idx val="2"/>
        <c:delete val="1"/>
      </c:legendEntry>
      <c:layout>
        <c:manualLayout>
          <c:xMode val="edge"/>
          <c:yMode val="edge"/>
          <c:x val="0.82864101702928783"/>
          <c:y val="0.7737391053966356"/>
          <c:w val="0.10298491124628496"/>
          <c:h val="0.16743457700698805"/>
        </c:manualLayout>
      </c:layout>
      <c:overlay val="0"/>
    </c:legend>
    <c:plotVisOnly val="1"/>
    <c:dispBlanksAs val="gap"/>
    <c:showDLblsOverMax val="0"/>
  </c:chart>
  <c:spPr>
    <a:ln>
      <a:solidFill>
        <a:schemeClr val="bg1">
          <a:lumMod val="95000"/>
        </a:schemeClr>
      </a:solidFill>
    </a:ln>
  </c:spPr>
  <c:txPr>
    <a:bodyPr/>
    <a:lstStyle/>
    <a:p>
      <a:pPr>
        <a:defRPr sz="700">
          <a:latin typeface="Arial" pitchFamily="34" charset="0"/>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660377358490611E-2"/>
          <c:y val="7.0707070707070704E-2"/>
          <c:w val="0.75235849056603865"/>
          <c:h val="0.84848484848484862"/>
        </c:manualLayout>
      </c:layout>
      <c:barChart>
        <c:barDir val="col"/>
        <c:grouping val="clustered"/>
        <c:varyColors val="0"/>
        <c:ser>
          <c:idx val="0"/>
          <c:order val="0"/>
          <c:tx>
            <c:strRef>
              <c:f>'Datos Financieros Consolidados'!$J$50</c:f>
              <c:strCache>
                <c:ptCount val="1"/>
                <c:pt idx="0">
                  <c:v>EBITDA</c:v>
                </c:pt>
              </c:strCache>
            </c:strRef>
          </c:tx>
          <c:spPr>
            <a:solidFill>
              <a:schemeClr val="bg1">
                <a:lumMod val="50000"/>
              </a:schemeClr>
            </a:solidFill>
          </c:spPr>
          <c:invertIfNegative val="0"/>
          <c:dLbls>
            <c:dLbl>
              <c:idx val="3"/>
              <c:layout>
                <c:manualLayout>
                  <c:x val="2.7777777777779895E-3"/>
                  <c:y val="-9.2592592592594895E-3"/>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6B55-4EE1-BE38-A3C0435284A6}"/>
                </c:ext>
                <c:ext xmlns:c15="http://schemas.microsoft.com/office/drawing/2012/chart" uri="{CE6537A1-D6FC-4f65-9D91-7224C49458BB}"/>
              </c:extLst>
            </c:dLbl>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Consolidados'!$K$49:$O$49</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Consolidados'!$K$50:$M$50</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6B55-4EE1-BE38-A3C0435284A6}"/>
            </c:ext>
          </c:extLst>
        </c:ser>
        <c:dLbls>
          <c:showLegendKey val="0"/>
          <c:showVal val="0"/>
          <c:showCatName val="0"/>
          <c:showSerName val="0"/>
          <c:showPercent val="0"/>
          <c:showBubbleSize val="0"/>
        </c:dLbls>
        <c:gapWidth val="200"/>
        <c:axId val="666175440"/>
        <c:axId val="666173872"/>
      </c:barChart>
      <c:lineChart>
        <c:grouping val="stacked"/>
        <c:varyColors val="0"/>
        <c:ser>
          <c:idx val="1"/>
          <c:order val="1"/>
          <c:tx>
            <c:strRef>
              <c:f>'Datos Financieros Consolidados'!$J$51</c:f>
              <c:strCache>
                <c:ptCount val="1"/>
                <c:pt idx="0">
                  <c:v>CAGR</c:v>
                </c:pt>
              </c:strCache>
            </c:strRef>
          </c:tx>
          <c:spPr>
            <a:ln>
              <a:noFill/>
            </a:ln>
          </c:spPr>
          <c:marker>
            <c:symbol val="none"/>
          </c:marker>
          <c:dLbls>
            <c:dLbl>
              <c:idx val="0"/>
              <c:delete val="1"/>
              <c:extLst xmlns:c16r2="http://schemas.microsoft.com/office/drawing/2015/06/chart">
                <c:ext xmlns:c16="http://schemas.microsoft.com/office/drawing/2014/chart" uri="{C3380CC4-5D6E-409C-BE32-E72D297353CC}">
                  <c16:uniqueId val="{00000002-6B55-4EE1-BE38-A3C0435284A6}"/>
                </c:ext>
                <c:ext xmlns:c15="http://schemas.microsoft.com/office/drawing/2012/chart" uri="{CE6537A1-D6FC-4f65-9D91-7224C49458BB}"/>
              </c:extLst>
            </c:dLbl>
            <c:dLbl>
              <c:idx val="1"/>
              <c:layout>
                <c:manualLayout>
                  <c:x val="-5.5556041605910392E-2"/>
                  <c:y val="-5.2188552188552055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6B55-4EE1-BE38-A3C0435284A6}"/>
                </c:ext>
                <c:ext xmlns:c15="http://schemas.microsoft.com/office/drawing/2012/chart" uri="{CE6537A1-D6FC-4f65-9D91-7224C49458BB}"/>
              </c:extLst>
            </c:dLbl>
            <c:dLbl>
              <c:idx val="2"/>
              <c:layout>
                <c:manualLayout>
                  <c:x val="-5.5555555555555455E-2"/>
                  <c:y val="-4.7559055118110226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6B55-4EE1-BE38-A3C0435284A6}"/>
                </c:ext>
                <c:ext xmlns:c15="http://schemas.microsoft.com/office/drawing/2012/chart" uri="{CE6537A1-D6FC-4f65-9D91-7224C49458BB}"/>
              </c:extLst>
            </c:dLbl>
            <c:dLbl>
              <c:idx val="3"/>
              <c:layout>
                <c:manualLayout>
                  <c:x val="-4.6604938271604855E-2"/>
                  <c:y val="-5.5976563535618723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6B55-4EE1-BE38-A3C0435284A6}"/>
                </c:ext>
                <c:ext xmlns:c15="http://schemas.microsoft.com/office/drawing/2012/chart" uri="{CE6537A1-D6FC-4f65-9D91-7224C49458BB}"/>
              </c:extLst>
            </c:dLbl>
            <c:dLbl>
              <c:idx val="4"/>
              <c:layout>
                <c:manualLayout>
                  <c:x val="-4.9382716049384046E-2"/>
                  <c:y val="-5.8081603435934173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6B55-4EE1-BE38-A3C0435284A6}"/>
                </c:ext>
                <c:ext xmlns:c15="http://schemas.microsoft.com/office/drawing/2012/chart" uri="{CE6537A1-D6FC-4f65-9D91-7224C49458BB}"/>
              </c:extLst>
            </c:dLbl>
            <c:spPr>
              <a:noFill/>
              <a:ln>
                <a:noFill/>
              </a:ln>
              <a:effectLst/>
            </c:spPr>
            <c:txPr>
              <a:bodyPr/>
              <a:lstStyle/>
              <a:p>
                <a:pPr>
                  <a:defRPr b="1">
                    <a:solidFill>
                      <a:schemeClr val="bg1"/>
                    </a:solidFill>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Consolidados'!$K$49:$O$49</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Consolidados'!$K$51:$M$51</c:f>
              <c:numCache>
                <c:formatCode>0%</c:formatCode>
                <c:ptCount val="3"/>
                <c:pt idx="1">
                  <c:v>0</c:v>
                </c:pt>
                <c:pt idx="2">
                  <c:v>0</c:v>
                </c:pt>
              </c:numCache>
            </c:numRef>
          </c:val>
          <c:smooth val="0"/>
          <c:extLst xmlns:c16r2="http://schemas.microsoft.com/office/drawing/2015/06/chart">
            <c:ext xmlns:c16="http://schemas.microsoft.com/office/drawing/2014/chart" uri="{C3380CC4-5D6E-409C-BE32-E72D297353CC}">
              <c16:uniqueId val="{00000007-6B55-4EE1-BE38-A3C0435284A6}"/>
            </c:ext>
          </c:extLst>
        </c:ser>
        <c:dLbls>
          <c:showLegendKey val="0"/>
          <c:showVal val="0"/>
          <c:showCatName val="0"/>
          <c:showSerName val="0"/>
          <c:showPercent val="0"/>
          <c:showBubbleSize val="0"/>
        </c:dLbls>
        <c:marker val="1"/>
        <c:smooth val="0"/>
        <c:axId val="664934696"/>
        <c:axId val="664929600"/>
      </c:lineChart>
      <c:dateAx>
        <c:axId val="664934696"/>
        <c:scaling>
          <c:orientation val="minMax"/>
        </c:scaling>
        <c:delete val="0"/>
        <c:axPos val="b"/>
        <c:numFmt formatCode="dd/mm/yyyy" sourceLinked="0"/>
        <c:majorTickMark val="none"/>
        <c:minorTickMark val="none"/>
        <c:tickLblPos val="nextTo"/>
        <c:spPr>
          <a:ln w="25400">
            <a:solidFill>
              <a:schemeClr val="bg1">
                <a:lumMod val="75000"/>
              </a:schemeClr>
            </a:solidFill>
          </a:ln>
        </c:spPr>
        <c:txPr>
          <a:bodyPr rot="0" vert="horz"/>
          <a:lstStyle/>
          <a:p>
            <a:pPr>
              <a:defRPr b="1"/>
            </a:pPr>
            <a:endParaRPr lang="es-CO"/>
          </a:p>
        </c:txPr>
        <c:crossAx val="664929600"/>
        <c:crosses val="autoZero"/>
        <c:auto val="1"/>
        <c:lblOffset val="100"/>
        <c:baseTimeUnit val="years"/>
        <c:majorUnit val="1"/>
        <c:minorUnit val="1"/>
      </c:dateAx>
      <c:valAx>
        <c:axId val="664929600"/>
        <c:scaling>
          <c:orientation val="minMax"/>
        </c:scaling>
        <c:delete val="1"/>
        <c:axPos val="l"/>
        <c:numFmt formatCode="General" sourceLinked="1"/>
        <c:majorTickMark val="out"/>
        <c:minorTickMark val="none"/>
        <c:tickLblPos val="none"/>
        <c:crossAx val="664934696"/>
        <c:crosses val="autoZero"/>
        <c:crossBetween val="between"/>
      </c:valAx>
      <c:dateAx>
        <c:axId val="666175440"/>
        <c:scaling>
          <c:orientation val="minMax"/>
        </c:scaling>
        <c:delete val="1"/>
        <c:axPos val="b"/>
        <c:numFmt formatCode="mmm\-yy" sourceLinked="1"/>
        <c:majorTickMark val="out"/>
        <c:minorTickMark val="none"/>
        <c:tickLblPos val="none"/>
        <c:crossAx val="666173872"/>
        <c:crosses val="autoZero"/>
        <c:auto val="1"/>
        <c:lblOffset val="100"/>
        <c:baseTimeUnit val="years"/>
      </c:dateAx>
      <c:valAx>
        <c:axId val="666173872"/>
        <c:scaling>
          <c:orientation val="minMax"/>
        </c:scaling>
        <c:delete val="1"/>
        <c:axPos val="r"/>
        <c:numFmt formatCode="#,##0" sourceLinked="1"/>
        <c:majorTickMark val="out"/>
        <c:minorTickMark val="none"/>
        <c:tickLblPos val="none"/>
        <c:crossAx val="666175440"/>
        <c:crosses val="max"/>
        <c:crossBetween val="between"/>
      </c:valAx>
      <c:spPr>
        <a:noFill/>
        <a:ln w="25400">
          <a:noFill/>
        </a:ln>
      </c:spPr>
    </c:plotArea>
    <c:plotVisOnly val="1"/>
    <c:dispBlanksAs val="gap"/>
    <c:showDLblsOverMax val="0"/>
  </c:chart>
  <c:spPr>
    <a:ln>
      <a:solidFill>
        <a:schemeClr val="bg1">
          <a:lumMod val="95000"/>
        </a:schemeClr>
      </a:solidFill>
    </a:ln>
  </c:spPr>
  <c:txPr>
    <a:bodyPr/>
    <a:lstStyle/>
    <a:p>
      <a:pPr>
        <a:defRPr sz="700" b="0" i="0" u="none" strike="noStrike" baseline="0">
          <a:solidFill>
            <a:srgbClr val="000000"/>
          </a:solidFill>
          <a:latin typeface="Arial" pitchFamily="34" charset="0"/>
          <a:ea typeface="Calibri"/>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'Datos Financieros Consolidados'!$J$57</c:f>
              <c:strCache>
                <c:ptCount val="1"/>
                <c:pt idx="0">
                  <c:v>DFN</c:v>
                </c:pt>
              </c:strCache>
            </c:strRef>
          </c:tx>
          <c:spPr>
            <a:solidFill>
              <a:srgbClr val="FF0000"/>
            </a:solidFill>
          </c:spPr>
          <c:invertIfNegative val="0"/>
          <c:dLbls>
            <c:spPr>
              <a:noFill/>
              <a:ln>
                <a:noFill/>
              </a:ln>
              <a:effectLst/>
            </c:spPr>
            <c:txPr>
              <a:bodyPr/>
              <a:lstStyle/>
              <a:p>
                <a:pPr>
                  <a:defRPr sz="6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Consolidados'!$K$56:$O$56</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Consolidados'!$K$57:$M$57</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BCB2-4A84-A380-FE9A13E2E208}"/>
            </c:ext>
          </c:extLst>
        </c:ser>
        <c:ser>
          <c:idx val="1"/>
          <c:order val="1"/>
          <c:tx>
            <c:strRef>
              <c:f>'Datos Financieros Consolidados'!$J$58</c:f>
              <c:strCache>
                <c:ptCount val="1"/>
                <c:pt idx="0">
                  <c:v>DFB</c:v>
                </c:pt>
              </c:strCache>
            </c:strRef>
          </c:tx>
          <c:spPr>
            <a:solidFill>
              <a:schemeClr val="bg1">
                <a:lumMod val="50000"/>
              </a:schemeClr>
            </a:solidFill>
          </c:spPr>
          <c:invertIfNegative val="0"/>
          <c:dLbls>
            <c:spPr>
              <a:noFill/>
              <a:ln>
                <a:noFill/>
              </a:ln>
              <a:effectLst/>
            </c:spPr>
            <c:txPr>
              <a:bodyPr/>
              <a:lstStyle/>
              <a:p>
                <a:pPr>
                  <a:defRPr sz="6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'Datos Financieros Consolidados'!$K$56:$O$56</c:f>
              <c:numCache>
                <c:formatCode>mmm\-yy</c:formatCode>
                <c:ptCount val="5"/>
                <c:pt idx="0">
                  <c:v>42735</c:v>
                </c:pt>
                <c:pt idx="1">
                  <c:v>43100</c:v>
                </c:pt>
                <c:pt idx="2">
                  <c:v>43465</c:v>
                </c:pt>
                <c:pt idx="3" formatCode="yyyy\ &quot;E&quot;">
                  <c:v>43830</c:v>
                </c:pt>
                <c:pt idx="4" formatCode="yyyy\ &quot;E&quot;">
                  <c:v>44196</c:v>
                </c:pt>
              </c:numCache>
            </c:numRef>
          </c:cat>
          <c:val>
            <c:numRef>
              <c:f>'Datos Financieros Consolidados'!$K$58:$M$58</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BCB2-4A84-A380-FE9A13E2E208}"/>
            </c:ext>
          </c:extLst>
        </c:ser>
        <c:dLbls>
          <c:showLegendKey val="0"/>
          <c:showVal val="0"/>
          <c:showCatName val="0"/>
          <c:showSerName val="0"/>
          <c:showPercent val="0"/>
          <c:showBubbleSize val="0"/>
        </c:dLbls>
        <c:gapWidth val="200"/>
        <c:axId val="666171520"/>
        <c:axId val="666174656"/>
      </c:barChart>
      <c:dateAx>
        <c:axId val="666171520"/>
        <c:scaling>
          <c:orientation val="minMax"/>
        </c:scaling>
        <c:delete val="0"/>
        <c:axPos val="b"/>
        <c:numFmt formatCode="dd/mm/yyyy" sourceLinked="0"/>
        <c:majorTickMark val="none"/>
        <c:minorTickMark val="none"/>
        <c:tickLblPos val="nextTo"/>
        <c:spPr>
          <a:ln w="25400">
            <a:solidFill>
              <a:sysClr val="window" lastClr="FFFFFF">
                <a:lumMod val="75000"/>
              </a:sysClr>
            </a:solidFill>
          </a:ln>
        </c:spPr>
        <c:txPr>
          <a:bodyPr/>
          <a:lstStyle/>
          <a:p>
            <a:pPr>
              <a:defRPr b="1"/>
            </a:pPr>
            <a:endParaRPr lang="es-CO"/>
          </a:p>
        </c:txPr>
        <c:crossAx val="666174656"/>
        <c:crosses val="autoZero"/>
        <c:auto val="1"/>
        <c:lblOffset val="100"/>
        <c:baseTimeUnit val="years"/>
        <c:majorUnit val="1"/>
        <c:minorUnit val="1"/>
      </c:dateAx>
      <c:valAx>
        <c:axId val="666174656"/>
        <c:scaling>
          <c:orientation val="minMax"/>
        </c:scaling>
        <c:delete val="1"/>
        <c:axPos val="l"/>
        <c:numFmt formatCode="#,##0" sourceLinked="1"/>
        <c:majorTickMark val="out"/>
        <c:minorTickMark val="none"/>
        <c:tickLblPos val="none"/>
        <c:crossAx val="666171520"/>
        <c:crosses val="autoZero"/>
        <c:crossBetween val="between"/>
      </c:valAx>
    </c:plotArea>
    <c:legend>
      <c:legendPos val="r"/>
      <c:layout>
        <c:manualLayout>
          <c:xMode val="edge"/>
          <c:yMode val="edge"/>
          <c:x val="0.89219273516735498"/>
          <c:y val="0.74510301256591682"/>
          <c:w val="9.0281714785651682E-2"/>
          <c:h val="0.16286577009732403"/>
        </c:manualLayout>
      </c:layout>
      <c:overlay val="0"/>
    </c:legend>
    <c:plotVisOnly val="1"/>
    <c:dispBlanksAs val="gap"/>
    <c:showDLblsOverMax val="0"/>
  </c:chart>
  <c:spPr>
    <a:ln>
      <a:solidFill>
        <a:schemeClr val="bg1">
          <a:lumMod val="95000"/>
        </a:schemeClr>
      </a:solidFill>
    </a:ln>
  </c:spPr>
  <c:txPr>
    <a:bodyPr/>
    <a:lstStyle/>
    <a:p>
      <a:pPr>
        <a:defRPr sz="700">
          <a:latin typeface="Arial" pitchFamily="34" charset="0"/>
          <a:cs typeface="Arial" pitchFamily="34" charset="0"/>
        </a:defRPr>
      </a:pPr>
      <a:endParaRPr lang="es-CO"/>
    </a:p>
  </c:txPr>
  <c:printSettings>
    <c:headerFooter/>
    <c:pageMargins b="0.75000000000000755" l="0.70000000000000062" r="0.70000000000000062" t="0.750000000000007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922419637683082"/>
          <c:y val="7.7148979626636777E-2"/>
          <c:w val="0.62427431616858298"/>
          <c:h val="0.70263993542972014"/>
        </c:manualLayout>
      </c:layout>
      <c:doughnutChart>
        <c:varyColors val="1"/>
        <c:ser>
          <c:idx val="0"/>
          <c:order val="0"/>
          <c:dPt>
            <c:idx val="0"/>
            <c:bubble3D val="0"/>
            <c:spPr>
              <a:solidFill>
                <a:srgbClr val="FF0000"/>
              </a:solidFill>
            </c:spPr>
            <c:extLst xmlns:c16r2="http://schemas.microsoft.com/office/drawing/2015/06/chart">
              <c:ext xmlns:c16="http://schemas.microsoft.com/office/drawing/2014/chart" uri="{C3380CC4-5D6E-409C-BE32-E72D297353CC}">
                <c16:uniqueId val="{00000001-73EE-43E9-BDC3-DE29C87E266A}"/>
              </c:ext>
            </c:extLst>
          </c:dPt>
          <c:dPt>
            <c:idx val="1"/>
            <c:bubble3D val="0"/>
            <c:spPr>
              <a:solidFill>
                <a:schemeClr val="bg1">
                  <a:lumMod val="85000"/>
                </a:schemeClr>
              </a:solidFill>
            </c:spPr>
            <c:extLst xmlns:c16r2="http://schemas.microsoft.com/office/drawing/2015/06/chart">
              <c:ext xmlns:c16="http://schemas.microsoft.com/office/drawing/2014/chart" uri="{C3380CC4-5D6E-409C-BE32-E72D297353CC}">
                <c16:uniqueId val="{00000003-73EE-43E9-BDC3-DE29C87E266A}"/>
              </c:ext>
            </c:extLst>
          </c:dPt>
          <c:dPt>
            <c:idx val="2"/>
            <c:bubble3D val="0"/>
            <c:spPr>
              <a:solidFill>
                <a:schemeClr val="tx1"/>
              </a:solidFill>
            </c:spPr>
            <c:extLst xmlns:c16r2="http://schemas.microsoft.com/office/drawing/2015/06/chart">
              <c:ext xmlns:c16="http://schemas.microsoft.com/office/drawing/2014/chart" uri="{C3380CC4-5D6E-409C-BE32-E72D297353CC}">
                <c16:uniqueId val="{00000005-73EE-43E9-BDC3-DE29C87E266A}"/>
              </c:ext>
            </c:extLst>
          </c:dPt>
          <c:dPt>
            <c:idx val="3"/>
            <c:bubble3D val="0"/>
            <c:spPr>
              <a:solidFill>
                <a:schemeClr val="bg1">
                  <a:lumMod val="50000"/>
                </a:schemeClr>
              </a:solidFill>
            </c:spPr>
            <c:extLst xmlns:c16r2="http://schemas.microsoft.com/office/drawing/2015/06/chart">
              <c:ext xmlns:c16="http://schemas.microsoft.com/office/drawing/2014/chart" uri="{C3380CC4-5D6E-409C-BE32-E72D297353CC}">
                <c16:uniqueId val="{00000007-73EE-43E9-BDC3-DE29C87E266A}"/>
              </c:ext>
            </c:extLst>
          </c:dPt>
          <c:dLbls>
            <c:dLbl>
              <c:idx val="0"/>
              <c:layout>
                <c:manualLayout>
                  <c:x val="-0.10268213164930497"/>
                  <c:y val="6.727823386642971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73EE-43E9-BDC3-DE29C87E266A}"/>
                </c:ext>
                <c:ext xmlns:c15="http://schemas.microsoft.com/office/drawing/2012/chart" uri="{CE6537A1-D6FC-4f65-9D91-7224C49458BB}"/>
              </c:extLst>
            </c:dLbl>
            <c:dLbl>
              <c:idx val="1"/>
              <c:layout>
                <c:manualLayout>
                  <c:x val="-4.9937568570414904E-2"/>
                  <c:y val="-8.53249450072660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73EE-43E9-BDC3-DE29C87E266A}"/>
                </c:ext>
                <c:ext xmlns:c15="http://schemas.microsoft.com/office/drawing/2012/chart" uri="{CE6537A1-D6FC-4f65-9D91-7224C49458BB}"/>
              </c:extLst>
            </c:dLbl>
            <c:dLbl>
              <c:idx val="2"/>
              <c:layout>
                <c:manualLayout>
                  <c:x val="0.12441172002270846"/>
                  <c:y val="-1.895236236659170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73EE-43E9-BDC3-DE29C87E266A}"/>
                </c:ext>
                <c:ext xmlns:c15="http://schemas.microsoft.com/office/drawing/2012/chart" uri="{CE6537A1-D6FC-4f65-9D91-7224C49458BB}"/>
              </c:extLst>
            </c:dLbl>
            <c:dLbl>
              <c:idx val="3"/>
              <c:layout>
                <c:manualLayout>
                  <c:x val="7.1803508701051722E-3"/>
                  <c:y val="9.124009799222049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73EE-43E9-BDC3-DE29C87E266A}"/>
                </c:ext>
                <c:ext xmlns:c15="http://schemas.microsoft.com/office/drawing/2012/chart" uri="{CE6537A1-D6FC-4f65-9D91-7224C49458BB}"/>
              </c:extLst>
            </c:dLbl>
            <c:spPr>
              <a:noFill/>
              <a:ln>
                <a:noFill/>
              </a:ln>
              <a:effectLst/>
            </c:spPr>
            <c:txPr>
              <a:bodyPr/>
              <a:lstStyle/>
              <a:p>
                <a:pPr>
                  <a:defRPr sz="1000" b="1">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cat>
            <c:strRef>
              <c:f>Descripción!$Q$7:$Q$9</c:f>
              <c:strCache>
                <c:ptCount val="3"/>
                <c:pt idx="0">
                  <c:v>a</c:v>
                </c:pt>
                <c:pt idx="1">
                  <c:v>b</c:v>
                </c:pt>
                <c:pt idx="2">
                  <c:v>c</c:v>
                </c:pt>
              </c:strCache>
            </c:strRef>
          </c:cat>
          <c:val>
            <c:numRef>
              <c:f>Descripción!$R$7:$R$9</c:f>
              <c:numCache>
                <c:formatCode>0%</c:formatCode>
                <c:ptCount val="3"/>
                <c:pt idx="0">
                  <c:v>0.05</c:v>
                </c:pt>
                <c:pt idx="1">
                  <c:v>0.94</c:v>
                </c:pt>
                <c:pt idx="2">
                  <c:v>0.01</c:v>
                </c:pt>
              </c:numCache>
            </c:numRef>
          </c:val>
          <c:extLst xmlns:c16r2="http://schemas.microsoft.com/office/drawing/2015/06/chart">
            <c:ext xmlns:c16="http://schemas.microsoft.com/office/drawing/2014/chart" uri="{C3380CC4-5D6E-409C-BE32-E72D297353CC}">
              <c16:uniqueId val="{00000008-73EE-43E9-BDC3-DE29C87E266A}"/>
            </c:ext>
          </c:extLst>
        </c:ser>
        <c:dLbls>
          <c:showLegendKey val="0"/>
          <c:showVal val="0"/>
          <c:showCatName val="0"/>
          <c:showSerName val="0"/>
          <c:showPercent val="0"/>
          <c:showBubbleSize val="0"/>
          <c:showLeaderLines val="0"/>
        </c:dLbls>
        <c:firstSliceAng val="0"/>
        <c:holeSize val="80"/>
      </c:doughnutChart>
      <c:spPr>
        <a:noFill/>
        <a:ln w="25400">
          <a:noFill/>
        </a:ln>
      </c:spPr>
    </c:plotArea>
    <c:legend>
      <c:legendPos val="r"/>
      <c:layout>
        <c:manualLayout>
          <c:xMode val="edge"/>
          <c:yMode val="edge"/>
          <c:x val="2.7130632979365851E-2"/>
          <c:y val="0.86382169659926067"/>
          <c:w val="0.97286936702063409"/>
          <c:h val="0.10109142340710539"/>
        </c:manualLayout>
      </c:layout>
      <c:overlay val="0"/>
      <c:txPr>
        <a:bodyPr/>
        <a:lstStyle/>
        <a:p>
          <a:pPr>
            <a:defRPr sz="800">
              <a:latin typeface="Arial" pitchFamily="34" charset="0"/>
              <a:cs typeface="Arial" pitchFamily="34" charset="0"/>
            </a:defRPr>
          </a:pPr>
          <a:endParaRPr lang="es-CO"/>
        </a:p>
      </c:txPr>
    </c:legend>
    <c:plotVisOnly val="1"/>
    <c:dispBlanksAs val="zero"/>
    <c:showDLblsOverMax val="0"/>
  </c:chart>
  <c:spPr>
    <a:ln>
      <a:noFill/>
    </a:ln>
  </c:spPr>
  <c:printSettings>
    <c:headerFooter/>
    <c:pageMargins b="0.75000000000000755" l="0.70000000000000062" r="0.70000000000000062" t="0.750000000000007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51111843113286"/>
          <c:y val="9.4306823519894542E-2"/>
          <c:w val="0.63286570084128757"/>
          <c:h val="0.69675522678112278"/>
        </c:manualLayout>
      </c:layout>
      <c:doughnutChart>
        <c:varyColors val="1"/>
        <c:ser>
          <c:idx val="0"/>
          <c:order val="0"/>
          <c:dPt>
            <c:idx val="0"/>
            <c:bubble3D val="0"/>
            <c:spPr>
              <a:solidFill>
                <a:srgbClr val="FF0000"/>
              </a:solidFill>
            </c:spPr>
            <c:extLst xmlns:c16r2="http://schemas.microsoft.com/office/drawing/2015/06/chart">
              <c:ext xmlns:c16="http://schemas.microsoft.com/office/drawing/2014/chart" uri="{C3380CC4-5D6E-409C-BE32-E72D297353CC}">
                <c16:uniqueId val="{00000001-0100-4B5A-8141-9352E4D0FD62}"/>
              </c:ext>
            </c:extLst>
          </c:dPt>
          <c:dPt>
            <c:idx val="1"/>
            <c:bubble3D val="0"/>
            <c:spPr>
              <a:solidFill>
                <a:schemeClr val="bg1">
                  <a:lumMod val="85000"/>
                </a:schemeClr>
              </a:solidFill>
            </c:spPr>
            <c:extLst xmlns:c16r2="http://schemas.microsoft.com/office/drawing/2015/06/chart">
              <c:ext xmlns:c16="http://schemas.microsoft.com/office/drawing/2014/chart" uri="{C3380CC4-5D6E-409C-BE32-E72D297353CC}">
                <c16:uniqueId val="{00000003-0100-4B5A-8141-9352E4D0FD62}"/>
              </c:ext>
            </c:extLst>
          </c:dPt>
          <c:dPt>
            <c:idx val="2"/>
            <c:bubble3D val="0"/>
            <c:spPr>
              <a:solidFill>
                <a:schemeClr val="tx1"/>
              </a:solidFill>
            </c:spPr>
            <c:extLst xmlns:c16r2="http://schemas.microsoft.com/office/drawing/2015/06/chart">
              <c:ext xmlns:c16="http://schemas.microsoft.com/office/drawing/2014/chart" uri="{C3380CC4-5D6E-409C-BE32-E72D297353CC}">
                <c16:uniqueId val="{00000005-0100-4B5A-8141-9352E4D0FD62}"/>
              </c:ext>
            </c:extLst>
          </c:dPt>
          <c:dPt>
            <c:idx val="3"/>
            <c:bubble3D val="0"/>
            <c:spPr>
              <a:solidFill>
                <a:schemeClr val="bg1">
                  <a:lumMod val="50000"/>
                </a:schemeClr>
              </a:solidFill>
            </c:spPr>
            <c:extLst xmlns:c16r2="http://schemas.microsoft.com/office/drawing/2015/06/chart">
              <c:ext xmlns:c16="http://schemas.microsoft.com/office/drawing/2014/chart" uri="{C3380CC4-5D6E-409C-BE32-E72D297353CC}">
                <c16:uniqueId val="{00000007-0100-4B5A-8141-9352E4D0FD62}"/>
              </c:ext>
            </c:extLst>
          </c:dPt>
          <c:dLbls>
            <c:dLbl>
              <c:idx val="0"/>
              <c:layout>
                <c:manualLayout>
                  <c:x val="-0.1116326974516723"/>
                  <c:y val="4.189652430431384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0100-4B5A-8141-9352E4D0FD62}"/>
                </c:ext>
                <c:ext xmlns:c15="http://schemas.microsoft.com/office/drawing/2012/chart" uri="{CE6537A1-D6FC-4f65-9D91-7224C49458BB}"/>
              </c:extLst>
            </c:dLbl>
            <c:dLbl>
              <c:idx val="1"/>
              <c:layout>
                <c:manualLayout>
                  <c:x val="6.9754936526644065E-2"/>
                  <c:y val="-6.524616868187579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0100-4B5A-8141-9352E4D0FD62}"/>
                </c:ext>
                <c:ext xmlns:c15="http://schemas.microsoft.com/office/drawing/2012/chart" uri="{CE6537A1-D6FC-4f65-9D91-7224C49458BB}"/>
              </c:extLst>
            </c:dLbl>
            <c:dLbl>
              <c:idx val="2"/>
              <c:layout>
                <c:manualLayout>
                  <c:x val="0.12753913254402346"/>
                  <c:y val="5.73394643003242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0100-4B5A-8141-9352E4D0FD62}"/>
                </c:ext>
                <c:ext xmlns:c15="http://schemas.microsoft.com/office/drawing/2012/chart" uri="{CE6537A1-D6FC-4f65-9D91-7224C49458BB}"/>
              </c:extLst>
            </c:dLbl>
            <c:dLbl>
              <c:idx val="3"/>
              <c:layout>
                <c:manualLayout>
                  <c:x val="4.7449602544195384E-2"/>
                  <c:y val="5.3571428571428555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0100-4B5A-8141-9352E4D0FD62}"/>
                </c:ext>
                <c:ext xmlns:c15="http://schemas.microsoft.com/office/drawing/2012/chart" uri="{CE6537A1-D6FC-4f65-9D91-7224C49458BB}"/>
              </c:extLst>
            </c:dLbl>
            <c:spPr>
              <a:noFill/>
              <a:ln>
                <a:noFill/>
              </a:ln>
              <a:effectLst/>
            </c:spPr>
            <c:txPr>
              <a:bodyPr/>
              <a:lstStyle/>
              <a:p>
                <a:pPr>
                  <a:defRPr sz="1000" b="1">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cat>
            <c:strRef>
              <c:f>Descripción!$Q$25:$Q$27</c:f>
              <c:strCache>
                <c:ptCount val="3"/>
                <c:pt idx="0">
                  <c:v>a</c:v>
                </c:pt>
                <c:pt idx="1">
                  <c:v>b</c:v>
                </c:pt>
                <c:pt idx="2">
                  <c:v>c</c:v>
                </c:pt>
              </c:strCache>
            </c:strRef>
          </c:cat>
          <c:val>
            <c:numRef>
              <c:f>Descripción!$R$25:$R$27</c:f>
              <c:numCache>
                <c:formatCode>0%</c:formatCode>
                <c:ptCount val="3"/>
                <c:pt idx="0">
                  <c:v>0.57801184990125087</c:v>
                </c:pt>
                <c:pt idx="1">
                  <c:v>0.2218564845292956</c:v>
                </c:pt>
                <c:pt idx="2">
                  <c:v>0.19947333772218565</c:v>
                </c:pt>
              </c:numCache>
            </c:numRef>
          </c:val>
          <c:extLst xmlns:c16r2="http://schemas.microsoft.com/office/drawing/2015/06/chart">
            <c:ext xmlns:c16="http://schemas.microsoft.com/office/drawing/2014/chart" uri="{C3380CC4-5D6E-409C-BE32-E72D297353CC}">
              <c16:uniqueId val="{00000008-0100-4B5A-8141-9352E4D0FD62}"/>
            </c:ext>
          </c:extLst>
        </c:ser>
        <c:dLbls>
          <c:showLegendKey val="0"/>
          <c:showVal val="0"/>
          <c:showCatName val="0"/>
          <c:showSerName val="0"/>
          <c:showPercent val="0"/>
          <c:showBubbleSize val="0"/>
          <c:showLeaderLines val="0"/>
        </c:dLbls>
        <c:firstSliceAng val="0"/>
        <c:holeSize val="80"/>
      </c:doughnutChart>
      <c:spPr>
        <a:noFill/>
        <a:ln w="25400">
          <a:noFill/>
        </a:ln>
      </c:spPr>
    </c:plotArea>
    <c:legend>
      <c:legendPos val="r"/>
      <c:layout>
        <c:manualLayout>
          <c:xMode val="edge"/>
          <c:yMode val="edge"/>
          <c:x val="3.2237876770634624E-2"/>
          <c:y val="0.88235364415325812"/>
          <c:w val="0.96776212322936539"/>
          <c:h val="0.104314076618089"/>
        </c:manualLayout>
      </c:layout>
      <c:overlay val="0"/>
      <c:txPr>
        <a:bodyPr/>
        <a:lstStyle/>
        <a:p>
          <a:pPr>
            <a:defRPr sz="800">
              <a:latin typeface="Arial" pitchFamily="34" charset="0"/>
              <a:cs typeface="Arial" pitchFamily="34" charset="0"/>
            </a:defRPr>
          </a:pPr>
          <a:endParaRPr lang="es-CO"/>
        </a:p>
      </c:txPr>
    </c:legend>
    <c:plotVisOnly val="1"/>
    <c:dispBlanksAs val="zero"/>
    <c:showDLblsOverMax val="0"/>
  </c:chart>
  <c:spPr>
    <a:ln>
      <a:noFill/>
    </a:ln>
  </c:spPr>
  <c:printSettings>
    <c:headerFooter/>
    <c:pageMargins b="0.75000000000000755" l="0.70000000000000062" r="0.70000000000000062" t="0.750000000000007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69926650366748E-2"/>
          <c:y val="0.1044776119402985"/>
          <c:w val="0.82396088019559965"/>
          <c:h val="0.50746268656715587"/>
        </c:manualLayout>
      </c:layout>
      <c:barChart>
        <c:barDir val="col"/>
        <c:grouping val="clustered"/>
        <c:varyColors val="0"/>
        <c:ser>
          <c:idx val="0"/>
          <c:order val="0"/>
          <c:tx>
            <c:strRef>
              <c:f>'Graficos con proy'!$C$50</c:f>
              <c:strCache>
                <c:ptCount val="1"/>
                <c:pt idx="0">
                  <c:v>Ingresos</c:v>
                </c:pt>
              </c:strCache>
            </c:strRef>
          </c:tx>
          <c:spPr>
            <a:solidFill>
              <a:schemeClr val="bg1">
                <a:lumMod val="50000"/>
              </a:schemeClr>
            </a:solidFill>
          </c:spPr>
          <c:invertIfNegative val="0"/>
          <c:dLbls>
            <c:dLbl>
              <c:idx val="3"/>
              <c:layout>
                <c:manualLayout>
                  <c:x val="2.7777777777779895E-3"/>
                  <c:y val="-9.2592592592594895E-3"/>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ED66-4EBF-8AAD-EFECD10E84BA}"/>
                </c:ext>
                <c:ext xmlns:c15="http://schemas.microsoft.com/office/drawing/2012/chart" uri="{CE6537A1-D6FC-4f65-9D91-7224C49458BB}"/>
              </c:extLst>
            </c:dLbl>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proy'!$D$49:$H$49</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proy'!$D$50:$H$50</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ED66-4EBF-8AAD-EFECD10E84BA}"/>
            </c:ext>
          </c:extLst>
        </c:ser>
        <c:dLbls>
          <c:showLegendKey val="0"/>
          <c:showVal val="0"/>
          <c:showCatName val="0"/>
          <c:showSerName val="0"/>
          <c:showPercent val="0"/>
          <c:showBubbleSize val="0"/>
        </c:dLbls>
        <c:gapWidth val="200"/>
        <c:axId val="666172696"/>
        <c:axId val="666173480"/>
      </c:barChart>
      <c:lineChart>
        <c:grouping val="stacked"/>
        <c:varyColors val="0"/>
        <c:ser>
          <c:idx val="1"/>
          <c:order val="1"/>
          <c:tx>
            <c:strRef>
              <c:f>'Graficos con proy'!$C$51</c:f>
              <c:strCache>
                <c:ptCount val="1"/>
                <c:pt idx="0">
                  <c:v>CAGR</c:v>
                </c:pt>
              </c:strCache>
            </c:strRef>
          </c:tx>
          <c:spPr>
            <a:ln>
              <a:noFill/>
            </a:ln>
          </c:spPr>
          <c:marker>
            <c:symbol val="none"/>
          </c:marker>
          <c:dLbls>
            <c:dLbl>
              <c:idx val="0"/>
              <c:delete val="1"/>
              <c:extLst xmlns:c16r2="http://schemas.microsoft.com/office/drawing/2015/06/chart">
                <c:ext xmlns:c16="http://schemas.microsoft.com/office/drawing/2014/chart" uri="{C3380CC4-5D6E-409C-BE32-E72D297353CC}">
                  <c16:uniqueId val="{00000002-ED66-4EBF-8AAD-EFECD10E84BA}"/>
                </c:ext>
                <c:ext xmlns:c15="http://schemas.microsoft.com/office/drawing/2012/chart" uri="{CE6537A1-D6FC-4f65-9D91-7224C49458BB}"/>
              </c:extLst>
            </c:dLbl>
            <c:dLbl>
              <c:idx val="1"/>
              <c:layout>
                <c:manualLayout>
                  <c:x val="-4.7170141468165346E-2"/>
                  <c:y val="-5.7504693325647789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ED66-4EBF-8AAD-EFECD10E84BA}"/>
                </c:ext>
                <c:ext xmlns:c15="http://schemas.microsoft.com/office/drawing/2012/chart" uri="{CE6537A1-D6FC-4f65-9D91-7224C49458BB}"/>
              </c:extLst>
            </c:dLbl>
            <c:dLbl>
              <c:idx val="2"/>
              <c:layout>
                <c:manualLayout>
                  <c:x val="-4.7169701271617792E-2"/>
                  <c:y val="-5.2875603041119004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ED66-4EBF-8AAD-EFECD10E84BA}"/>
                </c:ext>
                <c:ext xmlns:c15="http://schemas.microsoft.com/office/drawing/2012/chart" uri="{CE6537A1-D6FC-4f65-9D91-7224C49458BB}"/>
              </c:extLst>
            </c:dLbl>
            <c:dLbl>
              <c:idx val="3"/>
              <c:layout>
                <c:manualLayout>
                  <c:x val="-4.4392116079830596E-2"/>
                  <c:y val="-5.7255373198832067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ED66-4EBF-8AAD-EFECD10E84BA}"/>
                </c:ext>
                <c:ext xmlns:c15="http://schemas.microsoft.com/office/drawing/2012/chart" uri="{CE6537A1-D6FC-4f65-9D91-7224C49458BB}"/>
              </c:extLst>
            </c:dLbl>
            <c:dLbl>
              <c:idx val="4"/>
              <c:layout>
                <c:manualLayout>
                  <c:x val="-4.40251572327044E-2"/>
                  <c:y val="-5.9655735502925987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ED66-4EBF-8AAD-EFECD10E84BA}"/>
                </c:ext>
                <c:ext xmlns:c15="http://schemas.microsoft.com/office/drawing/2012/chart" uri="{CE6537A1-D6FC-4f65-9D91-7224C49458BB}"/>
              </c:extLst>
            </c:dLbl>
            <c:spPr>
              <a:noFill/>
              <a:ln>
                <a:noFill/>
              </a:ln>
              <a:effectLst/>
            </c:spPr>
            <c:txPr>
              <a:bodyPr/>
              <a:lstStyle/>
              <a:p>
                <a:pPr>
                  <a:defRPr b="1">
                    <a:solidFill>
                      <a:schemeClr val="bg1"/>
                    </a:solidFill>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proy'!$D$49:$H$49</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proy'!$D$51:$H$51</c:f>
              <c:numCache>
                <c:formatCode>0%</c:formatCode>
                <c:ptCount val="5"/>
                <c:pt idx="1">
                  <c:v>0</c:v>
                </c:pt>
                <c:pt idx="2">
                  <c:v>0</c:v>
                </c:pt>
                <c:pt idx="3">
                  <c:v>0</c:v>
                </c:pt>
                <c:pt idx="4">
                  <c:v>0</c:v>
                </c:pt>
              </c:numCache>
            </c:numRef>
          </c:val>
          <c:smooth val="0"/>
          <c:extLst xmlns:c16r2="http://schemas.microsoft.com/office/drawing/2015/06/chart">
            <c:ext xmlns:c16="http://schemas.microsoft.com/office/drawing/2014/chart" uri="{C3380CC4-5D6E-409C-BE32-E72D297353CC}">
              <c16:uniqueId val="{00000007-ED66-4EBF-8AAD-EFECD10E84BA}"/>
            </c:ext>
          </c:extLst>
        </c:ser>
        <c:dLbls>
          <c:showLegendKey val="0"/>
          <c:showVal val="0"/>
          <c:showCatName val="0"/>
          <c:showSerName val="0"/>
          <c:showPercent val="0"/>
          <c:showBubbleSize val="0"/>
        </c:dLbls>
        <c:marker val="1"/>
        <c:smooth val="0"/>
        <c:axId val="666177792"/>
        <c:axId val="666172304"/>
      </c:lineChart>
      <c:catAx>
        <c:axId val="666177792"/>
        <c:scaling>
          <c:orientation val="minMax"/>
        </c:scaling>
        <c:delete val="0"/>
        <c:axPos val="b"/>
        <c:numFmt formatCode="dd/mm/yyyy" sourceLinked="0"/>
        <c:majorTickMark val="none"/>
        <c:minorTickMark val="none"/>
        <c:tickLblPos val="nextTo"/>
        <c:spPr>
          <a:ln w="25400">
            <a:solidFill>
              <a:schemeClr val="bg1">
                <a:lumMod val="75000"/>
              </a:schemeClr>
            </a:solidFill>
          </a:ln>
        </c:spPr>
        <c:txPr>
          <a:bodyPr/>
          <a:lstStyle/>
          <a:p>
            <a:pPr>
              <a:defRPr b="1"/>
            </a:pPr>
            <a:endParaRPr lang="es-CO"/>
          </a:p>
        </c:txPr>
        <c:crossAx val="666172304"/>
        <c:crosses val="autoZero"/>
        <c:auto val="1"/>
        <c:lblAlgn val="ctr"/>
        <c:lblOffset val="100"/>
        <c:tickLblSkip val="1"/>
        <c:tickMarkSkip val="1"/>
        <c:noMultiLvlLbl val="0"/>
      </c:catAx>
      <c:valAx>
        <c:axId val="666172304"/>
        <c:scaling>
          <c:orientation val="minMax"/>
        </c:scaling>
        <c:delete val="1"/>
        <c:axPos val="l"/>
        <c:numFmt formatCode="General" sourceLinked="1"/>
        <c:majorTickMark val="out"/>
        <c:minorTickMark val="none"/>
        <c:tickLblPos val="none"/>
        <c:crossAx val="666177792"/>
        <c:crosses val="autoZero"/>
        <c:crossBetween val="between"/>
      </c:valAx>
      <c:catAx>
        <c:axId val="666172696"/>
        <c:scaling>
          <c:orientation val="minMax"/>
        </c:scaling>
        <c:delete val="1"/>
        <c:axPos val="b"/>
        <c:numFmt formatCode="yyyy" sourceLinked="1"/>
        <c:majorTickMark val="out"/>
        <c:minorTickMark val="none"/>
        <c:tickLblPos val="none"/>
        <c:crossAx val="666173480"/>
        <c:crosses val="autoZero"/>
        <c:auto val="1"/>
        <c:lblAlgn val="ctr"/>
        <c:lblOffset val="100"/>
        <c:noMultiLvlLbl val="0"/>
      </c:catAx>
      <c:valAx>
        <c:axId val="666173480"/>
        <c:scaling>
          <c:orientation val="minMax"/>
        </c:scaling>
        <c:delete val="1"/>
        <c:axPos val="r"/>
        <c:numFmt formatCode="#,##0" sourceLinked="1"/>
        <c:majorTickMark val="out"/>
        <c:minorTickMark val="none"/>
        <c:tickLblPos val="none"/>
        <c:crossAx val="666172696"/>
        <c:crosses val="max"/>
        <c:crossBetween val="between"/>
      </c:valAx>
      <c:spPr>
        <a:noFill/>
        <a:ln w="25400">
          <a:noFill/>
        </a:ln>
      </c:spPr>
    </c:plotArea>
    <c:plotVisOnly val="1"/>
    <c:dispBlanksAs val="gap"/>
    <c:showDLblsOverMax val="0"/>
  </c:chart>
  <c:spPr>
    <a:ln>
      <a:noFill/>
    </a:ln>
  </c:spPr>
  <c:txPr>
    <a:bodyPr/>
    <a:lstStyle/>
    <a:p>
      <a:pPr>
        <a:defRPr sz="700">
          <a:latin typeface="Arial" pitchFamily="34" charset="0"/>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'Graficos con proy'!$C$57</c:f>
              <c:strCache>
                <c:ptCount val="1"/>
                <c:pt idx="0">
                  <c:v>CAJA</c:v>
                </c:pt>
              </c:strCache>
            </c:strRef>
          </c:tx>
          <c:spPr>
            <a:solidFill>
              <a:sysClr val="window" lastClr="FFFFFF">
                <a:lumMod val="75000"/>
              </a:sysClr>
            </a:solidFill>
          </c:spPr>
          <c:invertIfNegative val="0"/>
          <c:dLbls>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proy'!$D$56:$H$56</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proy'!$D$57:$H$57</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CAE5-4E4E-B4C5-EE2CE1551A7E}"/>
            </c:ext>
          </c:extLst>
        </c:ser>
        <c:ser>
          <c:idx val="1"/>
          <c:order val="1"/>
          <c:tx>
            <c:strRef>
              <c:f>'Graficos con proy'!$C$58</c:f>
              <c:strCache>
                <c:ptCount val="1"/>
                <c:pt idx="0">
                  <c:v>DFN</c:v>
                </c:pt>
              </c:strCache>
            </c:strRef>
          </c:tx>
          <c:spPr>
            <a:solidFill>
              <a:sysClr val="window" lastClr="FFFFFF">
                <a:lumMod val="50000"/>
              </a:sysClr>
            </a:solidFill>
          </c:spPr>
          <c:invertIfNegative val="0"/>
          <c:dLbls>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proy'!$D$56:$H$56</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proy'!$D$58:$H$58</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CAE5-4E4E-B4C5-EE2CE1551A7E}"/>
            </c:ext>
          </c:extLst>
        </c:ser>
        <c:ser>
          <c:idx val="2"/>
          <c:order val="2"/>
          <c:tx>
            <c:strRef>
              <c:f>'Graficos con proy'!$C$59</c:f>
              <c:strCache>
                <c:ptCount val="1"/>
                <c:pt idx="0">
                  <c:v>DFB</c:v>
                </c:pt>
              </c:strCache>
            </c:strRef>
          </c:tx>
          <c:spPr>
            <a:noFill/>
            <a:ln>
              <a:noFill/>
            </a:ln>
          </c:spPr>
          <c:invertIfNegative val="0"/>
          <c:dLbls>
            <c:dLbl>
              <c:idx val="0"/>
              <c:layout>
                <c:manualLayout>
                  <c:x val="2.7777777777778707E-3"/>
                  <c:y val="0.10648148148148306"/>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CAE5-4E4E-B4C5-EE2CE1551A7E}"/>
                </c:ext>
                <c:ext xmlns:c15="http://schemas.microsoft.com/office/drawing/2012/chart" uri="{CE6537A1-D6FC-4f65-9D91-7224C49458BB}"/>
              </c:extLst>
            </c:dLbl>
            <c:dLbl>
              <c:idx val="1"/>
              <c:layout>
                <c:manualLayout>
                  <c:x val="0"/>
                  <c:y val="0.1388888888888889"/>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CAE5-4E4E-B4C5-EE2CE1551A7E}"/>
                </c:ext>
                <c:ext xmlns:c15="http://schemas.microsoft.com/office/drawing/2012/chart" uri="{CE6537A1-D6FC-4f65-9D91-7224C49458BB}"/>
              </c:extLst>
            </c:dLbl>
            <c:dLbl>
              <c:idx val="2"/>
              <c:layout>
                <c:manualLayout>
                  <c:x val="0"/>
                  <c:y val="0.12012662890823141"/>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CAE5-4E4E-B4C5-EE2CE1551A7E}"/>
                </c:ext>
                <c:ext xmlns:c15="http://schemas.microsoft.com/office/drawing/2012/chart" uri="{CE6537A1-D6FC-4f65-9D91-7224C49458BB}"/>
              </c:extLst>
            </c:dLbl>
            <c:dLbl>
              <c:idx val="3"/>
              <c:layout>
                <c:manualLayout>
                  <c:x val="0"/>
                  <c:y val="0.10185185185185186"/>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CAE5-4E4E-B4C5-EE2CE1551A7E}"/>
                </c:ext>
                <c:ext xmlns:c15="http://schemas.microsoft.com/office/drawing/2012/chart" uri="{CE6537A1-D6FC-4f65-9D91-7224C49458BB}"/>
              </c:extLst>
            </c:dLbl>
            <c:dLbl>
              <c:idx val="4"/>
              <c:layout>
                <c:manualLayout>
                  <c:x val="0"/>
                  <c:y val="0.11574074074074195"/>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CAE5-4E4E-B4C5-EE2CE1551A7E}"/>
                </c:ext>
                <c:ext xmlns:c15="http://schemas.microsoft.com/office/drawing/2012/chart" uri="{CE6537A1-D6FC-4f65-9D91-7224C49458BB}"/>
              </c:extLst>
            </c:dLbl>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proy'!$D$56:$H$56</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proy'!$D$59:$H$59</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7-CAE5-4E4E-B4C5-EE2CE1551A7E}"/>
            </c:ext>
          </c:extLst>
        </c:ser>
        <c:dLbls>
          <c:showLegendKey val="0"/>
          <c:showVal val="0"/>
          <c:showCatName val="0"/>
          <c:showSerName val="0"/>
          <c:showPercent val="0"/>
          <c:showBubbleSize val="0"/>
        </c:dLbls>
        <c:gapWidth val="200"/>
        <c:overlap val="100"/>
        <c:axId val="666175832"/>
        <c:axId val="666176616"/>
      </c:barChart>
      <c:catAx>
        <c:axId val="666175832"/>
        <c:scaling>
          <c:orientation val="minMax"/>
        </c:scaling>
        <c:delete val="0"/>
        <c:axPos val="b"/>
        <c:numFmt formatCode="dd/mm/yyyy" sourceLinked="0"/>
        <c:majorTickMark val="none"/>
        <c:minorTickMark val="none"/>
        <c:tickLblPos val="nextTo"/>
        <c:spPr>
          <a:ln w="25400">
            <a:solidFill>
              <a:schemeClr val="lt1">
                <a:shade val="50000"/>
              </a:schemeClr>
            </a:solidFill>
          </a:ln>
        </c:spPr>
        <c:txPr>
          <a:bodyPr/>
          <a:lstStyle/>
          <a:p>
            <a:pPr>
              <a:defRPr b="1"/>
            </a:pPr>
            <a:endParaRPr lang="es-CO"/>
          </a:p>
        </c:txPr>
        <c:crossAx val="666176616"/>
        <c:crosses val="autoZero"/>
        <c:auto val="1"/>
        <c:lblAlgn val="ctr"/>
        <c:lblOffset val="100"/>
        <c:tickLblSkip val="1"/>
        <c:tickMarkSkip val="1"/>
        <c:noMultiLvlLbl val="0"/>
      </c:catAx>
      <c:valAx>
        <c:axId val="666176616"/>
        <c:scaling>
          <c:orientation val="minMax"/>
        </c:scaling>
        <c:delete val="1"/>
        <c:axPos val="l"/>
        <c:numFmt formatCode="#,##0" sourceLinked="1"/>
        <c:majorTickMark val="out"/>
        <c:minorTickMark val="none"/>
        <c:tickLblPos val="none"/>
        <c:crossAx val="666175832"/>
        <c:crosses val="autoZero"/>
        <c:crossBetween val="between"/>
      </c:valAx>
      <c:spPr>
        <a:noFill/>
        <a:ln w="25400">
          <a:noFill/>
        </a:ln>
      </c:spPr>
    </c:plotArea>
    <c:legend>
      <c:legendPos val="r"/>
      <c:legendEntry>
        <c:idx val="2"/>
        <c:delete val="1"/>
      </c:legendEntry>
      <c:layout>
        <c:manualLayout>
          <c:xMode val="edge"/>
          <c:yMode val="edge"/>
          <c:x val="0.82864101702928783"/>
          <c:y val="0.7737391053966356"/>
          <c:w val="0.10298491124628496"/>
          <c:h val="0.16743457700698805"/>
        </c:manualLayout>
      </c:layout>
      <c:overlay val="0"/>
    </c:legend>
    <c:plotVisOnly val="1"/>
    <c:dispBlanksAs val="gap"/>
    <c:showDLblsOverMax val="0"/>
  </c:chart>
  <c:spPr>
    <a:ln>
      <a:noFill/>
    </a:ln>
  </c:spPr>
  <c:txPr>
    <a:bodyPr/>
    <a:lstStyle/>
    <a:p>
      <a:pPr>
        <a:defRPr sz="700">
          <a:latin typeface="Arial" pitchFamily="34" charset="0"/>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660377358490611E-2"/>
          <c:y val="7.0707070707070704E-2"/>
          <c:w val="0.75235849056603865"/>
          <c:h val="0.84848484848484862"/>
        </c:manualLayout>
      </c:layout>
      <c:barChart>
        <c:barDir val="col"/>
        <c:grouping val="clustered"/>
        <c:varyColors val="0"/>
        <c:ser>
          <c:idx val="0"/>
          <c:order val="0"/>
          <c:tx>
            <c:strRef>
              <c:f>'Graficos con proy'!$J$50</c:f>
              <c:strCache>
                <c:ptCount val="1"/>
                <c:pt idx="0">
                  <c:v>EBITDA</c:v>
                </c:pt>
              </c:strCache>
            </c:strRef>
          </c:tx>
          <c:spPr>
            <a:solidFill>
              <a:schemeClr val="bg1">
                <a:lumMod val="50000"/>
              </a:schemeClr>
            </a:solidFill>
          </c:spPr>
          <c:invertIfNegative val="0"/>
          <c:dLbls>
            <c:dLbl>
              <c:idx val="3"/>
              <c:layout>
                <c:manualLayout>
                  <c:x val="2.7777777777779895E-3"/>
                  <c:y val="-9.2592592592594895E-3"/>
                </c:manualLayout>
              </c:layout>
              <c:dLblPos val="out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6096-460A-BDE8-BD613ACFD86A}"/>
                </c:ext>
                <c:ext xmlns:c15="http://schemas.microsoft.com/office/drawing/2012/chart" uri="{CE6537A1-D6FC-4f65-9D91-7224C49458BB}"/>
              </c:extLst>
            </c:dLbl>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proy'!$K$49:$O$49</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proy'!$K$50:$O$50</c:f>
              <c:numCache>
                <c:formatCode>General</c:formatCode>
                <c:ptCount val="5"/>
                <c:pt idx="0">
                  <c:v>0</c:v>
                </c:pt>
                <c:pt idx="1">
                  <c:v>0</c:v>
                </c:pt>
                <c:pt idx="2">
                  <c:v>0</c:v>
                </c:pt>
                <c:pt idx="3" formatCode="#,##0">
                  <c:v>0</c:v>
                </c:pt>
                <c:pt idx="4" formatCode="#,##0">
                  <c:v>0</c:v>
                </c:pt>
              </c:numCache>
            </c:numRef>
          </c:val>
          <c:extLst xmlns:c16r2="http://schemas.microsoft.com/office/drawing/2015/06/chart">
            <c:ext xmlns:c16="http://schemas.microsoft.com/office/drawing/2014/chart" uri="{C3380CC4-5D6E-409C-BE32-E72D297353CC}">
              <c16:uniqueId val="{00000001-6096-460A-BDE8-BD613ACFD86A}"/>
            </c:ext>
          </c:extLst>
        </c:ser>
        <c:dLbls>
          <c:showLegendKey val="0"/>
          <c:showVal val="0"/>
          <c:showCatName val="0"/>
          <c:showSerName val="0"/>
          <c:showPercent val="0"/>
          <c:showBubbleSize val="0"/>
        </c:dLbls>
        <c:gapWidth val="200"/>
        <c:axId val="666178576"/>
        <c:axId val="666177008"/>
      </c:barChart>
      <c:lineChart>
        <c:grouping val="stacked"/>
        <c:varyColors val="0"/>
        <c:ser>
          <c:idx val="1"/>
          <c:order val="1"/>
          <c:tx>
            <c:strRef>
              <c:f>'Graficos con proy'!$J$51</c:f>
              <c:strCache>
                <c:ptCount val="1"/>
                <c:pt idx="0">
                  <c:v>CAGR</c:v>
                </c:pt>
              </c:strCache>
            </c:strRef>
          </c:tx>
          <c:spPr>
            <a:ln>
              <a:noFill/>
            </a:ln>
          </c:spPr>
          <c:marker>
            <c:symbol val="none"/>
          </c:marker>
          <c:dLbls>
            <c:dLbl>
              <c:idx val="0"/>
              <c:delete val="1"/>
              <c:extLst xmlns:c16r2="http://schemas.microsoft.com/office/drawing/2015/06/chart">
                <c:ext xmlns:c16="http://schemas.microsoft.com/office/drawing/2014/chart" uri="{C3380CC4-5D6E-409C-BE32-E72D297353CC}">
                  <c16:uniqueId val="{00000002-6096-460A-BDE8-BD613ACFD86A}"/>
                </c:ext>
                <c:ext xmlns:c15="http://schemas.microsoft.com/office/drawing/2012/chart" uri="{CE6537A1-D6FC-4f65-9D91-7224C49458BB}"/>
              </c:extLst>
            </c:dLbl>
            <c:dLbl>
              <c:idx val="1"/>
              <c:layout>
                <c:manualLayout>
                  <c:x val="-5.5556041605910392E-2"/>
                  <c:y val="-5.2188552188552055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6096-460A-BDE8-BD613ACFD86A}"/>
                </c:ext>
                <c:ext xmlns:c15="http://schemas.microsoft.com/office/drawing/2012/chart" uri="{CE6537A1-D6FC-4f65-9D91-7224C49458BB}"/>
              </c:extLst>
            </c:dLbl>
            <c:dLbl>
              <c:idx val="2"/>
              <c:layout>
                <c:manualLayout>
                  <c:x val="-5.5555555555555455E-2"/>
                  <c:y val="-4.7559055118110226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6096-460A-BDE8-BD613ACFD86A}"/>
                </c:ext>
                <c:ext xmlns:c15="http://schemas.microsoft.com/office/drawing/2012/chart" uri="{CE6537A1-D6FC-4f65-9D91-7224C49458BB}"/>
              </c:extLst>
            </c:dLbl>
            <c:dLbl>
              <c:idx val="3"/>
              <c:layout>
                <c:manualLayout>
                  <c:x val="-4.6604938271604855E-2"/>
                  <c:y val="-5.5976563535618723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6096-460A-BDE8-BD613ACFD86A}"/>
                </c:ext>
                <c:ext xmlns:c15="http://schemas.microsoft.com/office/drawing/2012/chart" uri="{CE6537A1-D6FC-4f65-9D91-7224C49458BB}"/>
              </c:extLst>
            </c:dLbl>
            <c:dLbl>
              <c:idx val="4"/>
              <c:layout>
                <c:manualLayout>
                  <c:x val="-4.9382716049384046E-2"/>
                  <c:y val="-5.8081603435934173E-2"/>
                </c:manualLayout>
              </c:layout>
              <c:dLblPos val="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6096-460A-BDE8-BD613ACFD86A}"/>
                </c:ext>
                <c:ext xmlns:c15="http://schemas.microsoft.com/office/drawing/2012/chart" uri="{CE6537A1-D6FC-4f65-9D91-7224C49458BB}"/>
              </c:extLst>
            </c:dLbl>
            <c:spPr>
              <a:noFill/>
              <a:ln>
                <a:noFill/>
              </a:ln>
              <a:effectLst/>
            </c:spPr>
            <c:txPr>
              <a:bodyPr/>
              <a:lstStyle/>
              <a:p>
                <a:pPr>
                  <a:defRPr b="1">
                    <a:solidFill>
                      <a:schemeClr val="bg1"/>
                    </a:solidFill>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proy'!$K$49:$O$49</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proy'!$K$51:$O$51</c:f>
              <c:numCache>
                <c:formatCode>0%</c:formatCode>
                <c:ptCount val="5"/>
                <c:pt idx="1">
                  <c:v>0</c:v>
                </c:pt>
                <c:pt idx="2">
                  <c:v>0</c:v>
                </c:pt>
                <c:pt idx="3">
                  <c:v>0</c:v>
                </c:pt>
                <c:pt idx="4">
                  <c:v>0</c:v>
                </c:pt>
              </c:numCache>
            </c:numRef>
          </c:val>
          <c:smooth val="0"/>
          <c:extLst xmlns:c16r2="http://schemas.microsoft.com/office/drawing/2015/06/chart">
            <c:ext xmlns:c16="http://schemas.microsoft.com/office/drawing/2014/chart" uri="{C3380CC4-5D6E-409C-BE32-E72D297353CC}">
              <c16:uniqueId val="{00000007-6096-460A-BDE8-BD613ACFD86A}"/>
            </c:ext>
          </c:extLst>
        </c:ser>
        <c:dLbls>
          <c:showLegendKey val="0"/>
          <c:showVal val="0"/>
          <c:showCatName val="0"/>
          <c:showSerName val="0"/>
          <c:showPercent val="0"/>
          <c:showBubbleSize val="0"/>
        </c:dLbls>
        <c:marker val="1"/>
        <c:smooth val="0"/>
        <c:axId val="666178968"/>
        <c:axId val="666176224"/>
      </c:lineChart>
      <c:catAx>
        <c:axId val="666178968"/>
        <c:scaling>
          <c:orientation val="minMax"/>
        </c:scaling>
        <c:delete val="0"/>
        <c:axPos val="b"/>
        <c:numFmt formatCode="dd/mm/yyyy" sourceLinked="0"/>
        <c:majorTickMark val="none"/>
        <c:minorTickMark val="none"/>
        <c:tickLblPos val="nextTo"/>
        <c:spPr>
          <a:ln w="25400">
            <a:solidFill>
              <a:schemeClr val="bg1">
                <a:lumMod val="75000"/>
              </a:schemeClr>
            </a:solidFill>
          </a:ln>
        </c:spPr>
        <c:txPr>
          <a:bodyPr rot="0" vert="horz"/>
          <a:lstStyle/>
          <a:p>
            <a:pPr>
              <a:defRPr b="1"/>
            </a:pPr>
            <a:endParaRPr lang="es-CO"/>
          </a:p>
        </c:txPr>
        <c:crossAx val="666176224"/>
        <c:crosses val="autoZero"/>
        <c:auto val="1"/>
        <c:lblAlgn val="ctr"/>
        <c:lblOffset val="100"/>
        <c:tickLblSkip val="1"/>
        <c:tickMarkSkip val="1"/>
        <c:noMultiLvlLbl val="0"/>
      </c:catAx>
      <c:valAx>
        <c:axId val="666176224"/>
        <c:scaling>
          <c:orientation val="minMax"/>
        </c:scaling>
        <c:delete val="1"/>
        <c:axPos val="l"/>
        <c:numFmt formatCode="General" sourceLinked="1"/>
        <c:majorTickMark val="out"/>
        <c:minorTickMark val="none"/>
        <c:tickLblPos val="none"/>
        <c:crossAx val="666178968"/>
        <c:crosses val="autoZero"/>
        <c:crossBetween val="between"/>
      </c:valAx>
      <c:catAx>
        <c:axId val="666178576"/>
        <c:scaling>
          <c:orientation val="minMax"/>
        </c:scaling>
        <c:delete val="1"/>
        <c:axPos val="b"/>
        <c:numFmt formatCode="yyyy" sourceLinked="1"/>
        <c:majorTickMark val="out"/>
        <c:minorTickMark val="none"/>
        <c:tickLblPos val="none"/>
        <c:crossAx val="666177008"/>
        <c:crosses val="autoZero"/>
        <c:auto val="1"/>
        <c:lblAlgn val="ctr"/>
        <c:lblOffset val="100"/>
        <c:noMultiLvlLbl val="0"/>
      </c:catAx>
      <c:valAx>
        <c:axId val="666177008"/>
        <c:scaling>
          <c:orientation val="minMax"/>
        </c:scaling>
        <c:delete val="1"/>
        <c:axPos val="r"/>
        <c:numFmt formatCode="General" sourceLinked="1"/>
        <c:majorTickMark val="out"/>
        <c:minorTickMark val="none"/>
        <c:tickLblPos val="none"/>
        <c:crossAx val="666178576"/>
        <c:crosses val="max"/>
        <c:crossBetween val="between"/>
      </c:valAx>
      <c:spPr>
        <a:noFill/>
        <a:ln w="25400">
          <a:noFill/>
        </a:ln>
      </c:spPr>
    </c:plotArea>
    <c:plotVisOnly val="1"/>
    <c:dispBlanksAs val="gap"/>
    <c:showDLblsOverMax val="0"/>
  </c:chart>
  <c:spPr>
    <a:ln>
      <a:noFill/>
    </a:ln>
  </c:spPr>
  <c:txPr>
    <a:bodyPr/>
    <a:lstStyle/>
    <a:p>
      <a:pPr>
        <a:defRPr sz="700" b="0" i="0" u="none" strike="noStrike" baseline="0">
          <a:solidFill>
            <a:srgbClr val="000000"/>
          </a:solidFill>
          <a:latin typeface="Arial" pitchFamily="34" charset="0"/>
          <a:ea typeface="Calibri"/>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'Graficos con proy'!$J$57</c:f>
              <c:strCache>
                <c:ptCount val="1"/>
                <c:pt idx="0">
                  <c:v>DFN</c:v>
                </c:pt>
              </c:strCache>
            </c:strRef>
          </c:tx>
          <c:spPr>
            <a:solidFill>
              <a:srgbClr val="FF0000"/>
            </a:solidFill>
          </c:spPr>
          <c:invertIfNegative val="0"/>
          <c:dLbls>
            <c:spPr>
              <a:noFill/>
              <a:ln>
                <a:noFill/>
              </a:ln>
              <a:effectLst/>
            </c:spPr>
            <c:txPr>
              <a:bodyPr/>
              <a:lstStyle/>
              <a:p>
                <a:pPr>
                  <a:defRPr sz="6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proy'!$K$56:$O$56</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proy'!$K$57:$O$57</c:f>
              <c:numCache>
                <c:formatCode>0.0"x"</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60-434A-B9C1-5355FEC4DFA3}"/>
            </c:ext>
          </c:extLst>
        </c:ser>
        <c:ser>
          <c:idx val="1"/>
          <c:order val="1"/>
          <c:tx>
            <c:strRef>
              <c:f>'Graficos con proy'!$J$58</c:f>
              <c:strCache>
                <c:ptCount val="1"/>
                <c:pt idx="0">
                  <c:v>DFB</c:v>
                </c:pt>
              </c:strCache>
            </c:strRef>
          </c:tx>
          <c:spPr>
            <a:solidFill>
              <a:schemeClr val="bg1">
                <a:lumMod val="50000"/>
              </a:schemeClr>
            </a:solidFill>
          </c:spPr>
          <c:invertIfNegative val="0"/>
          <c:dLbls>
            <c:spPr>
              <a:noFill/>
              <a:ln>
                <a:noFill/>
              </a:ln>
              <a:effectLst/>
            </c:spPr>
            <c:txPr>
              <a:bodyPr/>
              <a:lstStyle/>
              <a:p>
                <a:pPr>
                  <a:defRPr sz="6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'Graficos con proy'!$K$56:$O$56</c:f>
              <c:numCache>
                <c:formatCode>yyyy</c:formatCode>
                <c:ptCount val="5"/>
                <c:pt idx="0">
                  <c:v>42735</c:v>
                </c:pt>
                <c:pt idx="1">
                  <c:v>43100</c:v>
                </c:pt>
                <c:pt idx="2">
                  <c:v>43465</c:v>
                </c:pt>
                <c:pt idx="3" formatCode="_-* ###0&quot;E&quot;_-;\-* ###0\ &quot;E&quot;_-;_-* &quot;-&quot;\ &quot;E&quot;_-;_-@_-">
                  <c:v>43830</c:v>
                </c:pt>
                <c:pt idx="4" formatCode="_-* ###0&quot;E&quot;_-;\-* ###0\ &quot;E&quot;_-;_-* &quot;-&quot;\ &quot;E&quot;_-;_-@_-">
                  <c:v>44196</c:v>
                </c:pt>
              </c:numCache>
            </c:numRef>
          </c:cat>
          <c:val>
            <c:numRef>
              <c:f>'Graficos con proy'!$K$58:$O$58</c:f>
              <c:numCache>
                <c:formatCode>0.0"x"</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2260-434A-B9C1-5355FEC4DFA3}"/>
            </c:ext>
          </c:extLst>
        </c:ser>
        <c:dLbls>
          <c:showLegendKey val="0"/>
          <c:showVal val="0"/>
          <c:showCatName val="0"/>
          <c:showSerName val="0"/>
          <c:showPercent val="0"/>
          <c:showBubbleSize val="0"/>
        </c:dLbls>
        <c:gapWidth val="200"/>
        <c:axId val="664930776"/>
        <c:axId val="664932736"/>
      </c:barChart>
      <c:catAx>
        <c:axId val="664930776"/>
        <c:scaling>
          <c:orientation val="minMax"/>
        </c:scaling>
        <c:delete val="0"/>
        <c:axPos val="b"/>
        <c:numFmt formatCode="dd/mm/yyyy" sourceLinked="0"/>
        <c:majorTickMark val="none"/>
        <c:minorTickMark val="none"/>
        <c:tickLblPos val="nextTo"/>
        <c:spPr>
          <a:ln w="25400">
            <a:solidFill>
              <a:sysClr val="window" lastClr="FFFFFF">
                <a:lumMod val="75000"/>
              </a:sysClr>
            </a:solidFill>
          </a:ln>
        </c:spPr>
        <c:txPr>
          <a:bodyPr/>
          <a:lstStyle/>
          <a:p>
            <a:pPr>
              <a:defRPr b="1"/>
            </a:pPr>
            <a:endParaRPr lang="es-CO"/>
          </a:p>
        </c:txPr>
        <c:crossAx val="664932736"/>
        <c:crosses val="autoZero"/>
        <c:auto val="1"/>
        <c:lblAlgn val="ctr"/>
        <c:lblOffset val="100"/>
        <c:tickLblSkip val="1"/>
        <c:tickMarkSkip val="1"/>
        <c:noMultiLvlLbl val="0"/>
      </c:catAx>
      <c:valAx>
        <c:axId val="664932736"/>
        <c:scaling>
          <c:orientation val="minMax"/>
        </c:scaling>
        <c:delete val="1"/>
        <c:axPos val="l"/>
        <c:numFmt formatCode="0.0&quot;x&quot;" sourceLinked="1"/>
        <c:majorTickMark val="out"/>
        <c:minorTickMark val="none"/>
        <c:tickLblPos val="none"/>
        <c:crossAx val="664930776"/>
        <c:crosses val="autoZero"/>
        <c:crossBetween val="between"/>
      </c:valAx>
    </c:plotArea>
    <c:legend>
      <c:legendPos val="r"/>
      <c:layout>
        <c:manualLayout>
          <c:xMode val="edge"/>
          <c:yMode val="edge"/>
          <c:x val="0.89219273516735498"/>
          <c:y val="0.74510301256591682"/>
          <c:w val="9.0281714785651682E-2"/>
          <c:h val="0.16286577009732403"/>
        </c:manualLayout>
      </c:layout>
      <c:overlay val="0"/>
    </c:legend>
    <c:plotVisOnly val="1"/>
    <c:dispBlanksAs val="gap"/>
    <c:showDLblsOverMax val="0"/>
  </c:chart>
  <c:spPr>
    <a:ln>
      <a:noFill/>
    </a:ln>
  </c:spPr>
  <c:txPr>
    <a:bodyPr/>
    <a:lstStyle/>
    <a:p>
      <a:pPr>
        <a:defRPr sz="700">
          <a:latin typeface="Arial" pitchFamily="34" charset="0"/>
          <a:cs typeface="Arial" pitchFamily="34" charset="0"/>
        </a:defRPr>
      </a:pPr>
      <a:endParaRPr lang="es-CO"/>
    </a:p>
  </c:txPr>
  <c:printSettings>
    <c:headerFooter/>
    <c:pageMargins b="0.75000000000000755" l="0.70000000000000062" r="0.70000000000000062" t="0.750000000000007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Deuda Financiera Neta</a:t>
            </a:r>
          </a:p>
        </c:rich>
      </c:tx>
      <c:overlay val="0"/>
    </c:title>
    <c:autoTitleDeleted val="0"/>
    <c:plotArea>
      <c:layout/>
      <c:barChart>
        <c:barDir val="col"/>
        <c:grouping val="clustered"/>
        <c:varyColors val="0"/>
        <c:ser>
          <c:idx val="0"/>
          <c:order val="0"/>
          <c:tx>
            <c:strRef>
              <c:f>'Estructura de la Deuda'!$C$49</c:f>
              <c:strCache>
                <c:ptCount val="1"/>
                <c:pt idx="0">
                  <c:v>Deuda financiera Bruta</c:v>
                </c:pt>
              </c:strCache>
            </c:strRef>
          </c:tx>
          <c:spPr>
            <a:solidFill>
              <a:sysClr val="window" lastClr="FFFFFF">
                <a:lumMod val="75000"/>
              </a:sysClr>
            </a:solidFill>
          </c:spPr>
          <c:invertIfNegative val="0"/>
          <c:dLbls>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'Estructura de la Deuda'!$D$48</c:f>
              <c:numCache>
                <c:formatCode>yyyy</c:formatCode>
                <c:ptCount val="1"/>
                <c:pt idx="0">
                  <c:v>43465</c:v>
                </c:pt>
              </c:numCache>
            </c:numRef>
          </c:cat>
          <c:val>
            <c:numRef>
              <c:f>'Estructura de la Deuda'!$D$49</c:f>
              <c:numCache>
                <c:formatCode>#,##0</c:formatCode>
                <c:ptCount val="1"/>
                <c:pt idx="0">
                  <c:v>0</c:v>
                </c:pt>
              </c:numCache>
            </c:numRef>
          </c:val>
          <c:extLst xmlns:c16r2="http://schemas.microsoft.com/office/drawing/2015/06/chart">
            <c:ext xmlns:c16="http://schemas.microsoft.com/office/drawing/2014/chart" uri="{C3380CC4-5D6E-409C-BE32-E72D297353CC}">
              <c16:uniqueId val="{00000000-B05C-429C-9EE2-758B0297A14A}"/>
            </c:ext>
          </c:extLst>
        </c:ser>
        <c:ser>
          <c:idx val="1"/>
          <c:order val="1"/>
          <c:tx>
            <c:strRef>
              <c:f>'Estructura de la Deuda'!$C$50</c:f>
              <c:strCache>
                <c:ptCount val="1"/>
                <c:pt idx="0">
                  <c:v>Tesorería + Activos Fácilmente Líquidables</c:v>
                </c:pt>
              </c:strCache>
            </c:strRef>
          </c:tx>
          <c:spPr>
            <a:solidFill>
              <a:sysClr val="window" lastClr="FFFFFF">
                <a:lumMod val="50000"/>
              </a:sysClr>
            </a:solidFill>
          </c:spPr>
          <c:invertIfNegative val="0"/>
          <c:dLbls>
            <c:spPr>
              <a:noFill/>
              <a:ln>
                <a:noFill/>
              </a:ln>
              <a:effectLst/>
            </c:spPr>
            <c:txPr>
              <a:bodyPr/>
              <a:lstStyle/>
              <a:p>
                <a:pPr>
                  <a:defRPr b="1"/>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'Estructura de la Deuda'!$D$48</c:f>
              <c:numCache>
                <c:formatCode>yyyy</c:formatCode>
                <c:ptCount val="1"/>
                <c:pt idx="0">
                  <c:v>43465</c:v>
                </c:pt>
              </c:numCache>
            </c:numRef>
          </c:cat>
          <c:val>
            <c:numRef>
              <c:f>'Estructura de la Deuda'!$D$50</c:f>
              <c:numCache>
                <c:formatCode>#,##0</c:formatCode>
                <c:ptCount val="1"/>
                <c:pt idx="0">
                  <c:v>0</c:v>
                </c:pt>
              </c:numCache>
            </c:numRef>
          </c:val>
          <c:extLst xmlns:c16r2="http://schemas.microsoft.com/office/drawing/2015/06/chart">
            <c:ext xmlns:c16="http://schemas.microsoft.com/office/drawing/2014/chart" uri="{C3380CC4-5D6E-409C-BE32-E72D297353CC}">
              <c16:uniqueId val="{00000001-B05C-429C-9EE2-758B0297A14A}"/>
            </c:ext>
          </c:extLst>
        </c:ser>
        <c:dLbls>
          <c:showLegendKey val="0"/>
          <c:showVal val="1"/>
          <c:showCatName val="0"/>
          <c:showSerName val="0"/>
          <c:showPercent val="0"/>
          <c:showBubbleSize val="0"/>
        </c:dLbls>
        <c:gapWidth val="150"/>
        <c:overlap val="-25"/>
        <c:axId val="664929208"/>
        <c:axId val="671209344"/>
      </c:barChart>
      <c:dateAx>
        <c:axId val="664929208"/>
        <c:scaling>
          <c:orientation val="minMax"/>
        </c:scaling>
        <c:delete val="1"/>
        <c:axPos val="b"/>
        <c:numFmt formatCode="dd/mm/yyyy" sourceLinked="0"/>
        <c:majorTickMark val="none"/>
        <c:minorTickMark val="none"/>
        <c:tickLblPos val="nextTo"/>
        <c:crossAx val="671209344"/>
        <c:crosses val="autoZero"/>
        <c:auto val="1"/>
        <c:lblOffset val="100"/>
        <c:baseTimeUnit val="years"/>
        <c:majorUnit val="1"/>
        <c:minorUnit val="1"/>
      </c:dateAx>
      <c:valAx>
        <c:axId val="671209344"/>
        <c:scaling>
          <c:orientation val="minMax"/>
        </c:scaling>
        <c:delete val="1"/>
        <c:axPos val="l"/>
        <c:numFmt formatCode="#,##0" sourceLinked="1"/>
        <c:majorTickMark val="out"/>
        <c:minorTickMark val="none"/>
        <c:tickLblPos val="none"/>
        <c:crossAx val="664929208"/>
        <c:crosses val="autoZero"/>
        <c:crossBetween val="between"/>
      </c:valAx>
      <c:spPr>
        <a:noFill/>
        <a:ln w="25400">
          <a:noFill/>
        </a:ln>
      </c:spPr>
    </c:plotArea>
    <c:legend>
      <c:legendPos val="t"/>
      <c:legendEntry>
        <c:idx val="0"/>
        <c:delete val="1"/>
      </c:legendEntry>
      <c:layout>
        <c:manualLayout>
          <c:xMode val="edge"/>
          <c:yMode val="edge"/>
          <c:x val="0.24279845214947154"/>
          <c:y val="0.13333333333333333"/>
          <c:w val="0.55352264341040502"/>
          <c:h val="8.143295421405658E-2"/>
        </c:manualLayout>
      </c:layout>
      <c:overlay val="0"/>
    </c:legend>
    <c:plotVisOnly val="1"/>
    <c:dispBlanksAs val="gap"/>
    <c:showDLblsOverMax val="0"/>
  </c:chart>
  <c:spPr>
    <a:noFill/>
    <a:ln>
      <a:solidFill>
        <a:schemeClr val="bg1">
          <a:lumMod val="95000"/>
        </a:schemeClr>
      </a:solidFill>
    </a:ln>
  </c:spPr>
  <c:txPr>
    <a:bodyPr/>
    <a:lstStyle/>
    <a:p>
      <a:pPr>
        <a:defRPr sz="700">
          <a:latin typeface="Arial" pitchFamily="34" charset="0"/>
          <a:cs typeface="Arial" pitchFamily="34" charset="0"/>
        </a:defRPr>
      </a:pPr>
      <a:endParaRPr lang="es-CO"/>
    </a:p>
  </c:txPr>
  <c:printSettings>
    <c:headerFooter/>
    <c:pageMargins b="0.75000000000000777" l="0.70000000000000062" r="0.70000000000000062" t="0.75000000000000777"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PERFIL DE PAGO</a:t>
            </a:r>
          </a:p>
          <a:p>
            <a:pPr>
              <a:defRPr/>
            </a:pPr>
            <a:r>
              <a:rPr lang="en-US"/>
              <a:t>(Deuda Financiera. Evolución Prevista)</a:t>
            </a:r>
          </a:p>
        </c:rich>
      </c:tx>
      <c:overlay val="0"/>
    </c:title>
    <c:autoTitleDeleted val="0"/>
    <c:plotArea>
      <c:layout/>
      <c:barChart>
        <c:barDir val="col"/>
        <c:grouping val="clustered"/>
        <c:varyColors val="0"/>
        <c:ser>
          <c:idx val="0"/>
          <c:order val="0"/>
          <c:tx>
            <c:strRef>
              <c:f>'Estructura de la Deuda'!$J$49</c:f>
              <c:strCache>
                <c:ptCount val="1"/>
                <c:pt idx="0">
                  <c:v>PERFIL DE PAGO</c:v>
                </c:pt>
              </c:strCache>
            </c:strRef>
          </c:tx>
          <c:spPr>
            <a:solidFill>
              <a:srgbClr val="FF0000"/>
            </a:solidFill>
          </c:spPr>
          <c:invertIfNegative val="0"/>
          <c:dLbls>
            <c:spPr>
              <a:noFill/>
              <a:ln>
                <a:noFill/>
              </a:ln>
              <a:effectLst/>
            </c:spPr>
            <c:txPr>
              <a:bodyPr/>
              <a:lstStyle/>
              <a:p>
                <a:pPr>
                  <a:defRPr sz="6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'Estructura de la Deuda'!$K$48:$P$48</c:f>
              <c:strCache>
                <c:ptCount val="6"/>
                <c:pt idx="0">
                  <c:v>2019 E</c:v>
                </c:pt>
                <c:pt idx="1">
                  <c:v>2020 E</c:v>
                </c:pt>
                <c:pt idx="2">
                  <c:v>2021 E</c:v>
                </c:pt>
                <c:pt idx="3">
                  <c:v>2022 E</c:v>
                </c:pt>
                <c:pt idx="4">
                  <c:v>2023 E</c:v>
                </c:pt>
                <c:pt idx="5">
                  <c:v>En adelante</c:v>
                </c:pt>
              </c:strCache>
            </c:strRef>
          </c:cat>
          <c:val>
            <c:numRef>
              <c:f>'Estructura de la Deuda'!$K$49:$P$49</c:f>
              <c:numCache>
                <c:formatCode>#,##0.0</c:formatCode>
                <c:ptCount val="6"/>
              </c:numCache>
            </c:numRef>
          </c:val>
          <c:extLst xmlns:c16r2="http://schemas.microsoft.com/office/drawing/2015/06/chart">
            <c:ext xmlns:c16="http://schemas.microsoft.com/office/drawing/2014/chart" uri="{C3380CC4-5D6E-409C-BE32-E72D297353CC}">
              <c16:uniqueId val="{00000000-AA16-4ABA-A62D-9CB6F7E27361}"/>
            </c:ext>
          </c:extLst>
        </c:ser>
        <c:dLbls>
          <c:showLegendKey val="0"/>
          <c:showVal val="0"/>
          <c:showCatName val="0"/>
          <c:showSerName val="0"/>
          <c:showPercent val="0"/>
          <c:showBubbleSize val="0"/>
        </c:dLbls>
        <c:gapWidth val="200"/>
        <c:axId val="671205816"/>
        <c:axId val="671203856"/>
      </c:barChart>
      <c:catAx>
        <c:axId val="671205816"/>
        <c:scaling>
          <c:orientation val="minMax"/>
        </c:scaling>
        <c:delete val="0"/>
        <c:axPos val="b"/>
        <c:numFmt formatCode="dd/mm/yyyy" sourceLinked="0"/>
        <c:majorTickMark val="none"/>
        <c:minorTickMark val="none"/>
        <c:tickLblPos val="nextTo"/>
        <c:spPr>
          <a:ln w="25400">
            <a:solidFill>
              <a:sysClr val="window" lastClr="FFFFFF">
                <a:lumMod val="75000"/>
              </a:sysClr>
            </a:solidFill>
          </a:ln>
        </c:spPr>
        <c:txPr>
          <a:bodyPr/>
          <a:lstStyle/>
          <a:p>
            <a:pPr>
              <a:defRPr b="1"/>
            </a:pPr>
            <a:endParaRPr lang="es-CO"/>
          </a:p>
        </c:txPr>
        <c:crossAx val="671203856"/>
        <c:crosses val="autoZero"/>
        <c:auto val="1"/>
        <c:lblAlgn val="ctr"/>
        <c:lblOffset val="100"/>
        <c:tickLblSkip val="1"/>
        <c:tickMarkSkip val="1"/>
        <c:noMultiLvlLbl val="1"/>
      </c:catAx>
      <c:valAx>
        <c:axId val="671203856"/>
        <c:scaling>
          <c:orientation val="minMax"/>
        </c:scaling>
        <c:delete val="1"/>
        <c:axPos val="l"/>
        <c:numFmt formatCode="#,##0.0" sourceLinked="1"/>
        <c:majorTickMark val="out"/>
        <c:minorTickMark val="none"/>
        <c:tickLblPos val="none"/>
        <c:crossAx val="671205816"/>
        <c:crosses val="autoZero"/>
        <c:crossBetween val="between"/>
      </c:valAx>
    </c:plotArea>
    <c:plotVisOnly val="1"/>
    <c:dispBlanksAs val="gap"/>
    <c:showDLblsOverMax val="0"/>
  </c:chart>
  <c:spPr>
    <a:ln>
      <a:solidFill>
        <a:schemeClr val="bg1">
          <a:lumMod val="95000"/>
        </a:schemeClr>
      </a:solidFill>
    </a:ln>
  </c:spPr>
  <c:txPr>
    <a:bodyPr/>
    <a:lstStyle/>
    <a:p>
      <a:pPr>
        <a:defRPr sz="700">
          <a:latin typeface="Arial" pitchFamily="34" charset="0"/>
          <a:cs typeface="Arial" pitchFamily="34" charset="0"/>
        </a:defRPr>
      </a:pPr>
      <a:endParaRPr lang="es-CO"/>
    </a:p>
  </c:txPr>
  <c:printSettings>
    <c:headerFooter/>
    <c:pageMargins b="0.75000000000000755" l="0.70000000000000062" r="0.70000000000000062" t="0.7500000000000075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Financial profile</a:t>
            </a:r>
          </a:p>
        </c:rich>
      </c:tx>
      <c:overlay val="0"/>
      <c:spPr>
        <a:noFill/>
        <a:ln w="25400">
          <a:noFill/>
        </a:ln>
      </c:spPr>
    </c:title>
    <c:autoTitleDeleted val="0"/>
    <c:plotArea>
      <c:layout/>
      <c:radarChart>
        <c:radarStyle val="marker"/>
        <c:varyColors val="0"/>
        <c:ser>
          <c:idx val="0"/>
          <c:order val="0"/>
          <c:tx>
            <c:v>Cpty information</c:v>
          </c:tx>
          <c:spPr>
            <a:ln w="25400">
              <a:solidFill>
                <a:srgbClr val="FF0000"/>
              </a:solidFill>
              <a:prstDash val="solid"/>
            </a:ln>
          </c:spPr>
          <c:marker>
            <c:symbol val="none"/>
          </c:marker>
          <c:cat>
            <c:strRef>
              <c:f>'Simulacion individual'!$BW$3:$BW$14</c:f>
              <c:strCache>
                <c:ptCount val="12"/>
                <c:pt idx="0">
                  <c:v>RCF03</c:v>
                </c:pt>
                <c:pt idx="1">
                  <c:v>RCF05</c:v>
                </c:pt>
                <c:pt idx="2">
                  <c:v>RN03</c:v>
                </c:pt>
                <c:pt idx="3">
                  <c:v>RR01</c:v>
                </c:pt>
                <c:pt idx="4">
                  <c:v>RR03</c:v>
                </c:pt>
                <c:pt idx="5">
                  <c:v>RS03</c:v>
                </c:pt>
                <c:pt idx="6">
                  <c:v>RS04</c:v>
                </c:pt>
                <c:pt idx="7">
                  <c:v>RL02</c:v>
                </c:pt>
                <c:pt idx="8">
                  <c:v>RSC04</c:v>
                </c:pt>
                <c:pt idx="9">
                  <c:v>EV01</c:v>
                </c:pt>
                <c:pt idx="10">
                  <c:v>MEANWGI</c:v>
                </c:pt>
                <c:pt idx="11">
                  <c:v>GDPPERCAPITA</c:v>
                </c:pt>
              </c:strCache>
            </c:strRef>
          </c:cat>
          <c:val>
            <c:numRef>
              <c:f>'Simulacion individual'!$CA$3:$CA$14</c:f>
              <c:numCache>
                <c:formatCode>General</c:formatCode>
                <c:ptCount val="12"/>
                <c:pt idx="0">
                  <c:v>1</c:v>
                </c:pt>
                <c:pt idx="1">
                  <c:v>1</c:v>
                </c:pt>
                <c:pt idx="2">
                  <c:v>1</c:v>
                </c:pt>
                <c:pt idx="3">
                  <c:v>1.25</c:v>
                </c:pt>
                <c:pt idx="4">
                  <c:v>3.3333333333333335</c:v>
                </c:pt>
                <c:pt idx="5">
                  <c:v>1</c:v>
                </c:pt>
                <c:pt idx="6">
                  <c:v>5</c:v>
                </c:pt>
                <c:pt idx="7">
                  <c:v>1.25</c:v>
                </c:pt>
                <c:pt idx="8">
                  <c:v>3.3333333333333335</c:v>
                </c:pt>
                <c:pt idx="9">
                  <c:v>3</c:v>
                </c:pt>
                <c:pt idx="10">
                  <c:v>1.6666666666666667</c:v>
                </c:pt>
                <c:pt idx="11">
                  <c:v>1.6666666666666667</c:v>
                </c:pt>
              </c:numCache>
            </c:numRef>
          </c:val>
          <c:extLst xmlns:c16r2="http://schemas.microsoft.com/office/drawing/2015/06/chart">
            <c:ext xmlns:c16="http://schemas.microsoft.com/office/drawing/2014/chart" uri="{C3380CC4-5D6E-409C-BE32-E72D297353CC}">
              <c16:uniqueId val="{00000000-4243-41B3-9A21-F79A29EFD09C}"/>
            </c:ext>
          </c:extLst>
        </c:ser>
        <c:ser>
          <c:idx val="1"/>
          <c:order val="1"/>
          <c:tx>
            <c:v>Max quality</c:v>
          </c:tx>
          <c:spPr>
            <a:ln w="28575" cap="rnd">
              <a:solidFill>
                <a:sysClr val="windowText" lastClr="000000"/>
              </a:solidFill>
              <a:round/>
            </a:ln>
            <a:effectLst/>
          </c:spPr>
          <c:marker>
            <c:symbol val="none"/>
          </c:marker>
          <c:val>
            <c:numRef>
              <c:f>'Simulacion individual'!$CB$3:$CB$14</c:f>
              <c:numCache>
                <c:formatCode>General</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extLst xmlns:c16r2="http://schemas.microsoft.com/office/drawing/2015/06/chart">
            <c:ext xmlns:c16="http://schemas.microsoft.com/office/drawing/2014/chart" uri="{C3380CC4-5D6E-409C-BE32-E72D297353CC}">
              <c16:uniqueId val="{00000001-4243-41B3-9A21-F79A29EFD09C}"/>
            </c:ext>
          </c:extLst>
        </c:ser>
        <c:dLbls>
          <c:showLegendKey val="0"/>
          <c:showVal val="0"/>
          <c:showCatName val="0"/>
          <c:showSerName val="0"/>
          <c:showPercent val="0"/>
          <c:showBubbleSize val="0"/>
        </c:dLbls>
        <c:axId val="671204640"/>
        <c:axId val="671208168"/>
      </c:radarChart>
      <c:catAx>
        <c:axId val="671204640"/>
        <c:scaling>
          <c:orientation val="minMax"/>
        </c:scaling>
        <c:delete val="0"/>
        <c:axPos val="b"/>
        <c:numFmt formatCode="General" sourceLinked="1"/>
        <c:majorTickMark val="out"/>
        <c:minorTickMark val="none"/>
        <c:tickLblPos val="nextTo"/>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71208168"/>
        <c:crosses val="autoZero"/>
        <c:auto val="0"/>
        <c:lblAlgn val="ctr"/>
        <c:lblOffset val="100"/>
        <c:noMultiLvlLbl val="0"/>
      </c:catAx>
      <c:valAx>
        <c:axId val="67120816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671204640"/>
        <c:crosses val="autoZero"/>
        <c:crossBetween val="between"/>
      </c:valAx>
      <c:spPr>
        <a:noFill/>
        <a:ln w="25400">
          <a:noFill/>
        </a:ln>
      </c:spPr>
    </c:plotArea>
    <c:legend>
      <c:legendPos val="l"/>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Qualitative</a:t>
            </a:r>
            <a:r>
              <a:rPr lang="en-US" b="1" baseline="0"/>
              <a:t> profile</a:t>
            </a:r>
            <a:endParaRPr lang="en-US" b="1"/>
          </a:p>
        </c:rich>
      </c:tx>
      <c:overlay val="0"/>
      <c:spPr>
        <a:noFill/>
        <a:ln w="25400">
          <a:noFill/>
        </a:ln>
      </c:spPr>
    </c:title>
    <c:autoTitleDeleted val="0"/>
    <c:plotArea>
      <c:layout/>
      <c:radarChart>
        <c:radarStyle val="marker"/>
        <c:varyColors val="0"/>
        <c:ser>
          <c:idx val="0"/>
          <c:order val="0"/>
          <c:tx>
            <c:strRef>
              <c:f>'Simulacion individual'!$CO$2</c:f>
              <c:strCache>
                <c:ptCount val="1"/>
                <c:pt idx="0">
                  <c:v>BMG Quality</c:v>
                </c:pt>
              </c:strCache>
            </c:strRef>
          </c:tx>
          <c:spPr>
            <a:ln w="25400">
              <a:solidFill>
                <a:srgbClr val="FF0000"/>
              </a:solidFill>
              <a:prstDash val="solid"/>
            </a:ln>
          </c:spPr>
          <c:marker>
            <c:symbol val="none"/>
          </c:marker>
          <c:cat>
            <c:strRef>
              <c:f>'Simulacion individual'!$CK$3:$CK$8</c:f>
              <c:strCache>
                <c:ptCount val="6"/>
                <c:pt idx="0">
                  <c:v>Shareholders / Management</c:v>
                </c:pt>
                <c:pt idx="1">
                  <c:v>Product / Demand / Market</c:v>
                </c:pt>
                <c:pt idx="2">
                  <c:v>Access To Credit</c:v>
                </c:pt>
                <c:pt idx="3">
                  <c:v>Profitability</c:v>
                </c:pt>
                <c:pt idx="4">
                  <c:v>Cashflow Generation</c:v>
                </c:pt>
                <c:pt idx="5">
                  <c:v>Solvency</c:v>
                </c:pt>
              </c:strCache>
            </c:strRef>
          </c:cat>
          <c:val>
            <c:numRef>
              <c:f>'Simulacion individual'!$CO$3:$CO$8</c:f>
              <c:numCache>
                <c:formatCode>General</c:formatCode>
                <c:ptCount val="6"/>
                <c:pt idx="0">
                  <c:v>0.6</c:v>
                </c:pt>
                <c:pt idx="1">
                  <c:v>0.6</c:v>
                </c:pt>
                <c:pt idx="2">
                  <c:v>0.6</c:v>
                </c:pt>
                <c:pt idx="3">
                  <c:v>0.6</c:v>
                </c:pt>
                <c:pt idx="4">
                  <c:v>0.6</c:v>
                </c:pt>
                <c:pt idx="5">
                  <c:v>0.6</c:v>
                </c:pt>
              </c:numCache>
            </c:numRef>
          </c:val>
          <c:extLst xmlns:c16r2="http://schemas.microsoft.com/office/drawing/2015/06/chart">
            <c:ext xmlns:c16="http://schemas.microsoft.com/office/drawing/2014/chart" uri="{C3380CC4-5D6E-409C-BE32-E72D297353CC}">
              <c16:uniqueId val="{00000000-8957-41DF-AE36-825FD1300832}"/>
            </c:ext>
          </c:extLst>
        </c:ser>
        <c:ser>
          <c:idx val="1"/>
          <c:order val="1"/>
          <c:tx>
            <c:strRef>
              <c:f>'Simulacion individual'!$CP$2</c:f>
              <c:strCache>
                <c:ptCount val="1"/>
                <c:pt idx="0">
                  <c:v>Max quality</c:v>
                </c:pt>
              </c:strCache>
            </c:strRef>
          </c:tx>
          <c:spPr>
            <a:ln w="28575" cap="rnd">
              <a:solidFill>
                <a:sysClr val="windowText" lastClr="000000"/>
              </a:solidFill>
              <a:round/>
            </a:ln>
            <a:effectLst/>
          </c:spPr>
          <c:marker>
            <c:symbol val="none"/>
          </c:marker>
          <c:cat>
            <c:strRef>
              <c:f>'Simulacion individual'!$CK$3:$CK$8</c:f>
              <c:strCache>
                <c:ptCount val="6"/>
                <c:pt idx="0">
                  <c:v>Shareholders / Management</c:v>
                </c:pt>
                <c:pt idx="1">
                  <c:v>Product / Demand / Market</c:v>
                </c:pt>
                <c:pt idx="2">
                  <c:v>Access To Credit</c:v>
                </c:pt>
                <c:pt idx="3">
                  <c:v>Profitability</c:v>
                </c:pt>
                <c:pt idx="4">
                  <c:v>Cashflow Generation</c:v>
                </c:pt>
                <c:pt idx="5">
                  <c:v>Solvency</c:v>
                </c:pt>
              </c:strCache>
            </c:strRef>
          </c:cat>
          <c:val>
            <c:numRef>
              <c:f>'Simulacion individual'!$CP$3:$CP$8</c:f>
              <c:numCache>
                <c:formatCode>General</c:formatCode>
                <c:ptCount val="6"/>
                <c:pt idx="0">
                  <c:v>1</c:v>
                </c:pt>
                <c:pt idx="1">
                  <c:v>1</c:v>
                </c:pt>
                <c:pt idx="2">
                  <c:v>1</c:v>
                </c:pt>
                <c:pt idx="3">
                  <c:v>1</c:v>
                </c:pt>
                <c:pt idx="4">
                  <c:v>1</c:v>
                </c:pt>
                <c:pt idx="5">
                  <c:v>1</c:v>
                </c:pt>
              </c:numCache>
            </c:numRef>
          </c:val>
          <c:extLst xmlns:c16r2="http://schemas.microsoft.com/office/drawing/2015/06/chart">
            <c:ext xmlns:c16="http://schemas.microsoft.com/office/drawing/2014/chart" uri="{C3380CC4-5D6E-409C-BE32-E72D297353CC}">
              <c16:uniqueId val="{00000001-8957-41DF-AE36-825FD1300832}"/>
            </c:ext>
          </c:extLst>
        </c:ser>
        <c:dLbls>
          <c:showLegendKey val="0"/>
          <c:showVal val="0"/>
          <c:showCatName val="0"/>
          <c:showSerName val="0"/>
          <c:showPercent val="0"/>
          <c:showBubbleSize val="0"/>
        </c:dLbls>
        <c:axId val="671208560"/>
        <c:axId val="671210128"/>
      </c:radarChart>
      <c:catAx>
        <c:axId val="671208560"/>
        <c:scaling>
          <c:orientation val="minMax"/>
        </c:scaling>
        <c:delete val="0"/>
        <c:axPos val="b"/>
        <c:numFmt formatCode="General" sourceLinked="1"/>
        <c:majorTickMark val="out"/>
        <c:minorTickMark val="none"/>
        <c:tickLblPos val="nextTo"/>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71210128"/>
        <c:crosses val="autoZero"/>
        <c:auto val="0"/>
        <c:lblAlgn val="ctr"/>
        <c:lblOffset val="100"/>
        <c:noMultiLvlLbl val="0"/>
      </c:catAx>
      <c:valAx>
        <c:axId val="67121012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671208560"/>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8562096037554912E-3"/>
          <c:y val="5.0925925925925923E-2"/>
          <c:w val="0.91265924358574979"/>
          <c:h val="0.60017824264505204"/>
        </c:manualLayout>
      </c:layout>
      <c:barChart>
        <c:barDir val="col"/>
        <c:grouping val="stacked"/>
        <c:varyColors val="0"/>
        <c:ser>
          <c:idx val="0"/>
          <c:order val="0"/>
          <c:tx>
            <c:strRef>
              <c:f>'Plan de Negocio'!$C$48</c:f>
              <c:strCache>
                <c:ptCount val="1"/>
                <c:pt idx="0">
                  <c:v>Margen con Riesgo</c:v>
                </c:pt>
              </c:strCache>
            </c:strRef>
          </c:tx>
          <c:spPr>
            <a:solidFill>
              <a:srgbClr val="FF0000"/>
            </a:solidFill>
          </c:spPr>
          <c:invertIfNegative val="0"/>
          <c:dLbls>
            <c:dLbl>
              <c:idx val="0"/>
              <c:layout>
                <c:manualLayout>
                  <c:x val="6.1674008810572695E-2"/>
                  <c:y val="0"/>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5933-4C43-AB2C-B14DE39506D0}"/>
                </c:ext>
                <c:ext xmlns:c15="http://schemas.microsoft.com/office/drawing/2012/chart" uri="{CE6537A1-D6FC-4f65-9D91-7224C49458BB}"/>
              </c:extLst>
            </c:dLbl>
            <c:dLbl>
              <c:idx val="1"/>
              <c:layout>
                <c:manualLayout>
                  <c:x val="6.1674008810572688E-2"/>
                  <c:y val="0"/>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5933-4C43-AB2C-B14DE39506D0}"/>
                </c:ext>
                <c:ext xmlns:c15="http://schemas.microsoft.com/office/drawing/2012/chart" uri="{CE6537A1-D6FC-4f65-9D91-7224C49458BB}"/>
              </c:extLst>
            </c:dLbl>
            <c:dLbl>
              <c:idx val="2"/>
              <c:layout>
                <c:manualLayout>
                  <c:x val="6.1674008810572688E-2"/>
                  <c:y val="-5.0697084917618552E-3"/>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5933-4C43-AB2C-B14DE39506D0}"/>
                </c:ext>
                <c:ext xmlns:c15="http://schemas.microsoft.com/office/drawing/2012/chart" uri="{CE6537A1-D6FC-4f65-9D91-7224C49458BB}"/>
              </c:extLst>
            </c:dLbl>
            <c:spPr>
              <a:noFill/>
              <a:ln>
                <a:noFill/>
              </a:ln>
              <a:effectLst/>
            </c:spPr>
            <c:txPr>
              <a:bodyPr/>
              <a:lstStyle/>
              <a:p>
                <a:pPr>
                  <a:defRPr sz="8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'Plan de Negocio'!$B$49:$B$51</c:f>
              <c:strCache>
                <c:ptCount val="3"/>
                <c:pt idx="0">
                  <c:v>2011E</c:v>
                </c:pt>
                <c:pt idx="1">
                  <c:v>2011R</c:v>
                </c:pt>
                <c:pt idx="2">
                  <c:v>2012E</c:v>
                </c:pt>
              </c:strCache>
            </c:strRef>
          </c:cat>
          <c:val>
            <c:numRef>
              <c:f>'Plan de Negocio'!$C$49:$C$51</c:f>
              <c:numCache>
                <c:formatCode>_(* #,##0.0_);_(* \(#,##0.0\);_(*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5933-4C43-AB2C-B14DE39506D0}"/>
            </c:ext>
          </c:extLst>
        </c:ser>
        <c:ser>
          <c:idx val="1"/>
          <c:order val="1"/>
          <c:tx>
            <c:strRef>
              <c:f>'Plan de Negocio'!$D$48</c:f>
              <c:strCache>
                <c:ptCount val="1"/>
                <c:pt idx="0">
                  <c:v>Margen sin Riesgo</c:v>
                </c:pt>
              </c:strCache>
            </c:strRef>
          </c:tx>
          <c:spPr>
            <a:solidFill>
              <a:schemeClr val="bg1">
                <a:lumMod val="50000"/>
              </a:schemeClr>
            </a:solidFill>
          </c:spPr>
          <c:invertIfNegative val="0"/>
          <c:dLbls>
            <c:dLbl>
              <c:idx val="0"/>
              <c:layout>
                <c:manualLayout>
                  <c:x val="6.1674008810572695E-2"/>
                  <c:y val="0"/>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5933-4C43-AB2C-B14DE39506D0}"/>
                </c:ext>
                <c:ext xmlns:c15="http://schemas.microsoft.com/office/drawing/2012/chart" uri="{CE6537A1-D6FC-4f65-9D91-7224C49458BB}"/>
              </c:extLst>
            </c:dLbl>
            <c:dLbl>
              <c:idx val="1"/>
              <c:layout>
                <c:manualLayout>
                  <c:x val="6.1674008810572688E-2"/>
                  <c:y val="0"/>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5933-4C43-AB2C-B14DE39506D0}"/>
                </c:ext>
                <c:ext xmlns:c15="http://schemas.microsoft.com/office/drawing/2012/chart" uri="{CE6537A1-D6FC-4f65-9D91-7224C49458BB}"/>
              </c:extLst>
            </c:dLbl>
            <c:dLbl>
              <c:idx val="2"/>
              <c:layout>
                <c:manualLayout>
                  <c:x val="6.1674008810572688E-2"/>
                  <c:y val="0"/>
                </c:manualLayout>
              </c:layout>
              <c:dLblPos val="ctr"/>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5933-4C43-AB2C-B14DE39506D0}"/>
                </c:ext>
                <c:ext xmlns:c15="http://schemas.microsoft.com/office/drawing/2012/chart" uri="{CE6537A1-D6FC-4f65-9D91-7224C49458BB}"/>
              </c:extLst>
            </c:dLbl>
            <c:spPr>
              <a:noFill/>
              <a:ln>
                <a:noFill/>
              </a:ln>
              <a:effectLst/>
            </c:spPr>
            <c:txPr>
              <a:bodyPr/>
              <a:lstStyle/>
              <a:p>
                <a:pPr>
                  <a:defRPr sz="8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'Plan de Negocio'!$B$49:$B$51</c:f>
              <c:strCache>
                <c:ptCount val="3"/>
                <c:pt idx="0">
                  <c:v>2011E</c:v>
                </c:pt>
                <c:pt idx="1">
                  <c:v>2011R</c:v>
                </c:pt>
                <c:pt idx="2">
                  <c:v>2012E</c:v>
                </c:pt>
              </c:strCache>
            </c:strRef>
          </c:cat>
          <c:val>
            <c:numRef>
              <c:f>'Plan de Negocio'!$D$49:$D$51</c:f>
              <c:numCache>
                <c:formatCode>_(* #,##0.0_);_(* \(#,##0.0\);_(*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7-5933-4C43-AB2C-B14DE39506D0}"/>
            </c:ext>
          </c:extLst>
        </c:ser>
        <c:dLbls>
          <c:showLegendKey val="0"/>
          <c:showVal val="0"/>
          <c:showCatName val="0"/>
          <c:showSerName val="0"/>
          <c:showPercent val="0"/>
          <c:showBubbleSize val="0"/>
        </c:dLbls>
        <c:gapWidth val="500"/>
        <c:overlap val="100"/>
        <c:axId val="671209736"/>
        <c:axId val="671210520"/>
      </c:barChart>
      <c:catAx>
        <c:axId val="671209736"/>
        <c:scaling>
          <c:orientation val="minMax"/>
        </c:scaling>
        <c:delete val="0"/>
        <c:axPos val="b"/>
        <c:numFmt formatCode="General" sourceLinked="1"/>
        <c:majorTickMark val="out"/>
        <c:minorTickMark val="none"/>
        <c:tickLblPos val="nextTo"/>
        <c:txPr>
          <a:bodyPr/>
          <a:lstStyle/>
          <a:p>
            <a:pPr>
              <a:defRPr sz="800"/>
            </a:pPr>
            <a:endParaRPr lang="es-CO"/>
          </a:p>
        </c:txPr>
        <c:crossAx val="671210520"/>
        <c:crosses val="autoZero"/>
        <c:auto val="1"/>
        <c:lblAlgn val="ctr"/>
        <c:lblOffset val="100"/>
        <c:noMultiLvlLbl val="0"/>
      </c:catAx>
      <c:valAx>
        <c:axId val="671210520"/>
        <c:scaling>
          <c:orientation val="minMax"/>
        </c:scaling>
        <c:delete val="1"/>
        <c:axPos val="l"/>
        <c:numFmt formatCode="_(* #,##0.0_);_(* \(#,##0.0\);_(* &quot;-&quot;??_);_(@_)" sourceLinked="1"/>
        <c:majorTickMark val="out"/>
        <c:minorTickMark val="none"/>
        <c:tickLblPos val="none"/>
        <c:crossAx val="671209736"/>
        <c:crosses val="autoZero"/>
        <c:crossBetween val="between"/>
      </c:valAx>
      <c:spPr>
        <a:noFill/>
        <a:ln w="25400">
          <a:noFill/>
        </a:ln>
      </c:spPr>
    </c:plotArea>
    <c:legend>
      <c:legendPos val="r"/>
      <c:layout>
        <c:manualLayout>
          <c:xMode val="edge"/>
          <c:yMode val="edge"/>
          <c:x val="8.1626371593421079E-2"/>
          <c:y val="0.76834226520164051"/>
          <c:w val="0.22585475273740571"/>
          <c:h val="0.15885751923595087"/>
        </c:manualLayout>
      </c:layout>
      <c:overlay val="0"/>
      <c:txPr>
        <a:bodyPr/>
        <a:lstStyle/>
        <a:p>
          <a:pPr>
            <a:defRPr sz="800"/>
          </a:pPr>
          <a:endParaRPr lang="es-CO"/>
        </a:p>
      </c:txPr>
    </c:legend>
    <c:plotVisOnly val="1"/>
    <c:dispBlanksAs val="gap"/>
    <c:showDLblsOverMax val="0"/>
  </c:chart>
  <c:spPr>
    <a:noFill/>
    <a:ln>
      <a:noFill/>
    </a:ln>
  </c:spPr>
  <c:printSettings>
    <c:headerFooter/>
    <c:pageMargins b="0.75000000000000755" l="0.70000000000000062" r="0.70000000000000062" t="0.7500000000000075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111111111111212E-2"/>
          <c:y val="3.8381071931226096E-4"/>
          <c:w val="0.93888888888889632"/>
          <c:h val="0.6872047244094488"/>
        </c:manualLayout>
      </c:layout>
      <c:barChart>
        <c:barDir val="col"/>
        <c:grouping val="clustered"/>
        <c:varyColors val="0"/>
        <c:ser>
          <c:idx val="0"/>
          <c:order val="0"/>
          <c:tx>
            <c:strRef>
              <c:f>'Plan de Negocio'!$J$48</c:f>
              <c:strCache>
                <c:ptCount val="1"/>
                <c:pt idx="0">
                  <c:v>Sin Compensación</c:v>
                </c:pt>
              </c:strCache>
            </c:strRef>
          </c:tx>
          <c:spPr>
            <a:solidFill>
              <a:prstClr val="white">
                <a:lumMod val="50000"/>
              </a:prstClr>
            </a:solidFill>
          </c:spPr>
          <c:invertIfNegative val="0"/>
          <c:dLbls>
            <c:spPr>
              <a:noFill/>
              <a:ln>
                <a:noFill/>
              </a:ln>
              <a:effectLst/>
            </c:spPr>
            <c:txPr>
              <a:bodyPr/>
              <a:lstStyle/>
              <a:p>
                <a:pPr>
                  <a:defRPr sz="8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'Plan de Negocio'!$I$49:$I$50</c:f>
              <c:strCache>
                <c:ptCount val="2"/>
                <c:pt idx="0">
                  <c:v>2010R</c:v>
                </c:pt>
                <c:pt idx="1">
                  <c:v>2011E</c:v>
                </c:pt>
              </c:strCache>
            </c:strRef>
          </c:cat>
          <c:val>
            <c:numRef>
              <c:f>'Plan de Negocio'!$J$49:$J$50</c:f>
              <c:numCache>
                <c:formatCode>0.0%</c:formatCode>
                <c:ptCount val="2"/>
                <c:pt idx="0">
                  <c:v>0</c:v>
                </c:pt>
                <c:pt idx="1">
                  <c:v>0</c:v>
                </c:pt>
              </c:numCache>
            </c:numRef>
          </c:val>
          <c:extLst xmlns:c16r2="http://schemas.microsoft.com/office/drawing/2015/06/chart">
            <c:ext xmlns:c16="http://schemas.microsoft.com/office/drawing/2014/chart" uri="{C3380CC4-5D6E-409C-BE32-E72D297353CC}">
              <c16:uniqueId val="{00000000-CC4A-4B20-96C5-BE3E38F9BC70}"/>
            </c:ext>
          </c:extLst>
        </c:ser>
        <c:ser>
          <c:idx val="1"/>
          <c:order val="1"/>
          <c:tx>
            <c:strRef>
              <c:f>'Plan de Negocio'!$K$48</c:f>
              <c:strCache>
                <c:ptCount val="1"/>
                <c:pt idx="0">
                  <c:v>Con Compensación</c:v>
                </c:pt>
              </c:strCache>
            </c:strRef>
          </c:tx>
          <c:spPr>
            <a:solidFill>
              <a:srgbClr val="FF0000"/>
            </a:solidFill>
          </c:spPr>
          <c:invertIfNegative val="0"/>
          <c:dLbls>
            <c:spPr>
              <a:noFill/>
              <a:ln>
                <a:noFill/>
              </a:ln>
              <a:effectLst/>
            </c:spPr>
            <c:txPr>
              <a:bodyPr/>
              <a:lstStyle/>
              <a:p>
                <a:pPr>
                  <a:defRPr sz="800"/>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'Plan de Negocio'!$I$49:$I$50</c:f>
              <c:strCache>
                <c:ptCount val="2"/>
                <c:pt idx="0">
                  <c:v>2010R</c:v>
                </c:pt>
                <c:pt idx="1">
                  <c:v>2011E</c:v>
                </c:pt>
              </c:strCache>
            </c:strRef>
          </c:cat>
          <c:val>
            <c:numRef>
              <c:f>'Plan de Negocio'!$K$49:$K$50</c:f>
              <c:numCache>
                <c:formatCode>0.0%</c:formatCode>
                <c:ptCount val="2"/>
                <c:pt idx="0">
                  <c:v>0</c:v>
                </c:pt>
                <c:pt idx="1">
                  <c:v>0</c:v>
                </c:pt>
              </c:numCache>
            </c:numRef>
          </c:val>
          <c:extLst xmlns:c16r2="http://schemas.microsoft.com/office/drawing/2015/06/chart">
            <c:ext xmlns:c16="http://schemas.microsoft.com/office/drawing/2014/chart" uri="{C3380CC4-5D6E-409C-BE32-E72D297353CC}">
              <c16:uniqueId val="{00000001-CC4A-4B20-96C5-BE3E38F9BC70}"/>
            </c:ext>
          </c:extLst>
        </c:ser>
        <c:dLbls>
          <c:showLegendKey val="0"/>
          <c:showVal val="1"/>
          <c:showCatName val="0"/>
          <c:showSerName val="0"/>
          <c:showPercent val="0"/>
          <c:showBubbleSize val="0"/>
        </c:dLbls>
        <c:gapWidth val="500"/>
        <c:overlap val="-25"/>
        <c:axId val="671211304"/>
        <c:axId val="671207384"/>
      </c:barChart>
      <c:catAx>
        <c:axId val="671211304"/>
        <c:scaling>
          <c:orientation val="minMax"/>
        </c:scaling>
        <c:delete val="0"/>
        <c:axPos val="b"/>
        <c:numFmt formatCode="General" sourceLinked="1"/>
        <c:majorTickMark val="none"/>
        <c:minorTickMark val="none"/>
        <c:tickLblPos val="nextTo"/>
        <c:txPr>
          <a:bodyPr/>
          <a:lstStyle/>
          <a:p>
            <a:pPr>
              <a:defRPr sz="800"/>
            </a:pPr>
            <a:endParaRPr lang="es-CO"/>
          </a:p>
        </c:txPr>
        <c:crossAx val="671207384"/>
        <c:crosses val="autoZero"/>
        <c:auto val="1"/>
        <c:lblAlgn val="ctr"/>
        <c:lblOffset val="100"/>
        <c:noMultiLvlLbl val="0"/>
      </c:catAx>
      <c:valAx>
        <c:axId val="671207384"/>
        <c:scaling>
          <c:orientation val="minMax"/>
        </c:scaling>
        <c:delete val="1"/>
        <c:axPos val="l"/>
        <c:numFmt formatCode="0.0%" sourceLinked="1"/>
        <c:majorTickMark val="out"/>
        <c:minorTickMark val="none"/>
        <c:tickLblPos val="none"/>
        <c:crossAx val="671211304"/>
        <c:crosses val="autoZero"/>
        <c:crossBetween val="between"/>
      </c:valAx>
    </c:plotArea>
    <c:legend>
      <c:legendPos val="t"/>
      <c:layout>
        <c:manualLayout>
          <c:xMode val="edge"/>
          <c:yMode val="edge"/>
          <c:x val="0.2122516433233457"/>
          <c:y val="0.82870364030583465"/>
          <c:w val="0.50312219822079751"/>
          <c:h val="7.5687549925824493E-2"/>
        </c:manualLayout>
      </c:layout>
      <c:overlay val="0"/>
      <c:txPr>
        <a:bodyPr/>
        <a:lstStyle/>
        <a:p>
          <a:pPr>
            <a:defRPr sz="800"/>
          </a:pPr>
          <a:endParaRPr lang="es-CO"/>
        </a:p>
      </c:txPr>
    </c:legend>
    <c:plotVisOnly val="1"/>
    <c:dispBlanksAs val="gap"/>
    <c:showDLblsOverMax val="0"/>
  </c:chart>
  <c:spPr>
    <a:noFill/>
    <a:ln>
      <a:noFill/>
    </a:ln>
  </c:spPr>
  <c:printSettings>
    <c:headerFooter/>
    <c:pageMargins b="0.75000000000000755" l="0.70000000000000062" r="0.70000000000000062" t="0.750000000000007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B$2" fmlaRange="$A$2:$A$3"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image" Target="../media/image5.emf"/><Relationship Id="rId4"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emf"/></Relationships>
</file>

<file path=xl/drawings/_rels/drawing16.xml.rels><?xml version="1.0" encoding="UTF-8" standalone="yes"?>
<Relationships xmlns="http://schemas.openxmlformats.org/package/2006/relationships"><Relationship Id="rId1" Type="http://schemas.openxmlformats.org/officeDocument/2006/relationships/image" Target="../media/image2.emf"/></Relationships>
</file>

<file path=xl/drawings/_rels/drawing17.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chart" Target="../charts/chart9.xml"/><Relationship Id="rId1" Type="http://schemas.openxmlformats.org/officeDocument/2006/relationships/chart" Target="../charts/chart8.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image" Target="../media/image5.emf"/><Relationship Id="rId4" Type="http://schemas.openxmlformats.org/officeDocument/2006/relationships/chart" Target="../charts/chart13.xml"/></Relationships>
</file>

<file path=xl/drawings/_rels/drawing19.xml.rels><?xml version="1.0" encoding="UTF-8" standalone="yes"?>
<Relationships xmlns="http://schemas.openxmlformats.org/package/2006/relationships"><Relationship Id="rId1" Type="http://schemas.openxmlformats.org/officeDocument/2006/relationships/image" Target="../media/image5.emf"/></Relationships>
</file>

<file path=xl/drawings/_rels/drawing20.xml.rels><?xml version="1.0" encoding="UTF-8" standalone="yes"?>
<Relationships xmlns="http://schemas.openxmlformats.org/package/2006/relationships"><Relationship Id="rId1" Type="http://schemas.openxmlformats.org/officeDocument/2006/relationships/image" Target="../media/image5.emf"/></Relationships>
</file>

<file path=xl/drawings/_rels/drawing21.xml.rels><?xml version="1.0" encoding="UTF-8" standalone="yes"?>
<Relationships xmlns="http://schemas.openxmlformats.org/package/2006/relationships"><Relationship Id="rId1" Type="http://schemas.openxmlformats.org/officeDocument/2006/relationships/image" Target="../media/image5.emf"/></Relationships>
</file>

<file path=xl/drawings/_rels/drawing2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image" Target="../media/image8.jpeg"/></Relationships>
</file>

<file path=xl/drawings/_rels/drawing2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image" Target="../media/image5.emf"/></Relationships>
</file>

<file path=xl/drawings/_rels/drawing25.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85725</xdr:colOff>
      <xdr:row>137</xdr:row>
      <xdr:rowOff>76200</xdr:rowOff>
    </xdr:from>
    <xdr:to>
      <xdr:col>13</xdr:col>
      <xdr:colOff>714375</xdr:colOff>
      <xdr:row>149</xdr:row>
      <xdr:rowOff>57150</xdr:rowOff>
    </xdr:to>
    <xdr:sp macro="" textlink="">
      <xdr:nvSpPr>
        <xdr:cNvPr id="2" name="Text Box 3">
          <a:extLst>
            <a:ext uri="{FF2B5EF4-FFF2-40B4-BE49-F238E27FC236}">
              <a16:creationId xmlns="" xmlns:a16="http://schemas.microsoft.com/office/drawing/2014/main" id="{00000000-0008-0000-0000-000002000000}"/>
            </a:ext>
          </a:extLst>
        </xdr:cNvPr>
        <xdr:cNvSpPr txBox="1">
          <a:spLocks noChangeArrowheads="1"/>
        </xdr:cNvSpPr>
      </xdr:nvSpPr>
      <xdr:spPr bwMode="auto">
        <a:xfrm>
          <a:off x="266700" y="19907250"/>
          <a:ext cx="11534775" cy="1905000"/>
        </a:xfrm>
        <a:prstGeom prst="rect">
          <a:avLst/>
        </a:prstGeom>
        <a:noFill/>
        <a:ln w="9525">
          <a:noFill/>
          <a:miter lim="800000"/>
          <a:headEnd/>
          <a:tailEnd/>
        </a:ln>
      </xdr:spPr>
    </xdr:sp>
    <xdr:clientData/>
  </xdr:twoCellAnchor>
  <xdr:twoCellAnchor>
    <xdr:from>
      <xdr:col>1</xdr:col>
      <xdr:colOff>28575</xdr:colOff>
      <xdr:row>124</xdr:row>
      <xdr:rowOff>166407</xdr:rowOff>
    </xdr:from>
    <xdr:to>
      <xdr:col>13</xdr:col>
      <xdr:colOff>695325</xdr:colOff>
      <xdr:row>135</xdr:row>
      <xdr:rowOff>131669</xdr:rowOff>
    </xdr:to>
    <xdr:sp macro="" textlink="">
      <xdr:nvSpPr>
        <xdr:cNvPr id="3" name="Text Box 4">
          <a:extLst>
            <a:ext uri="{FF2B5EF4-FFF2-40B4-BE49-F238E27FC236}">
              <a16:creationId xmlns="" xmlns:a16="http://schemas.microsoft.com/office/drawing/2014/main" id="{00000000-0008-0000-0000-000003000000}"/>
            </a:ext>
          </a:extLst>
        </xdr:cNvPr>
        <xdr:cNvSpPr txBox="1">
          <a:spLocks noChangeArrowheads="1"/>
        </xdr:cNvSpPr>
      </xdr:nvSpPr>
      <xdr:spPr bwMode="auto">
        <a:xfrm>
          <a:off x="209550" y="17863857"/>
          <a:ext cx="11572875" cy="1755962"/>
        </a:xfrm>
        <a:prstGeom prst="rect">
          <a:avLst/>
        </a:prstGeom>
        <a:solidFill>
          <a:schemeClr val="bg1"/>
        </a:solidFill>
        <a:ln w="9525">
          <a:noFill/>
          <a:miter lim="800000"/>
          <a:headEnd/>
          <a:tailEnd/>
        </a:ln>
      </xdr:spPr>
      <xdr:txBody>
        <a:bodyPr/>
        <a:lstStyle/>
        <a:p>
          <a:pPr algn="just"/>
          <a:r>
            <a:rPr lang="en-US" sz="950">
              <a:latin typeface="Arial" panose="020B0604020202020204" pitchFamily="34" charset="0"/>
              <a:cs typeface="Arial" panose="020B0604020202020204" pitchFamily="34" charset="0"/>
            </a:rPr>
            <a:t>Se</a:t>
          </a:r>
          <a:r>
            <a:rPr lang="en-US" sz="950" baseline="0">
              <a:latin typeface="Arial" panose="020B0604020202020204" pitchFamily="34" charset="0"/>
              <a:cs typeface="Arial" panose="020B0604020202020204" pitchFamily="34" charset="0"/>
            </a:rPr>
            <a:t> recomienda operación adicional por 1.2 millones de dolares, el cliente se revisara al corte de diciembre de 2018 en el mes de marzzo de 2019 a  fin de verificar el commportamiento del sector</a:t>
          </a:r>
        </a:p>
        <a:p>
          <a:r>
            <a:rPr lang="en-US" sz="1100">
              <a:effectLst/>
              <a:latin typeface="+mn-lt"/>
              <a:ea typeface="+mn-ea"/>
              <a:cs typeface="+mn-cs"/>
            </a:rPr>
            <a:t>Seguimiento SCAN suspensa por sector azucarero y precios.</a:t>
          </a:r>
          <a:endParaRPr lang="en-US" sz="1000">
            <a:effectLst/>
          </a:endParaRPr>
        </a:p>
        <a:p>
          <a:r>
            <a:rPr lang="en-US" sz="1100">
              <a:effectLst/>
              <a:latin typeface="+mn-lt"/>
              <a:ea typeface="+mn-ea"/>
              <a:cs typeface="+mn-cs"/>
            </a:rPr>
            <a:t>Mantener</a:t>
          </a:r>
          <a:r>
            <a:rPr lang="en-US" sz="1100" baseline="0">
              <a:effectLst/>
              <a:latin typeface="+mn-lt"/>
              <a:ea typeface="+mn-ea"/>
              <a:cs typeface="+mn-cs"/>
            </a:rPr>
            <a:t> posición en USD 21,7MM, y no del total del cupo de USD 26MM. Total de la posición en garantías SBLC</a:t>
          </a:r>
          <a:endParaRPr lang="en-US" sz="1000">
            <a:effectLst/>
          </a:endParaRPr>
        </a:p>
        <a:p>
          <a:r>
            <a:rPr lang="en-US" sz="1100" baseline="0">
              <a:effectLst/>
              <a:latin typeface="+mn-lt"/>
              <a:ea typeface="+mn-ea"/>
              <a:cs typeface="+mn-cs"/>
            </a:rPr>
            <a:t>Seguimiento permanente con el cliente, revisión de cifras 2018, y  evolución del negocio de mejillones en Chile</a:t>
          </a:r>
          <a:endParaRPr lang="en-US" sz="1000">
            <a:effectLst/>
          </a:endParaRPr>
        </a:p>
        <a:p>
          <a:pPr algn="just"/>
          <a:endParaRPr lang="en-US" sz="950">
            <a:latin typeface="Arial" panose="020B0604020202020204" pitchFamily="34" charset="0"/>
            <a:cs typeface="Arial" panose="020B0604020202020204" pitchFamily="34" charset="0"/>
          </a:endParaRPr>
        </a:p>
      </xdr:txBody>
    </xdr:sp>
    <xdr:clientData/>
  </xdr:twoCellAnchor>
  <xdr:twoCellAnchor>
    <xdr:from>
      <xdr:col>1</xdr:col>
      <xdr:colOff>38100</xdr:colOff>
      <xdr:row>103</xdr:row>
      <xdr:rowOff>57150</xdr:rowOff>
    </xdr:from>
    <xdr:to>
      <xdr:col>13</xdr:col>
      <xdr:colOff>733425</xdr:colOff>
      <xdr:row>123</xdr:row>
      <xdr:rowOff>76200</xdr:rowOff>
    </xdr:to>
    <xdr:sp macro="" textlink="">
      <xdr:nvSpPr>
        <xdr:cNvPr id="4" name="Text Box 5">
          <a:extLst>
            <a:ext uri="{FF2B5EF4-FFF2-40B4-BE49-F238E27FC236}">
              <a16:creationId xmlns="" xmlns:a16="http://schemas.microsoft.com/office/drawing/2014/main" id="{00000000-0008-0000-0000-000004000000}"/>
            </a:ext>
          </a:extLst>
        </xdr:cNvPr>
        <xdr:cNvSpPr txBox="1">
          <a:spLocks noChangeArrowheads="1"/>
        </xdr:cNvSpPr>
      </xdr:nvSpPr>
      <xdr:spPr bwMode="auto">
        <a:xfrm>
          <a:off x="219075" y="14497050"/>
          <a:ext cx="11601450" cy="3105150"/>
        </a:xfrm>
        <a:prstGeom prst="rect">
          <a:avLst/>
        </a:prstGeom>
        <a:noFill/>
        <a:ln w="9525">
          <a:noFill/>
          <a:miter lim="800000"/>
          <a:headEnd/>
          <a:tailEnd/>
        </a:ln>
      </xdr:spPr>
    </xdr:sp>
    <xdr:clientData/>
  </xdr:twoCellAnchor>
  <xdr:twoCellAnchor>
    <xdr:from>
      <xdr:col>1</xdr:col>
      <xdr:colOff>443192</xdr:colOff>
      <xdr:row>150</xdr:row>
      <xdr:rowOff>0</xdr:rowOff>
    </xdr:from>
    <xdr:to>
      <xdr:col>11</xdr:col>
      <xdr:colOff>415738</xdr:colOff>
      <xdr:row>150</xdr:row>
      <xdr:rowOff>152400</xdr:rowOff>
    </xdr:to>
    <xdr:sp macro="" textlink="">
      <xdr:nvSpPr>
        <xdr:cNvPr id="5" name="Text Box 8">
          <a:extLst>
            <a:ext uri="{FF2B5EF4-FFF2-40B4-BE49-F238E27FC236}">
              <a16:creationId xmlns="" xmlns:a16="http://schemas.microsoft.com/office/drawing/2014/main" id="{00000000-0008-0000-0000-000005000000}"/>
            </a:ext>
          </a:extLst>
        </xdr:cNvPr>
        <xdr:cNvSpPr txBox="1">
          <a:spLocks noChangeArrowheads="1"/>
        </xdr:cNvSpPr>
      </xdr:nvSpPr>
      <xdr:spPr bwMode="auto">
        <a:xfrm>
          <a:off x="624167" y="21907500"/>
          <a:ext cx="8773646" cy="152400"/>
        </a:xfrm>
        <a:prstGeom prst="rect">
          <a:avLst/>
        </a:prstGeom>
        <a:noFill/>
        <a:ln w="9525">
          <a:noFill/>
          <a:miter lim="800000"/>
          <a:headEnd/>
          <a:tailEnd/>
        </a:ln>
      </xdr:spPr>
    </xdr:sp>
    <xdr:clientData/>
  </xdr:twoCellAnchor>
  <xdr:twoCellAnchor>
    <xdr:from>
      <xdr:col>1</xdr:col>
      <xdr:colOff>19050</xdr:colOff>
      <xdr:row>103</xdr:row>
      <xdr:rowOff>19050</xdr:rowOff>
    </xdr:from>
    <xdr:to>
      <xdr:col>13</xdr:col>
      <xdr:colOff>806823</xdr:colOff>
      <xdr:row>123</xdr:row>
      <xdr:rowOff>133350</xdr:rowOff>
    </xdr:to>
    <xdr:sp macro="" textlink="">
      <xdr:nvSpPr>
        <xdr:cNvPr id="6" name="7 CuadroTexto">
          <a:extLst>
            <a:ext uri="{FF2B5EF4-FFF2-40B4-BE49-F238E27FC236}">
              <a16:creationId xmlns="" xmlns:a16="http://schemas.microsoft.com/office/drawing/2014/main" id="{00000000-0008-0000-0000-000006000000}"/>
            </a:ext>
          </a:extLst>
        </xdr:cNvPr>
        <xdr:cNvSpPr txBox="1"/>
      </xdr:nvSpPr>
      <xdr:spPr>
        <a:xfrm>
          <a:off x="200025" y="14458950"/>
          <a:ext cx="11693898" cy="32004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_tradnl" sz="1100">
              <a:solidFill>
                <a:schemeClr val="dk1"/>
              </a:solidFill>
              <a:effectLst/>
              <a:latin typeface="+mn-lt"/>
              <a:ea typeface="+mn-ea"/>
              <a:cs typeface="+mn-cs"/>
            </a:rPr>
            <a:t>Durante 2017 la molienda nacional llegó a 24,1MM de toneladas creciendo un 3.8% respecto a 2016; la producción de azúcar nacional llego a 2,4MM de toneladas, el precio continuó cayendo un  6.6% respecto a 2016. </a:t>
          </a:r>
          <a:endParaRPr lang="en-US">
            <a:effectLst/>
          </a:endParaRPr>
        </a:p>
        <a:p>
          <a:r>
            <a:rPr lang="es-ES_tradnl" sz="1100">
              <a:solidFill>
                <a:schemeClr val="dk1"/>
              </a:solidFill>
              <a:effectLst/>
              <a:latin typeface="+mn-lt"/>
              <a:ea typeface="+mn-ea"/>
              <a:cs typeface="+mn-cs"/>
            </a:rPr>
            <a:t> </a:t>
          </a:r>
          <a:endParaRPr lang="en-US">
            <a:effectLst/>
          </a:endParaRPr>
        </a:p>
        <a:p>
          <a:r>
            <a:rPr lang="es-ES_tradnl" sz="1100">
              <a:solidFill>
                <a:schemeClr val="dk1"/>
              </a:solidFill>
              <a:effectLst/>
              <a:latin typeface="+mn-lt"/>
              <a:ea typeface="+mn-ea"/>
              <a:cs typeface="+mn-cs"/>
            </a:rPr>
            <a:t>Tanto el nivel de ingresos de la compañía como sus márgenes de rentabilidad se ven afectados por la fluctuación de los precios del azúcar desde inicios de 2017 y tocando niveles mínimos a corte de durante</a:t>
          </a:r>
          <a:r>
            <a:rPr lang="es-ES_tradnl" sz="1100" baseline="0">
              <a:solidFill>
                <a:schemeClr val="dk1"/>
              </a:solidFill>
              <a:effectLst/>
              <a:latin typeface="+mn-lt"/>
              <a:ea typeface="+mn-ea"/>
              <a:cs typeface="+mn-cs"/>
            </a:rPr>
            <a:t> </a:t>
          </a:r>
          <a:r>
            <a:rPr lang="es-ES_tradnl" sz="1100">
              <a:solidFill>
                <a:schemeClr val="dk1"/>
              </a:solidFill>
              <a:effectLst/>
              <a:latin typeface="+mn-lt"/>
              <a:ea typeface="+mn-ea"/>
              <a:cs typeface="+mn-cs"/>
            </a:rPr>
            <a:t>2018. Adicionalmente, debido a las lluvias frecuentes el nivel de sacarosa disminuyó y de la mano la producción a nivel nacional.</a:t>
          </a:r>
          <a:endParaRPr lang="en-US">
            <a:effectLst/>
          </a:endParaRPr>
        </a:p>
        <a:p>
          <a:r>
            <a:rPr lang="es-ES_tradnl" sz="1100">
              <a:solidFill>
                <a:schemeClr val="dk1"/>
              </a:solidFill>
              <a:effectLst/>
              <a:latin typeface="+mn-lt"/>
              <a:ea typeface="+mn-ea"/>
              <a:cs typeface="+mn-cs"/>
            </a:rPr>
            <a:t>Se mantiene una política de optimización a nivel de rentabilidad relacionada con su estrategia de negocio, la cual, esta enfocada hacia el mejoramientos en la producción, productividad y, la mayor oferta de productos de valor agregado en sus operaciones, lo anterior acompañado</a:t>
          </a:r>
          <a:r>
            <a:rPr lang="es-ES_tradnl" sz="1100" baseline="0">
              <a:solidFill>
                <a:schemeClr val="dk1"/>
              </a:solidFill>
              <a:effectLst/>
              <a:latin typeface="+mn-lt"/>
              <a:ea typeface="+mn-ea"/>
              <a:cs typeface="+mn-cs"/>
            </a:rPr>
            <a:t> un bajo nivel de inversiones para los próximos periodos buscando optimizar los recursos de la compañía</a:t>
          </a:r>
          <a:r>
            <a:rPr lang="es-ES_tradnl" sz="1100">
              <a:solidFill>
                <a:schemeClr val="dk1"/>
              </a:solidFill>
              <a:effectLst/>
              <a:latin typeface="+mn-lt"/>
              <a:ea typeface="+mn-ea"/>
              <a:cs typeface="+mn-cs"/>
            </a:rPr>
            <a:t>.</a:t>
          </a:r>
          <a:endParaRPr lang="en-US">
            <a:effectLst/>
          </a:endParaRPr>
        </a:p>
        <a:p>
          <a:r>
            <a:rPr lang="es-ES_tradnl" sz="1100">
              <a:solidFill>
                <a:schemeClr val="dk1"/>
              </a:solidFill>
              <a:effectLst/>
              <a:latin typeface="+mn-lt"/>
              <a:ea typeface="+mn-ea"/>
              <a:cs typeface="+mn-cs"/>
            </a:rPr>
            <a:t>Para 2019, se espera un sector en</a:t>
          </a:r>
          <a:r>
            <a:rPr lang="es-ES_tradnl" sz="1100" baseline="0">
              <a:solidFill>
                <a:schemeClr val="dk1"/>
              </a:solidFill>
              <a:effectLst/>
              <a:latin typeface="+mn-lt"/>
              <a:ea typeface="+mn-ea"/>
              <a:cs typeface="+mn-cs"/>
            </a:rPr>
            <a:t> recuperación con un deficit en los inventarios, por lo que se estima que el precio empiece a normalizarse. </a:t>
          </a:r>
          <a:endParaRPr lang="en-US">
            <a:effectLst/>
          </a:endParaRPr>
        </a:p>
        <a:p>
          <a:endParaRPr lang="es-CO" sz="950" b="0">
            <a:latin typeface="Arial" panose="020B0604020202020204" pitchFamily="34" charset="0"/>
            <a:cs typeface="Arial" panose="020B0604020202020204" pitchFamily="34" charset="0"/>
          </a:endParaRPr>
        </a:p>
      </xdr:txBody>
    </xdr:sp>
    <xdr:clientData/>
  </xdr:twoCellAnchor>
  <xdr:twoCellAnchor>
    <xdr:from>
      <xdr:col>1</xdr:col>
      <xdr:colOff>28575</xdr:colOff>
      <xdr:row>137</xdr:row>
      <xdr:rowOff>19049</xdr:rowOff>
    </xdr:from>
    <xdr:to>
      <xdr:col>13</xdr:col>
      <xdr:colOff>676275</xdr:colOff>
      <xdr:row>149</xdr:row>
      <xdr:rowOff>123824</xdr:rowOff>
    </xdr:to>
    <xdr:sp macro="" textlink="">
      <xdr:nvSpPr>
        <xdr:cNvPr id="7" name="5 CuadroTexto">
          <a:extLst>
            <a:ext uri="{FF2B5EF4-FFF2-40B4-BE49-F238E27FC236}">
              <a16:creationId xmlns="" xmlns:a16="http://schemas.microsoft.com/office/drawing/2014/main" id="{00000000-0008-0000-0000-000007000000}"/>
            </a:ext>
          </a:extLst>
        </xdr:cNvPr>
        <xdr:cNvSpPr txBox="1"/>
      </xdr:nvSpPr>
      <xdr:spPr>
        <a:xfrm>
          <a:off x="209550" y="19850099"/>
          <a:ext cx="11553825" cy="2028825"/>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endParaRPr lang="es-CO" sz="950">
            <a:latin typeface="Arial" panose="020B0604020202020204" pitchFamily="34" charset="0"/>
            <a:cs typeface="Arial" panose="020B0604020202020204" pitchFamily="34" charset="0"/>
          </a:endParaRPr>
        </a:p>
      </xdr:txBody>
    </xdr:sp>
    <xdr:clientData/>
  </xdr:twoCellAnchor>
  <xdr:oneCellAnchor>
    <xdr:from>
      <xdr:col>1</xdr:col>
      <xdr:colOff>212912</xdr:colOff>
      <xdr:row>93</xdr:row>
      <xdr:rowOff>78441</xdr:rowOff>
    </xdr:from>
    <xdr:ext cx="8498415" cy="254557"/>
    <xdr:sp macro="" textlink="">
      <xdr:nvSpPr>
        <xdr:cNvPr id="8" name="CuadroTexto 7">
          <a:extLst>
            <a:ext uri="{FF2B5EF4-FFF2-40B4-BE49-F238E27FC236}">
              <a16:creationId xmlns="" xmlns:a16="http://schemas.microsoft.com/office/drawing/2014/main" id="{00000000-0008-0000-0000-000008000000}"/>
            </a:ext>
          </a:extLst>
        </xdr:cNvPr>
        <xdr:cNvSpPr txBox="1"/>
      </xdr:nvSpPr>
      <xdr:spPr>
        <a:xfrm>
          <a:off x="393887" y="12860991"/>
          <a:ext cx="8498415" cy="254557"/>
        </a:xfrm>
        <a:prstGeom prst="rect">
          <a:avLst/>
        </a:prstGeom>
        <a:solidFill>
          <a:schemeClr val="bg1">
            <a:lumMod val="95000"/>
          </a:schemeClr>
        </a:solidFill>
        <a:ln cap="rnd">
          <a:solidFill>
            <a:schemeClr val="bg1">
              <a:lumMod val="9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latin typeface="Arial" panose="020B0604020202020204" pitchFamily="34" charset="0"/>
              <a:cs typeface="Arial" panose="020B0604020202020204" pitchFamily="34" charset="0"/>
            </a:rPr>
            <a:t>RECOMENDACION DEL COMITE:</a:t>
          </a:r>
        </a:p>
      </xdr:txBody>
    </xdr:sp>
    <xdr:clientData/>
  </xdr:oneCellAnchor>
  <xdr:twoCellAnchor editAs="oneCell">
    <xdr:from>
      <xdr:col>1</xdr:col>
      <xdr:colOff>11204</xdr:colOff>
      <xdr:row>2</xdr:row>
      <xdr:rowOff>11207</xdr:rowOff>
    </xdr:from>
    <xdr:to>
      <xdr:col>4</xdr:col>
      <xdr:colOff>986117</xdr:colOff>
      <xdr:row>6</xdr:row>
      <xdr:rowOff>4169</xdr:rowOff>
    </xdr:to>
    <xdr:pic>
      <xdr:nvPicPr>
        <xdr:cNvPr id="9" name="1 Imagen">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2179" y="344582"/>
          <a:ext cx="3632388" cy="640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2</xdr:col>
      <xdr:colOff>971550</xdr:colOff>
      <xdr:row>3</xdr:row>
      <xdr:rowOff>76200</xdr:rowOff>
    </xdr:to>
    <xdr:pic>
      <xdr:nvPicPr>
        <xdr:cNvPr id="40071" name="Imagen 3">
          <a:extLst>
            <a:ext uri="{FF2B5EF4-FFF2-40B4-BE49-F238E27FC236}">
              <a16:creationId xmlns="" xmlns:a16="http://schemas.microsoft.com/office/drawing/2014/main" id="{00000000-0008-0000-0200-0000879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95300" y="85725"/>
          <a:ext cx="1428750" cy="476250"/>
        </a:xfrm>
        <a:prstGeom prst="rect">
          <a:avLst/>
        </a:prstGeom>
        <a:solidFill>
          <a:srgbClr val="FFFFFF"/>
        </a:solidFill>
        <a:ln w="1">
          <a:noFill/>
          <a:miter lim="800000"/>
          <a:headEnd/>
          <a:tailEnd/>
        </a:ln>
      </xdr:spPr>
    </xdr:pic>
    <xdr:clientData/>
  </xdr:twoCellAnchor>
  <mc:AlternateContent xmlns:mc="http://schemas.openxmlformats.org/markup-compatibility/2006">
    <mc:Choice xmlns:a14="http://schemas.microsoft.com/office/drawing/2010/main" Requires="a14">
      <xdr:twoCellAnchor>
        <xdr:from>
          <xdr:col>11</xdr:col>
          <xdr:colOff>409575</xdr:colOff>
          <xdr:row>11</xdr:row>
          <xdr:rowOff>114300</xdr:rowOff>
        </xdr:from>
        <xdr:to>
          <xdr:col>13</xdr:col>
          <xdr:colOff>619125</xdr:colOff>
          <xdr:row>15</xdr:row>
          <xdr:rowOff>95250</xdr:rowOff>
        </xdr:to>
        <xdr:sp macro="" textlink="">
          <xdr:nvSpPr>
            <xdr:cNvPr id="1484803" name="Button 3" hidden="1">
              <a:extLst>
                <a:ext uri="{63B3BB69-23CF-44E3-9099-C40C66FF867C}">
                  <a14:compatExt spid="_x0000_s14848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900" b="0" i="0" u="none" strike="noStrike" baseline="0">
                  <a:solidFill>
                    <a:srgbClr val="000000"/>
                  </a:solidFill>
                  <a:latin typeface="Tahoma"/>
                  <a:ea typeface="Tahoma"/>
                  <a:cs typeface="Tahoma"/>
                </a:rPr>
                <a:t>Ejecutar Macro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228600</xdr:colOff>
      <xdr:row>188</xdr:row>
      <xdr:rowOff>57150</xdr:rowOff>
    </xdr:from>
    <xdr:to>
      <xdr:col>15</xdr:col>
      <xdr:colOff>47625</xdr:colOff>
      <xdr:row>207</xdr:row>
      <xdr:rowOff>85725</xdr:rowOff>
    </xdr:to>
    <xdr:graphicFrame macro="">
      <xdr:nvGraphicFramePr>
        <xdr:cNvPr id="3" name="2 Gráfico">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xdr:colOff>
      <xdr:row>215</xdr:row>
      <xdr:rowOff>28574</xdr:rowOff>
    </xdr:from>
    <xdr:to>
      <xdr:col>12</xdr:col>
      <xdr:colOff>514350</xdr:colOff>
      <xdr:row>235</xdr:row>
      <xdr:rowOff>66675</xdr:rowOff>
    </xdr:to>
    <xdr:graphicFrame macro="">
      <xdr:nvGraphicFramePr>
        <xdr:cNvPr id="4" name="3 Gráfico">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342900</xdr:colOff>
      <xdr:row>245</xdr:row>
      <xdr:rowOff>95250</xdr:rowOff>
    </xdr:from>
    <xdr:to>
      <xdr:col>11</xdr:col>
      <xdr:colOff>571500</xdr:colOff>
      <xdr:row>264</xdr:row>
      <xdr:rowOff>123825</xdr:rowOff>
    </xdr:to>
    <xdr:graphicFrame macro="">
      <xdr:nvGraphicFramePr>
        <xdr:cNvPr id="5" name="4 Gráfico">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76200</xdr:colOff>
          <xdr:row>1</xdr:row>
          <xdr:rowOff>9525</xdr:rowOff>
        </xdr:from>
        <xdr:to>
          <xdr:col>2</xdr:col>
          <xdr:colOff>657225</xdr:colOff>
          <xdr:row>2</xdr:row>
          <xdr:rowOff>114300</xdr:rowOff>
        </xdr:to>
        <xdr:sp macro="" textlink="">
          <xdr:nvSpPr>
            <xdr:cNvPr id="787465" name="Drop Down 9" hidden="1">
              <a:extLst>
                <a:ext uri="{63B3BB69-23CF-44E3-9099-C40C66FF867C}">
                  <a14:compatExt spid="_x0000_s787465"/>
                </a:ext>
                <a:ext uri="{FF2B5EF4-FFF2-40B4-BE49-F238E27FC236}">
                  <a16:creationId xmlns="" xmlns:a16="http://schemas.microsoft.com/office/drawing/2014/main" id="{00000000-0008-0000-0400-0000090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12</xdr:col>
      <xdr:colOff>19050</xdr:colOff>
      <xdr:row>1</xdr:row>
      <xdr:rowOff>95250</xdr:rowOff>
    </xdr:from>
    <xdr:to>
      <xdr:col>12</xdr:col>
      <xdr:colOff>19050</xdr:colOff>
      <xdr:row>1</xdr:row>
      <xdr:rowOff>419100</xdr:rowOff>
    </xdr:to>
    <xdr:sp macro="" textlink="">
      <xdr:nvSpPr>
        <xdr:cNvPr id="2" name="Line 1"/>
        <xdr:cNvSpPr>
          <a:spLocks noChangeShapeType="1"/>
        </xdr:cNvSpPr>
      </xdr:nvSpPr>
      <xdr:spPr bwMode="auto">
        <a:xfrm>
          <a:off x="9305925" y="295275"/>
          <a:ext cx="0" cy="323850"/>
        </a:xfrm>
        <a:prstGeom prst="line">
          <a:avLst/>
        </a:prstGeom>
        <a:noFill/>
        <a:ln w="76200">
          <a:solidFill>
            <a:srgbClr val="DC241F"/>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1</xdr:col>
      <xdr:colOff>0</xdr:colOff>
      <xdr:row>30</xdr:row>
      <xdr:rowOff>104775</xdr:rowOff>
    </xdr:from>
    <xdr:to>
      <xdr:col>1</xdr:col>
      <xdr:colOff>0</xdr:colOff>
      <xdr:row>30</xdr:row>
      <xdr:rowOff>104775</xdr:rowOff>
    </xdr:to>
    <xdr:pic>
      <xdr:nvPicPr>
        <xdr:cNvPr id="3" name="Picture 12" descr="FlechaCuadr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 y="5705475"/>
          <a:ext cx="104775" cy="9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32</xdr:row>
      <xdr:rowOff>476250</xdr:rowOff>
    </xdr:from>
    <xdr:to>
      <xdr:col>1</xdr:col>
      <xdr:colOff>0</xdr:colOff>
      <xdr:row>34</xdr:row>
      <xdr:rowOff>28575</xdr:rowOff>
    </xdr:to>
    <xdr:pic>
      <xdr:nvPicPr>
        <xdr:cNvPr id="4" name="Picture 16" descr="FlechaCuadr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9150" y="6619875"/>
          <a:ext cx="104775" cy="9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34</xdr:row>
      <xdr:rowOff>295275</xdr:rowOff>
    </xdr:from>
    <xdr:to>
      <xdr:col>1</xdr:col>
      <xdr:colOff>0</xdr:colOff>
      <xdr:row>35</xdr:row>
      <xdr:rowOff>104775</xdr:rowOff>
    </xdr:to>
    <xdr:pic>
      <xdr:nvPicPr>
        <xdr:cNvPr id="5" name="Picture 17" descr="FlechaCuadr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 y="7286625"/>
          <a:ext cx="104775" cy="9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35</xdr:row>
      <xdr:rowOff>171450</xdr:rowOff>
    </xdr:from>
    <xdr:to>
      <xdr:col>1</xdr:col>
      <xdr:colOff>0</xdr:colOff>
      <xdr:row>36</xdr:row>
      <xdr:rowOff>104775</xdr:rowOff>
    </xdr:to>
    <xdr:pic>
      <xdr:nvPicPr>
        <xdr:cNvPr id="6" name="Picture 18" descr="FlechaCuadr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 y="7943850"/>
          <a:ext cx="104775" cy="9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39</xdr:row>
      <xdr:rowOff>19050</xdr:rowOff>
    </xdr:from>
    <xdr:to>
      <xdr:col>1</xdr:col>
      <xdr:colOff>0</xdr:colOff>
      <xdr:row>39</xdr:row>
      <xdr:rowOff>19050</xdr:rowOff>
    </xdr:to>
    <xdr:pic>
      <xdr:nvPicPr>
        <xdr:cNvPr id="7" name="Picture 19" descr="FlechaCuadr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 y="8629650"/>
          <a:ext cx="1047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28575</xdr:colOff>
      <xdr:row>44</xdr:row>
      <xdr:rowOff>361950</xdr:rowOff>
    </xdr:from>
    <xdr:to>
      <xdr:col>1</xdr:col>
      <xdr:colOff>19050</xdr:colOff>
      <xdr:row>47</xdr:row>
      <xdr:rowOff>0</xdr:rowOff>
    </xdr:to>
    <xdr:pic>
      <xdr:nvPicPr>
        <xdr:cNvPr id="8" name="Picture 22" descr="logo"/>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 y="10687050"/>
          <a:ext cx="9239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32</xdr:row>
      <xdr:rowOff>19050</xdr:rowOff>
    </xdr:from>
    <xdr:to>
      <xdr:col>1</xdr:col>
      <xdr:colOff>0</xdr:colOff>
      <xdr:row>32</xdr:row>
      <xdr:rowOff>19050</xdr:rowOff>
    </xdr:to>
    <xdr:pic>
      <xdr:nvPicPr>
        <xdr:cNvPr id="10" name="Picture 84" descr="FlechaCuadr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 y="6105525"/>
          <a:ext cx="104775" cy="9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742950</xdr:colOff>
      <xdr:row>8</xdr:row>
      <xdr:rowOff>85725</xdr:rowOff>
    </xdr:from>
    <xdr:to>
      <xdr:col>7</xdr:col>
      <xdr:colOff>209550</xdr:colOff>
      <xdr:row>22</xdr:row>
      <xdr:rowOff>0</xdr:rowOff>
    </xdr:to>
    <xdr:graphicFrame macro="">
      <xdr:nvGraphicFramePr>
        <xdr:cNvPr id="883932" name="2 Gráfico">
          <a:extLst>
            <a:ext uri="{FF2B5EF4-FFF2-40B4-BE49-F238E27FC236}">
              <a16:creationId xmlns="" xmlns:a16="http://schemas.microsoft.com/office/drawing/2014/main" id="{00000000-0008-0000-0900-0000DC7C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219075</xdr:colOff>
      <xdr:row>22</xdr:row>
      <xdr:rowOff>123826</xdr:rowOff>
    </xdr:from>
    <xdr:to>
      <xdr:col>7</xdr:col>
      <xdr:colOff>552450</xdr:colOff>
      <xdr:row>38</xdr:row>
      <xdr:rowOff>47626</xdr:rowOff>
    </xdr:to>
    <xdr:graphicFrame macro="">
      <xdr:nvGraphicFramePr>
        <xdr:cNvPr id="883933" name="3 Gráfico">
          <a:extLst>
            <a:ext uri="{FF2B5EF4-FFF2-40B4-BE49-F238E27FC236}">
              <a16:creationId xmlns="" xmlns:a16="http://schemas.microsoft.com/office/drawing/2014/main" id="{00000000-0008-0000-0900-0000DD7C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133350</xdr:colOff>
      <xdr:row>19</xdr:row>
      <xdr:rowOff>85725</xdr:rowOff>
    </xdr:from>
    <xdr:to>
      <xdr:col>7</xdr:col>
      <xdr:colOff>0</xdr:colOff>
      <xdr:row>21</xdr:row>
      <xdr:rowOff>19050</xdr:rowOff>
    </xdr:to>
    <xdr:sp macro="" textlink="">
      <xdr:nvSpPr>
        <xdr:cNvPr id="4" name="3 CuadroTexto">
          <a:extLst>
            <a:ext uri="{FF2B5EF4-FFF2-40B4-BE49-F238E27FC236}">
              <a16:creationId xmlns="" xmlns:a16="http://schemas.microsoft.com/office/drawing/2014/main" id="{00000000-0008-0000-0900-000004000000}"/>
            </a:ext>
          </a:extLst>
        </xdr:cNvPr>
        <xdr:cNvSpPr txBox="1"/>
      </xdr:nvSpPr>
      <xdr:spPr>
        <a:xfrm>
          <a:off x="3581400" y="2886075"/>
          <a:ext cx="504825"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700" b="1">
              <a:solidFill>
                <a:srgbClr val="FF0000"/>
              </a:solidFill>
              <a:latin typeface="Arial" pitchFamily="34" charset="0"/>
              <a:cs typeface="Arial" pitchFamily="34" charset="0"/>
            </a:rPr>
            <a:t>CAGR</a:t>
          </a:r>
        </a:p>
      </xdr:txBody>
    </xdr:sp>
    <xdr:clientData/>
  </xdr:twoCellAnchor>
  <xdr:twoCellAnchor>
    <xdr:from>
      <xdr:col>1</xdr:col>
      <xdr:colOff>695325</xdr:colOff>
      <xdr:row>23</xdr:row>
      <xdr:rowOff>133350</xdr:rowOff>
    </xdr:from>
    <xdr:to>
      <xdr:col>4</xdr:col>
      <xdr:colOff>628650</xdr:colOff>
      <xdr:row>25</xdr:row>
      <xdr:rowOff>76200</xdr:rowOff>
    </xdr:to>
    <xdr:sp macro="" textlink="">
      <xdr:nvSpPr>
        <xdr:cNvPr id="5" name="4 CuadroTexto">
          <a:extLst>
            <a:ext uri="{FF2B5EF4-FFF2-40B4-BE49-F238E27FC236}">
              <a16:creationId xmlns="" xmlns:a16="http://schemas.microsoft.com/office/drawing/2014/main" id="{00000000-0008-0000-0900-000005000000}"/>
            </a:ext>
          </a:extLst>
        </xdr:cNvPr>
        <xdr:cNvSpPr txBox="1"/>
      </xdr:nvSpPr>
      <xdr:spPr>
        <a:xfrm>
          <a:off x="695325" y="5848350"/>
          <a:ext cx="2219325" cy="2286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800" b="1">
              <a:solidFill>
                <a:schemeClr val="tx1">
                  <a:lumMod val="65000"/>
                  <a:lumOff val="35000"/>
                </a:schemeClr>
              </a:solidFill>
              <a:latin typeface="Arial" pitchFamily="34" charset="0"/>
              <a:cs typeface="Arial" pitchFamily="34" charset="0"/>
            </a:rPr>
            <a:t>Deuda Financiera (COP MM)</a:t>
          </a:r>
        </a:p>
      </xdr:txBody>
    </xdr:sp>
    <xdr:clientData/>
  </xdr:twoCellAnchor>
  <xdr:twoCellAnchor>
    <xdr:from>
      <xdr:col>7</xdr:col>
      <xdr:colOff>685800</xdr:colOff>
      <xdr:row>8</xdr:row>
      <xdr:rowOff>66675</xdr:rowOff>
    </xdr:from>
    <xdr:to>
      <xdr:col>13</xdr:col>
      <xdr:colOff>228600</xdr:colOff>
      <xdr:row>21</xdr:row>
      <xdr:rowOff>95250</xdr:rowOff>
    </xdr:to>
    <xdr:graphicFrame macro="">
      <xdr:nvGraphicFramePr>
        <xdr:cNvPr id="883936" name="2 Gráfico">
          <a:extLst>
            <a:ext uri="{FF2B5EF4-FFF2-40B4-BE49-F238E27FC236}">
              <a16:creationId xmlns="" xmlns:a16="http://schemas.microsoft.com/office/drawing/2014/main" id="{00000000-0008-0000-0900-0000E07C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76200</xdr:colOff>
      <xdr:row>17</xdr:row>
      <xdr:rowOff>114300</xdr:rowOff>
    </xdr:from>
    <xdr:to>
      <xdr:col>12</xdr:col>
      <xdr:colOff>581025</xdr:colOff>
      <xdr:row>19</xdr:row>
      <xdr:rowOff>47625</xdr:rowOff>
    </xdr:to>
    <xdr:sp macro="" textlink="">
      <xdr:nvSpPr>
        <xdr:cNvPr id="8" name="7 CuadroTexto">
          <a:extLst>
            <a:ext uri="{FF2B5EF4-FFF2-40B4-BE49-F238E27FC236}">
              <a16:creationId xmlns="" xmlns:a16="http://schemas.microsoft.com/office/drawing/2014/main" id="{00000000-0008-0000-0900-000008000000}"/>
            </a:ext>
          </a:extLst>
        </xdr:cNvPr>
        <xdr:cNvSpPr txBox="1"/>
      </xdr:nvSpPr>
      <xdr:spPr>
        <a:xfrm>
          <a:off x="8458200" y="3114675"/>
          <a:ext cx="504825"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700" b="1">
              <a:solidFill>
                <a:srgbClr val="FF0000"/>
              </a:solidFill>
              <a:latin typeface="Arial" pitchFamily="34" charset="0"/>
              <a:cs typeface="Arial" pitchFamily="34" charset="0"/>
            </a:rPr>
            <a:t>CAGR</a:t>
          </a:r>
        </a:p>
      </xdr:txBody>
    </xdr:sp>
    <xdr:clientData/>
  </xdr:twoCellAnchor>
  <xdr:twoCellAnchor>
    <xdr:from>
      <xdr:col>8</xdr:col>
      <xdr:colOff>19050</xdr:colOff>
      <xdr:row>22</xdr:row>
      <xdr:rowOff>104774</xdr:rowOff>
    </xdr:from>
    <xdr:to>
      <xdr:col>13</xdr:col>
      <xdr:colOff>238125</xdr:colOff>
      <xdr:row>38</xdr:row>
      <xdr:rowOff>57149</xdr:rowOff>
    </xdr:to>
    <xdr:graphicFrame macro="">
      <xdr:nvGraphicFramePr>
        <xdr:cNvPr id="883938" name="8 Gráfico">
          <a:extLst>
            <a:ext uri="{FF2B5EF4-FFF2-40B4-BE49-F238E27FC236}">
              <a16:creationId xmlns="" xmlns:a16="http://schemas.microsoft.com/office/drawing/2014/main" id="{00000000-0008-0000-0900-0000E27C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9525</xdr:colOff>
      <xdr:row>23</xdr:row>
      <xdr:rowOff>57150</xdr:rowOff>
    </xdr:from>
    <xdr:to>
      <xdr:col>10</xdr:col>
      <xdr:colOff>704850</xdr:colOff>
      <xdr:row>25</xdr:row>
      <xdr:rowOff>0</xdr:rowOff>
    </xdr:to>
    <xdr:sp macro="" textlink="">
      <xdr:nvSpPr>
        <xdr:cNvPr id="10" name="9 CuadroTexto">
          <a:extLst>
            <a:ext uri="{FF2B5EF4-FFF2-40B4-BE49-F238E27FC236}">
              <a16:creationId xmlns="" xmlns:a16="http://schemas.microsoft.com/office/drawing/2014/main" id="{00000000-0008-0000-0900-00000A000000}"/>
            </a:ext>
          </a:extLst>
        </xdr:cNvPr>
        <xdr:cNvSpPr txBox="1"/>
      </xdr:nvSpPr>
      <xdr:spPr>
        <a:xfrm>
          <a:off x="5343525" y="4057650"/>
          <a:ext cx="2219325" cy="2286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800" b="1">
              <a:solidFill>
                <a:schemeClr val="tx1">
                  <a:lumMod val="65000"/>
                  <a:lumOff val="35000"/>
                </a:schemeClr>
              </a:solidFill>
              <a:latin typeface="Arial" pitchFamily="34" charset="0"/>
              <a:cs typeface="Arial" pitchFamily="34" charset="0"/>
            </a:rPr>
            <a:t>Deuda Financiera / EBITDA</a:t>
          </a:r>
        </a:p>
      </xdr:txBody>
    </xdr:sp>
    <xdr:clientData/>
  </xdr:twoCellAnchor>
  <xdr:twoCellAnchor>
    <xdr:from>
      <xdr:col>12</xdr:col>
      <xdr:colOff>104775</xdr:colOff>
      <xdr:row>1</xdr:row>
      <xdr:rowOff>38100</xdr:rowOff>
    </xdr:from>
    <xdr:to>
      <xdr:col>12</xdr:col>
      <xdr:colOff>104775</xdr:colOff>
      <xdr:row>2</xdr:row>
      <xdr:rowOff>28575</xdr:rowOff>
    </xdr:to>
    <xdr:cxnSp macro="">
      <xdr:nvCxnSpPr>
        <xdr:cNvPr id="883940" name="8 Conector recto">
          <a:extLst>
            <a:ext uri="{FF2B5EF4-FFF2-40B4-BE49-F238E27FC236}">
              <a16:creationId xmlns="" xmlns:a16="http://schemas.microsoft.com/office/drawing/2014/main" id="{00000000-0008-0000-0900-0000E47C0D00}"/>
            </a:ext>
          </a:extLst>
        </xdr:cNvPr>
        <xdr:cNvCxnSpPr>
          <a:cxnSpLocks noChangeShapeType="1"/>
        </xdr:cNvCxnSpPr>
      </xdr:nvCxnSpPr>
      <xdr:spPr bwMode="auto">
        <a:xfrm rot="5400000">
          <a:off x="7710487" y="290513"/>
          <a:ext cx="219075" cy="0"/>
        </a:xfrm>
        <a:prstGeom prst="line">
          <a:avLst/>
        </a:prstGeom>
        <a:noFill/>
        <a:ln w="25400" algn="ctr">
          <a:solidFill>
            <a:srgbClr val="000000"/>
          </a:solidFill>
          <a:round/>
          <a:headEnd/>
          <a:tailEnd/>
        </a:ln>
      </xdr:spPr>
    </xdr:cxnSp>
    <xdr:clientData/>
  </xdr:twoCellAnchor>
  <xdr:twoCellAnchor>
    <xdr:from>
      <xdr:col>12</xdr:col>
      <xdr:colOff>714375</xdr:colOff>
      <xdr:row>1</xdr:row>
      <xdr:rowOff>19050</xdr:rowOff>
    </xdr:from>
    <xdr:to>
      <xdr:col>12</xdr:col>
      <xdr:colOff>714375</xdr:colOff>
      <xdr:row>2</xdr:row>
      <xdr:rowOff>57150</xdr:rowOff>
    </xdr:to>
    <xdr:cxnSp macro="">
      <xdr:nvCxnSpPr>
        <xdr:cNvPr id="883941" name="6 Conector recto">
          <a:extLst>
            <a:ext uri="{FF2B5EF4-FFF2-40B4-BE49-F238E27FC236}">
              <a16:creationId xmlns="" xmlns:a16="http://schemas.microsoft.com/office/drawing/2014/main" id="{00000000-0008-0000-0900-0000E57C0D00}"/>
            </a:ext>
          </a:extLst>
        </xdr:cNvPr>
        <xdr:cNvCxnSpPr>
          <a:cxnSpLocks noChangeShapeType="1"/>
        </xdr:cNvCxnSpPr>
      </xdr:nvCxnSpPr>
      <xdr:spPr bwMode="auto">
        <a:xfrm rot="5400000">
          <a:off x="8296275" y="295275"/>
          <a:ext cx="266700" cy="0"/>
        </a:xfrm>
        <a:prstGeom prst="line">
          <a:avLst/>
        </a:prstGeom>
        <a:noFill/>
        <a:ln w="50800" algn="ctr">
          <a:solidFill>
            <a:srgbClr val="FF0000"/>
          </a:solidFill>
          <a:round/>
          <a:headEnd/>
          <a:tailEnd/>
        </a:ln>
      </xdr:spPr>
    </xdr:cxnSp>
    <xdr:clientData/>
  </xdr:twoCellAnchor>
  <xdr:twoCellAnchor editAs="oneCell">
    <xdr:from>
      <xdr:col>0</xdr:col>
      <xdr:colOff>9525</xdr:colOff>
      <xdr:row>40</xdr:row>
      <xdr:rowOff>38100</xdr:rowOff>
    </xdr:from>
    <xdr:to>
      <xdr:col>2</xdr:col>
      <xdr:colOff>438150</xdr:colOff>
      <xdr:row>42</xdr:row>
      <xdr:rowOff>0</xdr:rowOff>
    </xdr:to>
    <xdr:pic>
      <xdr:nvPicPr>
        <xdr:cNvPr id="883942" name="Picture 26">
          <a:extLst>
            <a:ext uri="{FF2B5EF4-FFF2-40B4-BE49-F238E27FC236}">
              <a16:creationId xmlns="" xmlns:a16="http://schemas.microsoft.com/office/drawing/2014/main" id="{00000000-0008-0000-0900-0000E67C0D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9525" y="5838825"/>
          <a:ext cx="828675" cy="24765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131</xdr:row>
      <xdr:rowOff>76200</xdr:rowOff>
    </xdr:from>
    <xdr:to>
      <xdr:col>13</xdr:col>
      <xdr:colOff>714375</xdr:colOff>
      <xdr:row>143</xdr:row>
      <xdr:rowOff>57150</xdr:rowOff>
    </xdr:to>
    <xdr:sp macro="" textlink="">
      <xdr:nvSpPr>
        <xdr:cNvPr id="2" name="Text Box 3">
          <a:extLst>
            <a:ext uri="{FF2B5EF4-FFF2-40B4-BE49-F238E27FC236}">
              <a16:creationId xmlns="" xmlns:a16="http://schemas.microsoft.com/office/drawing/2014/main" id="{00000000-0008-0000-0C00-000002000000}"/>
            </a:ext>
          </a:extLst>
        </xdr:cNvPr>
        <xdr:cNvSpPr txBox="1">
          <a:spLocks noChangeArrowheads="1"/>
        </xdr:cNvSpPr>
      </xdr:nvSpPr>
      <xdr:spPr bwMode="auto">
        <a:xfrm>
          <a:off x="266700" y="18907125"/>
          <a:ext cx="11315700" cy="1905000"/>
        </a:xfrm>
        <a:prstGeom prst="rect">
          <a:avLst/>
        </a:prstGeom>
        <a:noFill/>
        <a:ln w="9525">
          <a:noFill/>
          <a:miter lim="800000"/>
          <a:headEnd/>
          <a:tailEnd/>
        </a:ln>
      </xdr:spPr>
    </xdr:sp>
    <xdr:clientData/>
  </xdr:twoCellAnchor>
  <xdr:twoCellAnchor>
    <xdr:from>
      <xdr:col>1</xdr:col>
      <xdr:colOff>28575</xdr:colOff>
      <xdr:row>119</xdr:row>
      <xdr:rowOff>9525</xdr:rowOff>
    </xdr:from>
    <xdr:to>
      <xdr:col>13</xdr:col>
      <xdr:colOff>695325</xdr:colOff>
      <xdr:row>129</xdr:row>
      <xdr:rowOff>142875</xdr:rowOff>
    </xdr:to>
    <xdr:sp macro="" textlink="">
      <xdr:nvSpPr>
        <xdr:cNvPr id="3" name="Text Box 4">
          <a:extLst>
            <a:ext uri="{FF2B5EF4-FFF2-40B4-BE49-F238E27FC236}">
              <a16:creationId xmlns="" xmlns:a16="http://schemas.microsoft.com/office/drawing/2014/main" id="{00000000-0008-0000-0C00-000003000000}"/>
            </a:ext>
          </a:extLst>
        </xdr:cNvPr>
        <xdr:cNvSpPr txBox="1">
          <a:spLocks noChangeArrowheads="1"/>
        </xdr:cNvSpPr>
      </xdr:nvSpPr>
      <xdr:spPr bwMode="auto">
        <a:xfrm>
          <a:off x="209550" y="16878300"/>
          <a:ext cx="11353800" cy="1752600"/>
        </a:xfrm>
        <a:prstGeom prst="rect">
          <a:avLst/>
        </a:prstGeom>
        <a:noFill/>
        <a:ln w="9525">
          <a:noFill/>
          <a:miter lim="800000"/>
          <a:headEnd/>
          <a:tailEnd/>
        </a:ln>
      </xdr:spPr>
      <xdr:txBody>
        <a:bodyPr/>
        <a:lstStyle/>
        <a:p>
          <a:pPr algn="just"/>
          <a:endParaRPr lang="en-US" sz="950">
            <a:latin typeface="Arial" panose="020B0604020202020204" pitchFamily="34" charset="0"/>
            <a:cs typeface="Arial" panose="020B0604020202020204" pitchFamily="34" charset="0"/>
          </a:endParaRPr>
        </a:p>
      </xdr:txBody>
    </xdr:sp>
    <xdr:clientData/>
  </xdr:twoCellAnchor>
  <xdr:twoCellAnchor>
    <xdr:from>
      <xdr:col>1</xdr:col>
      <xdr:colOff>38100</xdr:colOff>
      <xdr:row>97</xdr:row>
      <xdr:rowOff>57150</xdr:rowOff>
    </xdr:from>
    <xdr:to>
      <xdr:col>13</xdr:col>
      <xdr:colOff>733425</xdr:colOff>
      <xdr:row>117</xdr:row>
      <xdr:rowOff>76200</xdr:rowOff>
    </xdr:to>
    <xdr:sp macro="" textlink="">
      <xdr:nvSpPr>
        <xdr:cNvPr id="4" name="Text Box 5">
          <a:extLst>
            <a:ext uri="{FF2B5EF4-FFF2-40B4-BE49-F238E27FC236}">
              <a16:creationId xmlns="" xmlns:a16="http://schemas.microsoft.com/office/drawing/2014/main" id="{00000000-0008-0000-0C00-000004000000}"/>
            </a:ext>
          </a:extLst>
        </xdr:cNvPr>
        <xdr:cNvSpPr txBox="1">
          <a:spLocks noChangeArrowheads="1"/>
        </xdr:cNvSpPr>
      </xdr:nvSpPr>
      <xdr:spPr bwMode="auto">
        <a:xfrm>
          <a:off x="219075" y="13496925"/>
          <a:ext cx="11363325" cy="3105150"/>
        </a:xfrm>
        <a:prstGeom prst="rect">
          <a:avLst/>
        </a:prstGeom>
        <a:noFill/>
        <a:ln w="9525">
          <a:noFill/>
          <a:miter lim="800000"/>
          <a:headEnd/>
          <a:tailEnd/>
        </a:ln>
      </xdr:spPr>
    </xdr:sp>
    <xdr:clientData/>
  </xdr:twoCellAnchor>
  <xdr:twoCellAnchor>
    <xdr:from>
      <xdr:col>1</xdr:col>
      <xdr:colOff>28575</xdr:colOff>
      <xdr:row>145</xdr:row>
      <xdr:rowOff>47625</xdr:rowOff>
    </xdr:from>
    <xdr:to>
      <xdr:col>10</xdr:col>
      <xdr:colOff>714375</xdr:colOff>
      <xdr:row>158</xdr:row>
      <xdr:rowOff>152400</xdr:rowOff>
    </xdr:to>
    <xdr:sp macro="" textlink="">
      <xdr:nvSpPr>
        <xdr:cNvPr id="5" name="Text Box 8">
          <a:extLst>
            <a:ext uri="{FF2B5EF4-FFF2-40B4-BE49-F238E27FC236}">
              <a16:creationId xmlns="" xmlns:a16="http://schemas.microsoft.com/office/drawing/2014/main" id="{00000000-0008-0000-0C00-000005000000}"/>
            </a:ext>
          </a:extLst>
        </xdr:cNvPr>
        <xdr:cNvSpPr txBox="1">
          <a:spLocks noChangeArrowheads="1"/>
        </xdr:cNvSpPr>
      </xdr:nvSpPr>
      <xdr:spPr bwMode="auto">
        <a:xfrm>
          <a:off x="209550" y="21116925"/>
          <a:ext cx="8639175" cy="2209800"/>
        </a:xfrm>
        <a:prstGeom prst="rect">
          <a:avLst/>
        </a:prstGeom>
        <a:noFill/>
        <a:ln w="9525">
          <a:noFill/>
          <a:miter lim="800000"/>
          <a:headEnd/>
          <a:tailEnd/>
        </a:ln>
      </xdr:spPr>
    </xdr:sp>
    <xdr:clientData/>
  </xdr:twoCellAnchor>
  <xdr:twoCellAnchor>
    <xdr:from>
      <xdr:col>1</xdr:col>
      <xdr:colOff>19050</xdr:colOff>
      <xdr:row>97</xdr:row>
      <xdr:rowOff>19050</xdr:rowOff>
    </xdr:from>
    <xdr:to>
      <xdr:col>13</xdr:col>
      <xdr:colOff>657225</xdr:colOff>
      <xdr:row>117</xdr:row>
      <xdr:rowOff>133350</xdr:rowOff>
    </xdr:to>
    <xdr:sp macro="" textlink="">
      <xdr:nvSpPr>
        <xdr:cNvPr id="6" name="7 CuadroTexto">
          <a:extLst>
            <a:ext uri="{FF2B5EF4-FFF2-40B4-BE49-F238E27FC236}">
              <a16:creationId xmlns="" xmlns:a16="http://schemas.microsoft.com/office/drawing/2014/main" id="{00000000-0008-0000-0C00-000006000000}"/>
            </a:ext>
          </a:extLst>
        </xdr:cNvPr>
        <xdr:cNvSpPr txBox="1"/>
      </xdr:nvSpPr>
      <xdr:spPr>
        <a:xfrm>
          <a:off x="200025" y="13458825"/>
          <a:ext cx="11325225" cy="32004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endParaRPr lang="es-CO" sz="950" b="0">
            <a:latin typeface="Arial" panose="020B0604020202020204" pitchFamily="34" charset="0"/>
            <a:cs typeface="Arial" panose="020B0604020202020204" pitchFamily="34" charset="0"/>
          </a:endParaRPr>
        </a:p>
      </xdr:txBody>
    </xdr:sp>
    <xdr:clientData/>
  </xdr:twoCellAnchor>
  <xdr:twoCellAnchor>
    <xdr:from>
      <xdr:col>1</xdr:col>
      <xdr:colOff>28575</xdr:colOff>
      <xdr:row>131</xdr:row>
      <xdr:rowOff>19049</xdr:rowOff>
    </xdr:from>
    <xdr:to>
      <xdr:col>13</xdr:col>
      <xdr:colOff>676275</xdr:colOff>
      <xdr:row>143</xdr:row>
      <xdr:rowOff>123824</xdr:rowOff>
    </xdr:to>
    <xdr:sp macro="" textlink="">
      <xdr:nvSpPr>
        <xdr:cNvPr id="7" name="5 CuadroTexto">
          <a:extLst>
            <a:ext uri="{FF2B5EF4-FFF2-40B4-BE49-F238E27FC236}">
              <a16:creationId xmlns="" xmlns:a16="http://schemas.microsoft.com/office/drawing/2014/main" id="{00000000-0008-0000-0C00-000007000000}"/>
            </a:ext>
          </a:extLst>
        </xdr:cNvPr>
        <xdr:cNvSpPr txBox="1"/>
      </xdr:nvSpPr>
      <xdr:spPr>
        <a:xfrm>
          <a:off x="209550" y="18849974"/>
          <a:ext cx="11334750" cy="2028825"/>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endParaRPr lang="es-CO" sz="950">
            <a:latin typeface="Arial" panose="020B0604020202020204" pitchFamily="34" charset="0"/>
            <a:cs typeface="Arial" panose="020B0604020202020204" pitchFamily="34" charset="0"/>
          </a:endParaRPr>
        </a:p>
      </xdr:txBody>
    </xdr:sp>
    <xdr:clientData/>
  </xdr:twoCellAnchor>
  <xdr:twoCellAnchor>
    <xdr:from>
      <xdr:col>1</xdr:col>
      <xdr:colOff>123825</xdr:colOff>
      <xdr:row>2</xdr:row>
      <xdr:rowOff>104774</xdr:rowOff>
    </xdr:from>
    <xdr:to>
      <xdr:col>3</xdr:col>
      <xdr:colOff>12599</xdr:colOff>
      <xdr:row>5</xdr:row>
      <xdr:rowOff>47624</xdr:rowOff>
    </xdr:to>
    <xdr:pic>
      <xdr:nvPicPr>
        <xdr:cNvPr id="8" name="Imagen 1" descr="cid:image003.jpg@01CE781C.D26E3B60">
          <a:extLst>
            <a:ext uri="{FF2B5EF4-FFF2-40B4-BE49-F238E27FC236}">
              <a16:creationId xmlns="" xmlns:a16="http://schemas.microsoft.com/office/drawing/2014/main" id="{00000000-0008-0000-0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438149"/>
          <a:ext cx="1479449"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187699</xdr:colOff>
      <xdr:row>74</xdr:row>
      <xdr:rowOff>101974</xdr:rowOff>
    </xdr:from>
    <xdr:to>
      <xdr:col>13</xdr:col>
      <xdr:colOff>371411</xdr:colOff>
      <xdr:row>82</xdr:row>
      <xdr:rowOff>53226</xdr:rowOff>
    </xdr:to>
    <xdr:pic>
      <xdr:nvPicPr>
        <xdr:cNvPr id="9" name="Imagen 8">
          <a:extLst>
            <a:ext uri="{FF2B5EF4-FFF2-40B4-BE49-F238E27FC236}">
              <a16:creationId xmlns=""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368674" y="9750799"/>
          <a:ext cx="10870762" cy="1246652"/>
        </a:xfrm>
        <a:prstGeom prst="rect">
          <a:avLst/>
        </a:prstGeom>
      </xdr:spPr>
    </xdr:pic>
    <xdr:clientData/>
  </xdr:twoCellAnchor>
  <xdr:oneCellAnchor>
    <xdr:from>
      <xdr:col>1</xdr:col>
      <xdr:colOff>212912</xdr:colOff>
      <xdr:row>87</xdr:row>
      <xdr:rowOff>78441</xdr:rowOff>
    </xdr:from>
    <xdr:ext cx="8498415" cy="254557"/>
    <xdr:sp macro="" textlink="">
      <xdr:nvSpPr>
        <xdr:cNvPr id="10" name="CuadroTexto 9">
          <a:extLst>
            <a:ext uri="{FF2B5EF4-FFF2-40B4-BE49-F238E27FC236}">
              <a16:creationId xmlns="" xmlns:a16="http://schemas.microsoft.com/office/drawing/2014/main" id="{00000000-0008-0000-0C00-00000A000000}"/>
            </a:ext>
          </a:extLst>
        </xdr:cNvPr>
        <xdr:cNvSpPr txBox="1"/>
      </xdr:nvSpPr>
      <xdr:spPr>
        <a:xfrm>
          <a:off x="393887" y="11860866"/>
          <a:ext cx="8498415" cy="254557"/>
        </a:xfrm>
        <a:prstGeom prst="rect">
          <a:avLst/>
        </a:prstGeom>
        <a:solidFill>
          <a:schemeClr val="bg1">
            <a:lumMod val="95000"/>
          </a:schemeClr>
        </a:solidFill>
        <a:ln cap="rnd">
          <a:solidFill>
            <a:schemeClr val="bg1">
              <a:lumMod val="9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latin typeface="Arial" panose="020B0604020202020204" pitchFamily="34" charset="0"/>
              <a:cs typeface="Arial" panose="020B0604020202020204" pitchFamily="34" charset="0"/>
            </a:rPr>
            <a:t>RECOMENDACION DEL COMITE:</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0</xdr:col>
      <xdr:colOff>85725</xdr:colOff>
      <xdr:row>130</xdr:row>
      <xdr:rowOff>76200</xdr:rowOff>
    </xdr:from>
    <xdr:to>
      <xdr:col>12</xdr:col>
      <xdr:colOff>714375</xdr:colOff>
      <xdr:row>142</xdr:row>
      <xdr:rowOff>57150</xdr:rowOff>
    </xdr:to>
    <xdr:sp macro="" textlink="">
      <xdr:nvSpPr>
        <xdr:cNvPr id="2921" name="Text Box 3">
          <a:extLst>
            <a:ext uri="{FF2B5EF4-FFF2-40B4-BE49-F238E27FC236}">
              <a16:creationId xmlns="" xmlns:a16="http://schemas.microsoft.com/office/drawing/2014/main" id="{00000000-0008-0000-0D00-0000690B0000}"/>
            </a:ext>
          </a:extLst>
        </xdr:cNvPr>
        <xdr:cNvSpPr txBox="1">
          <a:spLocks noChangeArrowheads="1"/>
        </xdr:cNvSpPr>
      </xdr:nvSpPr>
      <xdr:spPr bwMode="auto">
        <a:xfrm>
          <a:off x="85725" y="21383625"/>
          <a:ext cx="10848975" cy="1924050"/>
        </a:xfrm>
        <a:prstGeom prst="rect">
          <a:avLst/>
        </a:prstGeom>
        <a:noFill/>
        <a:ln w="9525">
          <a:noFill/>
          <a:miter lim="800000"/>
          <a:headEnd/>
          <a:tailEnd/>
        </a:ln>
      </xdr:spPr>
      <xdr:txBody>
        <a:bodyPr/>
        <a:lstStyle/>
        <a:p>
          <a:r>
            <a:rPr lang="es-CO"/>
            <a:t>N.A.</a:t>
          </a:r>
        </a:p>
      </xdr:txBody>
    </xdr:sp>
    <xdr:clientData/>
  </xdr:twoCellAnchor>
  <xdr:twoCellAnchor>
    <xdr:from>
      <xdr:col>0</xdr:col>
      <xdr:colOff>47625</xdr:colOff>
      <xdr:row>108</xdr:row>
      <xdr:rowOff>76200</xdr:rowOff>
    </xdr:from>
    <xdr:to>
      <xdr:col>12</xdr:col>
      <xdr:colOff>752475</xdr:colOff>
      <xdr:row>128</xdr:row>
      <xdr:rowOff>95250</xdr:rowOff>
    </xdr:to>
    <xdr:sp macro="" textlink="">
      <xdr:nvSpPr>
        <xdr:cNvPr id="2922" name="Text Box 4">
          <a:extLst>
            <a:ext uri="{FF2B5EF4-FFF2-40B4-BE49-F238E27FC236}">
              <a16:creationId xmlns="" xmlns:a16="http://schemas.microsoft.com/office/drawing/2014/main" id="{00000000-0008-0000-0D00-00006A0B0000}"/>
            </a:ext>
          </a:extLst>
        </xdr:cNvPr>
        <xdr:cNvSpPr txBox="1">
          <a:spLocks noChangeArrowheads="1"/>
        </xdr:cNvSpPr>
      </xdr:nvSpPr>
      <xdr:spPr bwMode="auto">
        <a:xfrm>
          <a:off x="47625" y="17802225"/>
          <a:ext cx="10906125" cy="3257550"/>
        </a:xfrm>
        <a:prstGeom prst="rect">
          <a:avLst/>
        </a:prstGeom>
        <a:noFill/>
        <a:ln w="9525">
          <a:noFill/>
          <a:miter lim="800000"/>
          <a:headEnd/>
          <a:tailEnd/>
        </a:ln>
      </xdr:spPr>
      <xdr:txBody>
        <a:bodyPr/>
        <a:lstStyle/>
        <a:p>
          <a:r>
            <a:rPr lang="es-CO" b="1"/>
            <a:t>Fortalezas:</a:t>
          </a:r>
        </a:p>
        <a:p>
          <a:r>
            <a:rPr lang="es-CO"/>
            <a:t>-</a:t>
          </a:r>
        </a:p>
        <a:p>
          <a:endParaRPr lang="es-CO"/>
        </a:p>
        <a:p>
          <a:endParaRPr lang="es-CO"/>
        </a:p>
        <a:p>
          <a:endParaRPr lang="es-CO" b="0"/>
        </a:p>
        <a:p>
          <a:r>
            <a:rPr lang="es-CO" b="1"/>
            <a:t>Debilidades:</a:t>
          </a:r>
        </a:p>
        <a:p>
          <a:r>
            <a:rPr lang="es-CO" b="0"/>
            <a:t>-</a:t>
          </a:r>
        </a:p>
        <a:p>
          <a:endParaRPr lang="es-CO" b="0"/>
        </a:p>
        <a:p>
          <a:endParaRPr lang="es-CO" b="0"/>
        </a:p>
        <a:p>
          <a:endParaRPr lang="es-CO" b="0"/>
        </a:p>
        <a:p>
          <a:r>
            <a:rPr lang="es-CO" b="1"/>
            <a:t>Recomendación:</a:t>
          </a:r>
          <a:r>
            <a:rPr lang="es-CO" b="1" baseline="0"/>
            <a:t> </a:t>
          </a:r>
          <a:endParaRPr lang="es-CO" b="1"/>
        </a:p>
        <a:p>
          <a:endParaRPr lang="es-CO"/>
        </a:p>
      </xdr:txBody>
    </xdr:sp>
    <xdr:clientData/>
  </xdr:twoCellAnchor>
  <xdr:twoCellAnchor>
    <xdr:from>
      <xdr:col>0</xdr:col>
      <xdr:colOff>38100</xdr:colOff>
      <xdr:row>86</xdr:row>
      <xdr:rowOff>57150</xdr:rowOff>
    </xdr:from>
    <xdr:to>
      <xdr:col>12</xdr:col>
      <xdr:colOff>733425</xdr:colOff>
      <xdr:row>106</xdr:row>
      <xdr:rowOff>76200</xdr:rowOff>
    </xdr:to>
    <xdr:sp macro="" textlink="">
      <xdr:nvSpPr>
        <xdr:cNvPr id="2923" name="Text Box 5">
          <a:extLst>
            <a:ext uri="{FF2B5EF4-FFF2-40B4-BE49-F238E27FC236}">
              <a16:creationId xmlns="" xmlns:a16="http://schemas.microsoft.com/office/drawing/2014/main" id="{00000000-0008-0000-0D00-00006B0B0000}"/>
            </a:ext>
          </a:extLst>
        </xdr:cNvPr>
        <xdr:cNvSpPr txBox="1">
          <a:spLocks noChangeArrowheads="1"/>
        </xdr:cNvSpPr>
      </xdr:nvSpPr>
      <xdr:spPr bwMode="auto">
        <a:xfrm>
          <a:off x="38100" y="14201775"/>
          <a:ext cx="10915650" cy="3257550"/>
        </a:xfrm>
        <a:prstGeom prst="rect">
          <a:avLst/>
        </a:prstGeom>
        <a:noFill/>
        <a:ln w="9525">
          <a:noFill/>
          <a:miter lim="800000"/>
          <a:headEnd/>
          <a:tailEnd/>
        </a:ln>
      </xdr:spPr>
      <xdr:txBody>
        <a:bodyPr/>
        <a:lstStyle/>
        <a:p>
          <a:r>
            <a:rPr lang="es-CO"/>
            <a:t>N.A.</a:t>
          </a:r>
        </a:p>
      </xdr:txBody>
    </xdr:sp>
    <xdr:clientData/>
  </xdr:twoCellAnchor>
  <xdr:twoCellAnchor>
    <xdr:from>
      <xdr:col>0</xdr:col>
      <xdr:colOff>28575</xdr:colOff>
      <xdr:row>144</xdr:row>
      <xdr:rowOff>47625</xdr:rowOff>
    </xdr:from>
    <xdr:to>
      <xdr:col>9</xdr:col>
      <xdr:colOff>714375</xdr:colOff>
      <xdr:row>157</xdr:row>
      <xdr:rowOff>152400</xdr:rowOff>
    </xdr:to>
    <xdr:sp macro="" textlink="">
      <xdr:nvSpPr>
        <xdr:cNvPr id="2925" name="Text Box 8">
          <a:extLst>
            <a:ext uri="{FF2B5EF4-FFF2-40B4-BE49-F238E27FC236}">
              <a16:creationId xmlns="" xmlns:a16="http://schemas.microsoft.com/office/drawing/2014/main" id="{00000000-0008-0000-0D00-00006D0B0000}"/>
            </a:ext>
          </a:extLst>
        </xdr:cNvPr>
        <xdr:cNvSpPr txBox="1">
          <a:spLocks noChangeArrowheads="1"/>
        </xdr:cNvSpPr>
      </xdr:nvSpPr>
      <xdr:spPr bwMode="auto">
        <a:xfrm>
          <a:off x="28575" y="23622000"/>
          <a:ext cx="8705850" cy="1933575"/>
        </a:xfrm>
        <a:prstGeom prst="rect">
          <a:avLst/>
        </a:prstGeom>
        <a:noFill/>
        <a:ln w="9525">
          <a:no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39781</xdr:colOff>
      <xdr:row>49</xdr:row>
      <xdr:rowOff>31937</xdr:rowOff>
    </xdr:from>
    <xdr:to>
      <xdr:col>12</xdr:col>
      <xdr:colOff>717177</xdr:colOff>
      <xdr:row>61</xdr:row>
      <xdr:rowOff>134470</xdr:rowOff>
    </xdr:to>
    <xdr:sp macro="" textlink="">
      <xdr:nvSpPr>
        <xdr:cNvPr id="3" name="Text Box 3">
          <a:extLst>
            <a:ext uri="{FF2B5EF4-FFF2-40B4-BE49-F238E27FC236}">
              <a16:creationId xmlns="" xmlns:a16="http://schemas.microsoft.com/office/drawing/2014/main" id="{00000000-0008-0000-0E00-000003000000}"/>
            </a:ext>
          </a:extLst>
        </xdr:cNvPr>
        <xdr:cNvSpPr txBox="1">
          <a:spLocks noChangeArrowheads="1"/>
        </xdr:cNvSpPr>
      </xdr:nvSpPr>
      <xdr:spPr bwMode="auto">
        <a:xfrm>
          <a:off x="39781" y="7976908"/>
          <a:ext cx="11502278" cy="1985121"/>
        </a:xfrm>
        <a:prstGeom prst="rect">
          <a:avLst/>
        </a:prstGeom>
        <a:noFill/>
        <a:ln w="9525">
          <a:noFill/>
          <a:miter lim="800000"/>
          <a:headEnd/>
          <a:tailEnd/>
        </a:ln>
      </xdr:spPr>
      <xdr:txBody>
        <a:bodyPr/>
        <a:lstStyle/>
        <a:p>
          <a:endParaRPr lang="es-CO" sz="900" baseline="0"/>
        </a:p>
      </xdr:txBody>
    </xdr:sp>
    <xdr:clientData/>
  </xdr:twoCellAnchor>
  <xdr:twoCellAnchor>
    <xdr:from>
      <xdr:col>0</xdr:col>
      <xdr:colOff>47625</xdr:colOff>
      <xdr:row>129</xdr:row>
      <xdr:rowOff>57150</xdr:rowOff>
    </xdr:from>
    <xdr:to>
      <xdr:col>13</xdr:col>
      <xdr:colOff>0</xdr:colOff>
      <xdr:row>146</xdr:row>
      <xdr:rowOff>123825</xdr:rowOff>
    </xdr:to>
    <xdr:sp macro="" textlink="">
      <xdr:nvSpPr>
        <xdr:cNvPr id="5" name="Text Box 4">
          <a:extLst>
            <a:ext uri="{FF2B5EF4-FFF2-40B4-BE49-F238E27FC236}">
              <a16:creationId xmlns="" xmlns:a16="http://schemas.microsoft.com/office/drawing/2014/main" id="{00000000-0008-0000-0E00-000005000000}"/>
            </a:ext>
          </a:extLst>
        </xdr:cNvPr>
        <xdr:cNvSpPr txBox="1">
          <a:spLocks noChangeArrowheads="1"/>
        </xdr:cNvSpPr>
      </xdr:nvSpPr>
      <xdr:spPr bwMode="auto">
        <a:xfrm>
          <a:off x="47625" y="23279100"/>
          <a:ext cx="11239500" cy="2828925"/>
        </a:xfrm>
        <a:prstGeom prst="rect">
          <a:avLst/>
        </a:prstGeom>
        <a:noFill/>
        <a:ln w="9525">
          <a:noFill/>
          <a:miter lim="800000"/>
          <a:headEnd/>
          <a:tailEnd/>
        </a:ln>
      </xdr:spPr>
      <xdr:txBody>
        <a:bodyPr/>
        <a:lstStyle/>
        <a:p>
          <a:r>
            <a:rPr lang="es-CO" sz="900"/>
            <a:t>- </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56</xdr:row>
      <xdr:rowOff>45944</xdr:rowOff>
    </xdr:from>
    <xdr:to>
      <xdr:col>12</xdr:col>
      <xdr:colOff>616323</xdr:colOff>
      <xdr:row>71</xdr:row>
      <xdr:rowOff>134470</xdr:rowOff>
    </xdr:to>
    <xdr:sp macro="" textlink="">
      <xdr:nvSpPr>
        <xdr:cNvPr id="4166" name="Text Box 4">
          <a:extLst>
            <a:ext uri="{FF2B5EF4-FFF2-40B4-BE49-F238E27FC236}">
              <a16:creationId xmlns="" xmlns:a16="http://schemas.microsoft.com/office/drawing/2014/main" id="{00000000-0008-0000-0F00-000046100000}"/>
            </a:ext>
          </a:extLst>
        </xdr:cNvPr>
        <xdr:cNvSpPr txBox="1">
          <a:spLocks noChangeArrowheads="1"/>
        </xdr:cNvSpPr>
      </xdr:nvSpPr>
      <xdr:spPr bwMode="auto">
        <a:xfrm>
          <a:off x="47625" y="9055473"/>
          <a:ext cx="11091022" cy="2441762"/>
        </a:xfrm>
        <a:prstGeom prst="rect">
          <a:avLst/>
        </a:prstGeom>
        <a:noFill/>
        <a:ln w="9525">
          <a:noFill/>
          <a:miter lim="800000"/>
          <a:headEnd/>
          <a:tailEnd/>
        </a:ln>
      </xdr:spPr>
      <xdr:txBody>
        <a:bodyPr/>
        <a:lstStyle/>
        <a:p>
          <a:endParaRPr lang="es-CO" sz="9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31937</xdr:colOff>
      <xdr:row>46</xdr:row>
      <xdr:rowOff>36419</xdr:rowOff>
    </xdr:from>
    <xdr:to>
      <xdr:col>12</xdr:col>
      <xdr:colOff>638735</xdr:colOff>
      <xdr:row>59</xdr:row>
      <xdr:rowOff>100853</xdr:rowOff>
    </xdr:to>
    <xdr:sp macro="" textlink="">
      <xdr:nvSpPr>
        <xdr:cNvPr id="5189" name="Text Box 3">
          <a:extLst>
            <a:ext uri="{FF2B5EF4-FFF2-40B4-BE49-F238E27FC236}">
              <a16:creationId xmlns="" xmlns:a16="http://schemas.microsoft.com/office/drawing/2014/main" id="{00000000-0008-0000-1000-000045140000}"/>
            </a:ext>
          </a:extLst>
        </xdr:cNvPr>
        <xdr:cNvSpPr txBox="1">
          <a:spLocks noChangeArrowheads="1"/>
        </xdr:cNvSpPr>
      </xdr:nvSpPr>
      <xdr:spPr bwMode="auto">
        <a:xfrm>
          <a:off x="31937" y="7645213"/>
          <a:ext cx="11487710" cy="2103905"/>
        </a:xfrm>
        <a:prstGeom prst="rect">
          <a:avLst/>
        </a:prstGeom>
        <a:noFill/>
        <a:ln w="9525">
          <a:noFill/>
          <a:miter lim="800000"/>
          <a:headEnd/>
          <a:tailEnd/>
        </a:ln>
      </xdr:spPr>
      <xdr:txBody>
        <a:bodyPr/>
        <a:lstStyle/>
        <a:p>
          <a:endParaRPr lang="es-CO" sz="9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9525</xdr:colOff>
      <xdr:row>50</xdr:row>
      <xdr:rowOff>19050</xdr:rowOff>
    </xdr:from>
    <xdr:to>
      <xdr:col>13</xdr:col>
      <xdr:colOff>0</xdr:colOff>
      <xdr:row>75</xdr:row>
      <xdr:rowOff>0</xdr:rowOff>
    </xdr:to>
    <xdr:sp macro="" textlink="">
      <xdr:nvSpPr>
        <xdr:cNvPr id="2" name="Text Box 3">
          <a:extLst>
            <a:ext uri="{FF2B5EF4-FFF2-40B4-BE49-F238E27FC236}">
              <a16:creationId xmlns="" xmlns:a16="http://schemas.microsoft.com/office/drawing/2014/main" id="{00000000-0008-0000-1300-000002000000}"/>
            </a:ext>
          </a:extLst>
        </xdr:cNvPr>
        <xdr:cNvSpPr txBox="1">
          <a:spLocks noChangeArrowheads="1"/>
        </xdr:cNvSpPr>
      </xdr:nvSpPr>
      <xdr:spPr bwMode="auto">
        <a:xfrm>
          <a:off x="9525" y="8143875"/>
          <a:ext cx="11572875" cy="4048125"/>
        </a:xfrm>
        <a:prstGeom prst="rect">
          <a:avLst/>
        </a:prstGeom>
        <a:noFill/>
        <a:ln w="9525">
          <a:noFill/>
          <a:miter lim="800000"/>
          <a:headEnd/>
          <a:tailEnd/>
        </a:ln>
      </xdr:spPr>
      <xdr:txBody>
        <a:bodyPr/>
        <a:lstStyle/>
        <a:p>
          <a:r>
            <a:rPr lang="es-CO" sz="900"/>
            <a:t>-</a:t>
          </a:r>
          <a:r>
            <a:rPr lang="es-CO" sz="900" baseline="0"/>
            <a:t> </a:t>
          </a:r>
          <a:endParaRPr lang="es-CO" sz="900"/>
        </a:p>
      </xdr:txBody>
    </xdr:sp>
    <xdr:clientData/>
  </xdr:twoCellAnchor>
  <xdr:twoCellAnchor>
    <xdr:from>
      <xdr:col>0</xdr:col>
      <xdr:colOff>47625</xdr:colOff>
      <xdr:row>142</xdr:row>
      <xdr:rowOff>57150</xdr:rowOff>
    </xdr:from>
    <xdr:to>
      <xdr:col>13</xdr:col>
      <xdr:colOff>0</xdr:colOff>
      <xdr:row>159</xdr:row>
      <xdr:rowOff>123825</xdr:rowOff>
    </xdr:to>
    <xdr:sp macro="" textlink="">
      <xdr:nvSpPr>
        <xdr:cNvPr id="3" name="Text Box 4">
          <a:extLst>
            <a:ext uri="{FF2B5EF4-FFF2-40B4-BE49-F238E27FC236}">
              <a16:creationId xmlns="" xmlns:a16="http://schemas.microsoft.com/office/drawing/2014/main" id="{00000000-0008-0000-1300-000003000000}"/>
            </a:ext>
          </a:extLst>
        </xdr:cNvPr>
        <xdr:cNvSpPr txBox="1">
          <a:spLocks noChangeArrowheads="1"/>
        </xdr:cNvSpPr>
      </xdr:nvSpPr>
      <xdr:spPr bwMode="auto">
        <a:xfrm>
          <a:off x="47625" y="23174325"/>
          <a:ext cx="11534775" cy="2819400"/>
        </a:xfrm>
        <a:prstGeom prst="rect">
          <a:avLst/>
        </a:prstGeom>
        <a:noFill/>
        <a:ln w="9525">
          <a:noFill/>
          <a:miter lim="800000"/>
          <a:headEnd/>
          <a:tailEnd/>
        </a:ln>
      </xdr:spPr>
      <xdr:txBody>
        <a:bodyPr/>
        <a:lstStyle/>
        <a:p>
          <a:r>
            <a:rPr lang="es-CO" sz="900"/>
            <a:t>- </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57</xdr:row>
      <xdr:rowOff>57150</xdr:rowOff>
    </xdr:from>
    <xdr:to>
      <xdr:col>13</xdr:col>
      <xdr:colOff>0</xdr:colOff>
      <xdr:row>74</xdr:row>
      <xdr:rowOff>123825</xdr:rowOff>
    </xdr:to>
    <xdr:sp macro="" textlink="">
      <xdr:nvSpPr>
        <xdr:cNvPr id="2" name="Text Box 4">
          <a:extLst>
            <a:ext uri="{FF2B5EF4-FFF2-40B4-BE49-F238E27FC236}">
              <a16:creationId xmlns="" xmlns:a16="http://schemas.microsoft.com/office/drawing/2014/main" id="{00000000-0008-0000-1400-000002000000}"/>
            </a:ext>
          </a:extLst>
        </xdr:cNvPr>
        <xdr:cNvSpPr txBox="1">
          <a:spLocks noChangeArrowheads="1"/>
        </xdr:cNvSpPr>
      </xdr:nvSpPr>
      <xdr:spPr bwMode="auto">
        <a:xfrm>
          <a:off x="47625" y="9296400"/>
          <a:ext cx="11115675" cy="2828925"/>
        </a:xfrm>
        <a:prstGeom prst="rect">
          <a:avLst/>
        </a:prstGeom>
        <a:noFill/>
        <a:ln w="9525">
          <a:noFill/>
          <a:miter lim="800000"/>
          <a:headEnd/>
          <a:tailEnd/>
        </a:ln>
      </xdr:spPr>
      <xdr:txBody>
        <a:bodyPr/>
        <a:lstStyle/>
        <a:p>
          <a:r>
            <a:rPr lang="es-CO" sz="900"/>
            <a:t>- </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85725</xdr:colOff>
      <xdr:row>131</xdr:row>
      <xdr:rowOff>76200</xdr:rowOff>
    </xdr:from>
    <xdr:to>
      <xdr:col>12</xdr:col>
      <xdr:colOff>714375</xdr:colOff>
      <xdr:row>143</xdr:row>
      <xdr:rowOff>57150</xdr:rowOff>
    </xdr:to>
    <xdr:sp macro="" textlink="">
      <xdr:nvSpPr>
        <xdr:cNvPr id="2" name="Text Box 3">
          <a:extLst>
            <a:ext uri="{FF2B5EF4-FFF2-40B4-BE49-F238E27FC236}">
              <a16:creationId xmlns="" xmlns:a16="http://schemas.microsoft.com/office/drawing/2014/main" id="{00000000-0008-0000-1500-000002000000}"/>
            </a:ext>
          </a:extLst>
        </xdr:cNvPr>
        <xdr:cNvSpPr txBox="1">
          <a:spLocks noChangeArrowheads="1"/>
        </xdr:cNvSpPr>
      </xdr:nvSpPr>
      <xdr:spPr bwMode="auto">
        <a:xfrm>
          <a:off x="85725" y="21240750"/>
          <a:ext cx="11020425" cy="1924050"/>
        </a:xfrm>
        <a:prstGeom prst="rect">
          <a:avLst/>
        </a:prstGeom>
        <a:noFill/>
        <a:ln w="9525">
          <a:noFill/>
          <a:miter lim="800000"/>
          <a:headEnd/>
          <a:tailEnd/>
        </a:ln>
      </xdr:spPr>
      <xdr:txBody>
        <a:bodyPr/>
        <a:lstStyle/>
        <a:p>
          <a:r>
            <a:rPr lang="es-CO"/>
            <a:t>N.A.</a:t>
          </a:r>
        </a:p>
      </xdr:txBody>
    </xdr:sp>
    <xdr:clientData/>
  </xdr:twoCellAnchor>
  <xdr:twoCellAnchor>
    <xdr:from>
      <xdr:col>0</xdr:col>
      <xdr:colOff>47625</xdr:colOff>
      <xdr:row>109</xdr:row>
      <xdr:rowOff>76200</xdr:rowOff>
    </xdr:from>
    <xdr:to>
      <xdr:col>12</xdr:col>
      <xdr:colOff>752475</xdr:colOff>
      <xdr:row>129</xdr:row>
      <xdr:rowOff>95250</xdr:rowOff>
    </xdr:to>
    <xdr:sp macro="" textlink="">
      <xdr:nvSpPr>
        <xdr:cNvPr id="3" name="Text Box 4">
          <a:extLst>
            <a:ext uri="{FF2B5EF4-FFF2-40B4-BE49-F238E27FC236}">
              <a16:creationId xmlns="" xmlns:a16="http://schemas.microsoft.com/office/drawing/2014/main" id="{00000000-0008-0000-1500-000003000000}"/>
            </a:ext>
          </a:extLst>
        </xdr:cNvPr>
        <xdr:cNvSpPr txBox="1">
          <a:spLocks noChangeArrowheads="1"/>
        </xdr:cNvSpPr>
      </xdr:nvSpPr>
      <xdr:spPr bwMode="auto">
        <a:xfrm>
          <a:off x="47625" y="17659350"/>
          <a:ext cx="11077575" cy="3257550"/>
        </a:xfrm>
        <a:prstGeom prst="rect">
          <a:avLst/>
        </a:prstGeom>
        <a:noFill/>
        <a:ln w="9525">
          <a:noFill/>
          <a:miter lim="800000"/>
          <a:headEnd/>
          <a:tailEnd/>
        </a:ln>
      </xdr:spPr>
      <xdr:txBody>
        <a:bodyPr/>
        <a:lstStyle/>
        <a:p>
          <a:r>
            <a:rPr lang="es-CO" b="1"/>
            <a:t>Fortalezas:</a:t>
          </a:r>
        </a:p>
        <a:p>
          <a:r>
            <a:rPr lang="es-CO"/>
            <a:t>-</a:t>
          </a:r>
        </a:p>
        <a:p>
          <a:endParaRPr lang="es-CO"/>
        </a:p>
        <a:p>
          <a:endParaRPr lang="es-CO"/>
        </a:p>
        <a:p>
          <a:endParaRPr lang="es-CO" b="0"/>
        </a:p>
        <a:p>
          <a:r>
            <a:rPr lang="es-CO" b="1"/>
            <a:t>Debilidades:</a:t>
          </a:r>
        </a:p>
        <a:p>
          <a:r>
            <a:rPr lang="es-CO" b="0"/>
            <a:t>-</a:t>
          </a:r>
        </a:p>
        <a:p>
          <a:endParaRPr lang="es-CO" b="0"/>
        </a:p>
        <a:p>
          <a:endParaRPr lang="es-CO" b="0"/>
        </a:p>
        <a:p>
          <a:endParaRPr lang="es-CO" b="0"/>
        </a:p>
        <a:p>
          <a:r>
            <a:rPr lang="es-CO" b="1"/>
            <a:t>Recomendación:</a:t>
          </a:r>
          <a:r>
            <a:rPr lang="es-CO" b="1" baseline="0"/>
            <a:t> </a:t>
          </a:r>
          <a:endParaRPr lang="es-CO" b="1"/>
        </a:p>
        <a:p>
          <a:endParaRPr lang="es-CO"/>
        </a:p>
      </xdr:txBody>
    </xdr:sp>
    <xdr:clientData/>
  </xdr:twoCellAnchor>
  <xdr:twoCellAnchor>
    <xdr:from>
      <xdr:col>0</xdr:col>
      <xdr:colOff>38100</xdr:colOff>
      <xdr:row>87</xdr:row>
      <xdr:rowOff>57150</xdr:rowOff>
    </xdr:from>
    <xdr:to>
      <xdr:col>12</xdr:col>
      <xdr:colOff>733425</xdr:colOff>
      <xdr:row>107</xdr:row>
      <xdr:rowOff>76200</xdr:rowOff>
    </xdr:to>
    <xdr:sp macro="" textlink="">
      <xdr:nvSpPr>
        <xdr:cNvPr id="4" name="Text Box 5">
          <a:extLst>
            <a:ext uri="{FF2B5EF4-FFF2-40B4-BE49-F238E27FC236}">
              <a16:creationId xmlns="" xmlns:a16="http://schemas.microsoft.com/office/drawing/2014/main" id="{00000000-0008-0000-1500-000004000000}"/>
            </a:ext>
          </a:extLst>
        </xdr:cNvPr>
        <xdr:cNvSpPr txBox="1">
          <a:spLocks noChangeArrowheads="1"/>
        </xdr:cNvSpPr>
      </xdr:nvSpPr>
      <xdr:spPr bwMode="auto">
        <a:xfrm>
          <a:off x="38100" y="14039850"/>
          <a:ext cx="11087100" cy="3276600"/>
        </a:xfrm>
        <a:prstGeom prst="rect">
          <a:avLst/>
        </a:prstGeom>
        <a:noFill/>
        <a:ln w="9525">
          <a:noFill/>
          <a:miter lim="800000"/>
          <a:headEnd/>
          <a:tailEnd/>
        </a:ln>
      </xdr:spPr>
      <xdr:txBody>
        <a:bodyPr/>
        <a:lstStyle/>
        <a:p>
          <a:r>
            <a:rPr lang="es-CO"/>
            <a:t>N.A.</a:t>
          </a:r>
        </a:p>
      </xdr:txBody>
    </xdr:sp>
    <xdr:clientData/>
  </xdr:twoCellAnchor>
  <xdr:twoCellAnchor>
    <xdr:from>
      <xdr:col>0</xdr:col>
      <xdr:colOff>38100</xdr:colOff>
      <xdr:row>79</xdr:row>
      <xdr:rowOff>57150</xdr:rowOff>
    </xdr:from>
    <xdr:to>
      <xdr:col>10</xdr:col>
      <xdr:colOff>990600</xdr:colOff>
      <xdr:row>83</xdr:row>
      <xdr:rowOff>95250</xdr:rowOff>
    </xdr:to>
    <xdr:sp macro="" textlink="">
      <xdr:nvSpPr>
        <xdr:cNvPr id="5" name="Text Box 6">
          <a:extLst>
            <a:ext uri="{FF2B5EF4-FFF2-40B4-BE49-F238E27FC236}">
              <a16:creationId xmlns="" xmlns:a16="http://schemas.microsoft.com/office/drawing/2014/main" id="{00000000-0008-0000-1500-000005000000}"/>
            </a:ext>
          </a:extLst>
        </xdr:cNvPr>
        <xdr:cNvSpPr txBox="1">
          <a:spLocks noChangeArrowheads="1"/>
        </xdr:cNvSpPr>
      </xdr:nvSpPr>
      <xdr:spPr bwMode="auto">
        <a:xfrm>
          <a:off x="38100" y="12706350"/>
          <a:ext cx="9620250" cy="695325"/>
        </a:xfrm>
        <a:prstGeom prst="rect">
          <a:avLst/>
        </a:prstGeom>
        <a:noFill/>
        <a:ln w="9525">
          <a:noFill/>
          <a:miter lim="800000"/>
          <a:headEnd/>
          <a:tailEnd/>
        </a:ln>
      </xdr:spPr>
      <xdr:txBody>
        <a:bodyPr vertOverflow="clip" wrap="square" lIns="27432" tIns="18288" rIns="27432" bIns="0" anchor="t" upright="1"/>
        <a:lstStyle/>
        <a:p>
          <a:pPr algn="just" rtl="0">
            <a:defRPr sz="1000"/>
          </a:pPr>
          <a:r>
            <a:rPr lang="es-CO" sz="800" b="1" i="0" strike="noStrike">
              <a:solidFill>
                <a:srgbClr val="000000"/>
              </a:solidFill>
              <a:latin typeface="Tahoma"/>
              <a:cs typeface="Tahoma"/>
            </a:rPr>
            <a:t>COMENTARIOS:</a:t>
          </a:r>
          <a:r>
            <a:rPr lang="es-CO" sz="800" b="0" i="0" strike="noStrike">
              <a:solidFill>
                <a:srgbClr val="000000"/>
              </a:solidFill>
              <a:latin typeface="Tahoma"/>
              <a:cs typeface="Tahoma"/>
            </a:rPr>
            <a:t>   </a:t>
          </a:r>
        </a:p>
      </xdr:txBody>
    </xdr:sp>
    <xdr:clientData/>
  </xdr:twoCellAnchor>
  <xdr:twoCellAnchor>
    <xdr:from>
      <xdr:col>0</xdr:col>
      <xdr:colOff>28575</xdr:colOff>
      <xdr:row>145</xdr:row>
      <xdr:rowOff>47625</xdr:rowOff>
    </xdr:from>
    <xdr:to>
      <xdr:col>9</xdr:col>
      <xdr:colOff>714375</xdr:colOff>
      <xdr:row>158</xdr:row>
      <xdr:rowOff>152400</xdr:rowOff>
    </xdr:to>
    <xdr:sp macro="" textlink="">
      <xdr:nvSpPr>
        <xdr:cNvPr id="6" name="Text Box 8">
          <a:extLst>
            <a:ext uri="{FF2B5EF4-FFF2-40B4-BE49-F238E27FC236}">
              <a16:creationId xmlns="" xmlns:a16="http://schemas.microsoft.com/office/drawing/2014/main" id="{00000000-0008-0000-1500-000006000000}"/>
            </a:ext>
          </a:extLst>
        </xdr:cNvPr>
        <xdr:cNvSpPr txBox="1">
          <a:spLocks noChangeArrowheads="1"/>
        </xdr:cNvSpPr>
      </xdr:nvSpPr>
      <xdr:spPr bwMode="auto">
        <a:xfrm>
          <a:off x="28575" y="23479125"/>
          <a:ext cx="8877300" cy="1933575"/>
        </a:xfrm>
        <a:prstGeom prst="rect">
          <a:avLst/>
        </a:prstGeom>
        <a:noFill/>
        <a:ln w="9525">
          <a:no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9525</xdr:colOff>
      <xdr:row>47</xdr:row>
      <xdr:rowOff>47625</xdr:rowOff>
    </xdr:from>
    <xdr:to>
      <xdr:col>13</xdr:col>
      <xdr:colOff>0</xdr:colOff>
      <xdr:row>64</xdr:row>
      <xdr:rowOff>133350</xdr:rowOff>
    </xdr:to>
    <xdr:sp macro="" textlink="">
      <xdr:nvSpPr>
        <xdr:cNvPr id="2" name="Text Box 3">
          <a:extLst>
            <a:ext uri="{FF2B5EF4-FFF2-40B4-BE49-F238E27FC236}">
              <a16:creationId xmlns="" xmlns:a16="http://schemas.microsoft.com/office/drawing/2014/main" id="{00000000-0008-0000-1700-000002000000}"/>
            </a:ext>
          </a:extLst>
        </xdr:cNvPr>
        <xdr:cNvSpPr txBox="1">
          <a:spLocks noChangeArrowheads="1"/>
        </xdr:cNvSpPr>
      </xdr:nvSpPr>
      <xdr:spPr bwMode="auto">
        <a:xfrm>
          <a:off x="9525" y="7962900"/>
          <a:ext cx="11515725" cy="2847975"/>
        </a:xfrm>
        <a:prstGeom prst="rect">
          <a:avLst/>
        </a:prstGeom>
        <a:noFill/>
        <a:ln w="9525">
          <a:noFill/>
          <a:miter lim="800000"/>
          <a:headEnd/>
          <a:tailEnd/>
        </a:ln>
      </xdr:spPr>
      <xdr:txBody>
        <a:bodyPr/>
        <a:lstStyle/>
        <a:p>
          <a:r>
            <a:rPr lang="es-CO" sz="900"/>
            <a:t>-</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85725</xdr:colOff>
      <xdr:row>0</xdr:row>
      <xdr:rowOff>104775</xdr:rowOff>
    </xdr:from>
    <xdr:to>
      <xdr:col>1</xdr:col>
      <xdr:colOff>723900</xdr:colOff>
      <xdr:row>3</xdr:row>
      <xdr:rowOff>114300</xdr:rowOff>
    </xdr:to>
    <xdr:pic>
      <xdr:nvPicPr>
        <xdr:cNvPr id="32908" name="Imagen 3">
          <a:extLst>
            <a:ext uri="{FF2B5EF4-FFF2-40B4-BE49-F238E27FC236}">
              <a16:creationId xmlns="" xmlns:a16="http://schemas.microsoft.com/office/drawing/2014/main" id="{00000000-0008-0000-1B00-00008C8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5725" y="95250"/>
          <a:ext cx="1276350" cy="438150"/>
        </a:xfrm>
        <a:prstGeom prst="rect">
          <a:avLst/>
        </a:prstGeom>
        <a:solidFill>
          <a:srgbClr val="FFFFFF"/>
        </a:solidFill>
        <a:ln w="1">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247650</xdr:colOff>
      <xdr:row>3</xdr:row>
      <xdr:rowOff>38100</xdr:rowOff>
    </xdr:to>
    <xdr:pic>
      <xdr:nvPicPr>
        <xdr:cNvPr id="34602" name="Imagen 3">
          <a:extLst>
            <a:ext uri="{FF2B5EF4-FFF2-40B4-BE49-F238E27FC236}">
              <a16:creationId xmlns="" xmlns:a16="http://schemas.microsoft.com/office/drawing/2014/main" id="{00000000-0008-0000-1C00-00002A87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 y="47625"/>
          <a:ext cx="1104900" cy="476250"/>
        </a:xfrm>
        <a:prstGeom prst="rect">
          <a:avLst/>
        </a:prstGeom>
        <a:solidFill>
          <a:srgbClr val="FFFFFF"/>
        </a:solidFill>
        <a:ln w="1">
          <a:noFill/>
          <a:miter lim="800000"/>
          <a:headEnd/>
          <a:tailEnd/>
        </a:ln>
      </xdr:spPr>
    </xdr:pic>
    <xdr:clientData/>
  </xdr:twoCellAnchor>
  <xdr:twoCellAnchor>
    <xdr:from>
      <xdr:col>0</xdr:col>
      <xdr:colOff>85725</xdr:colOff>
      <xdr:row>125</xdr:row>
      <xdr:rowOff>76200</xdr:rowOff>
    </xdr:from>
    <xdr:to>
      <xdr:col>11</xdr:col>
      <xdr:colOff>714375</xdr:colOff>
      <xdr:row>137</xdr:row>
      <xdr:rowOff>57150</xdr:rowOff>
    </xdr:to>
    <xdr:sp macro="" textlink="">
      <xdr:nvSpPr>
        <xdr:cNvPr id="34603" name="Text Box 3">
          <a:extLst>
            <a:ext uri="{FF2B5EF4-FFF2-40B4-BE49-F238E27FC236}">
              <a16:creationId xmlns="" xmlns:a16="http://schemas.microsoft.com/office/drawing/2014/main" id="{00000000-0008-0000-1C00-00002B870000}"/>
            </a:ext>
          </a:extLst>
        </xdr:cNvPr>
        <xdr:cNvSpPr txBox="1">
          <a:spLocks noChangeArrowheads="1"/>
        </xdr:cNvSpPr>
      </xdr:nvSpPr>
      <xdr:spPr bwMode="auto">
        <a:xfrm>
          <a:off x="85725" y="20640675"/>
          <a:ext cx="10420350" cy="1924050"/>
        </a:xfrm>
        <a:prstGeom prst="rect">
          <a:avLst/>
        </a:prstGeom>
        <a:noFill/>
        <a:ln w="9525">
          <a:noFill/>
          <a:miter lim="800000"/>
          <a:headEnd/>
          <a:tailEnd/>
        </a:ln>
      </xdr:spPr>
    </xdr:sp>
    <xdr:clientData/>
  </xdr:twoCellAnchor>
  <xdr:twoCellAnchor>
    <xdr:from>
      <xdr:col>0</xdr:col>
      <xdr:colOff>47625</xdr:colOff>
      <xdr:row>103</xdr:row>
      <xdr:rowOff>76200</xdr:rowOff>
    </xdr:from>
    <xdr:to>
      <xdr:col>11</xdr:col>
      <xdr:colOff>752475</xdr:colOff>
      <xdr:row>123</xdr:row>
      <xdr:rowOff>95250</xdr:rowOff>
    </xdr:to>
    <xdr:sp macro="" textlink="">
      <xdr:nvSpPr>
        <xdr:cNvPr id="34604" name="Text Box 4">
          <a:extLst>
            <a:ext uri="{FF2B5EF4-FFF2-40B4-BE49-F238E27FC236}">
              <a16:creationId xmlns="" xmlns:a16="http://schemas.microsoft.com/office/drawing/2014/main" id="{00000000-0008-0000-1C00-00002C870000}"/>
            </a:ext>
          </a:extLst>
        </xdr:cNvPr>
        <xdr:cNvSpPr txBox="1">
          <a:spLocks noChangeArrowheads="1"/>
        </xdr:cNvSpPr>
      </xdr:nvSpPr>
      <xdr:spPr bwMode="auto">
        <a:xfrm>
          <a:off x="47625" y="17059275"/>
          <a:ext cx="10496550" cy="3257550"/>
        </a:xfrm>
        <a:prstGeom prst="rect">
          <a:avLst/>
        </a:prstGeom>
        <a:noFill/>
        <a:ln w="9525">
          <a:noFill/>
          <a:miter lim="800000"/>
          <a:headEnd/>
          <a:tailEnd/>
        </a:ln>
      </xdr:spPr>
    </xdr:sp>
    <xdr:clientData/>
  </xdr:twoCellAnchor>
  <xdr:twoCellAnchor>
    <xdr:from>
      <xdr:col>0</xdr:col>
      <xdr:colOff>38100</xdr:colOff>
      <xdr:row>81</xdr:row>
      <xdr:rowOff>57150</xdr:rowOff>
    </xdr:from>
    <xdr:to>
      <xdr:col>11</xdr:col>
      <xdr:colOff>733425</xdr:colOff>
      <xdr:row>101</xdr:row>
      <xdr:rowOff>76200</xdr:rowOff>
    </xdr:to>
    <xdr:sp macro="" textlink="">
      <xdr:nvSpPr>
        <xdr:cNvPr id="34605" name="Text Box 5">
          <a:extLst>
            <a:ext uri="{FF2B5EF4-FFF2-40B4-BE49-F238E27FC236}">
              <a16:creationId xmlns="" xmlns:a16="http://schemas.microsoft.com/office/drawing/2014/main" id="{00000000-0008-0000-1C00-00002D870000}"/>
            </a:ext>
          </a:extLst>
        </xdr:cNvPr>
        <xdr:cNvSpPr txBox="1">
          <a:spLocks noChangeArrowheads="1"/>
        </xdr:cNvSpPr>
      </xdr:nvSpPr>
      <xdr:spPr bwMode="auto">
        <a:xfrm>
          <a:off x="38100" y="13458825"/>
          <a:ext cx="10487025" cy="3257550"/>
        </a:xfrm>
        <a:prstGeom prst="rect">
          <a:avLst/>
        </a:prstGeom>
        <a:noFill/>
        <a:ln w="9525">
          <a:noFill/>
          <a:miter lim="800000"/>
          <a:headEnd/>
          <a:tailEnd/>
        </a:ln>
      </xdr:spPr>
    </xdr:sp>
    <xdr:clientData/>
  </xdr:twoCellAnchor>
  <xdr:twoCellAnchor>
    <xdr:from>
      <xdr:col>0</xdr:col>
      <xdr:colOff>38100</xdr:colOff>
      <xdr:row>69</xdr:row>
      <xdr:rowOff>57150</xdr:rowOff>
    </xdr:from>
    <xdr:to>
      <xdr:col>9</xdr:col>
      <xdr:colOff>990600</xdr:colOff>
      <xdr:row>76</xdr:row>
      <xdr:rowOff>95250</xdr:rowOff>
    </xdr:to>
    <xdr:sp macro="" textlink="">
      <xdr:nvSpPr>
        <xdr:cNvPr id="6" name="Text Box 6">
          <a:extLst>
            <a:ext uri="{FF2B5EF4-FFF2-40B4-BE49-F238E27FC236}">
              <a16:creationId xmlns="" xmlns:a16="http://schemas.microsoft.com/office/drawing/2014/main" id="{00000000-0008-0000-1C00-000006000000}"/>
            </a:ext>
          </a:extLst>
        </xdr:cNvPr>
        <xdr:cNvSpPr txBox="1">
          <a:spLocks noChangeArrowheads="1"/>
        </xdr:cNvSpPr>
      </xdr:nvSpPr>
      <xdr:spPr bwMode="auto">
        <a:xfrm>
          <a:off x="38100" y="12544425"/>
          <a:ext cx="9420225" cy="857250"/>
        </a:xfrm>
        <a:prstGeom prst="rect">
          <a:avLst/>
        </a:prstGeom>
        <a:noFill/>
        <a:ln w="9525">
          <a:noFill/>
          <a:miter lim="800000"/>
          <a:headEnd/>
          <a:tailEnd/>
        </a:ln>
      </xdr:spPr>
      <xdr:txBody>
        <a:bodyPr vertOverflow="clip" wrap="square" lIns="27432" tIns="18288" rIns="27432" bIns="0" anchor="t" upright="1"/>
        <a:lstStyle/>
        <a:p>
          <a:pPr algn="just" rtl="0">
            <a:defRPr sz="1000"/>
          </a:pPr>
          <a:r>
            <a:rPr lang="es-CO" sz="800" b="1" i="0" strike="noStrike">
              <a:solidFill>
                <a:srgbClr val="000000"/>
              </a:solidFill>
              <a:latin typeface="Tahoma"/>
              <a:cs typeface="Tahoma"/>
            </a:rPr>
            <a:t>COMENTARIOS:</a:t>
          </a:r>
          <a:r>
            <a:rPr lang="es-CO" sz="800" b="0" i="0" strike="noStrike">
              <a:solidFill>
                <a:srgbClr val="000000"/>
              </a:solidFill>
              <a:latin typeface="Tahoma"/>
              <a:cs typeface="Tahoma"/>
            </a:rPr>
            <a:t>   </a:t>
          </a:r>
        </a:p>
      </xdr:txBody>
    </xdr:sp>
    <xdr:clientData/>
  </xdr:twoCellAnchor>
  <xdr:twoCellAnchor>
    <xdr:from>
      <xdr:col>0</xdr:col>
      <xdr:colOff>28575</xdr:colOff>
      <xdr:row>139</xdr:row>
      <xdr:rowOff>47625</xdr:rowOff>
    </xdr:from>
    <xdr:to>
      <xdr:col>8</xdr:col>
      <xdr:colOff>714375</xdr:colOff>
      <xdr:row>152</xdr:row>
      <xdr:rowOff>152400</xdr:rowOff>
    </xdr:to>
    <xdr:sp macro="" textlink="">
      <xdr:nvSpPr>
        <xdr:cNvPr id="34607" name="Text Box 8">
          <a:extLst>
            <a:ext uri="{FF2B5EF4-FFF2-40B4-BE49-F238E27FC236}">
              <a16:creationId xmlns="" xmlns:a16="http://schemas.microsoft.com/office/drawing/2014/main" id="{00000000-0008-0000-1C00-00002F870000}"/>
            </a:ext>
          </a:extLst>
        </xdr:cNvPr>
        <xdr:cNvSpPr txBox="1">
          <a:spLocks noChangeArrowheads="1"/>
        </xdr:cNvSpPr>
      </xdr:nvSpPr>
      <xdr:spPr bwMode="auto">
        <a:xfrm>
          <a:off x="28575" y="22879050"/>
          <a:ext cx="7581900" cy="1933575"/>
        </a:xfrm>
        <a:prstGeom prst="rect">
          <a:avLst/>
        </a:prstGeom>
        <a:noFill/>
        <a:ln w="9525">
          <a:noFill/>
          <a:miter lim="800000"/>
          <a:headEnd/>
          <a:tailEnd/>
        </a:ln>
      </xdr:spPr>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47625</xdr:colOff>
      <xdr:row>5</xdr:row>
      <xdr:rowOff>28575</xdr:rowOff>
    </xdr:from>
    <xdr:to>
      <xdr:col>14</xdr:col>
      <xdr:colOff>742950</xdr:colOff>
      <xdr:row>19</xdr:row>
      <xdr:rowOff>66675</xdr:rowOff>
    </xdr:to>
    <xdr:graphicFrame macro="">
      <xdr:nvGraphicFramePr>
        <xdr:cNvPr id="39816" name="1 Gráfico">
          <a:extLst>
            <a:ext uri="{FF2B5EF4-FFF2-40B4-BE49-F238E27FC236}">
              <a16:creationId xmlns="" xmlns:a16="http://schemas.microsoft.com/office/drawing/2014/main" id="{00000000-0008-0000-1D00-0000889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28575</xdr:colOff>
      <xdr:row>22</xdr:row>
      <xdr:rowOff>66675</xdr:rowOff>
    </xdr:from>
    <xdr:to>
      <xdr:col>14</xdr:col>
      <xdr:colOff>742950</xdr:colOff>
      <xdr:row>37</xdr:row>
      <xdr:rowOff>57150</xdr:rowOff>
    </xdr:to>
    <xdr:graphicFrame macro="">
      <xdr:nvGraphicFramePr>
        <xdr:cNvPr id="39818" name="3 Gráfico">
          <a:extLst>
            <a:ext uri="{FF2B5EF4-FFF2-40B4-BE49-F238E27FC236}">
              <a16:creationId xmlns="" xmlns:a16="http://schemas.microsoft.com/office/drawing/2014/main" id="{00000000-0008-0000-1D00-00008A9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180975</xdr:colOff>
      <xdr:row>1</xdr:row>
      <xdr:rowOff>28575</xdr:rowOff>
    </xdr:from>
    <xdr:to>
      <xdr:col>12</xdr:col>
      <xdr:colOff>180975</xdr:colOff>
      <xdr:row>2</xdr:row>
      <xdr:rowOff>9525</xdr:rowOff>
    </xdr:to>
    <xdr:cxnSp macro="">
      <xdr:nvCxnSpPr>
        <xdr:cNvPr id="39820" name="8 Conector recto">
          <a:extLst>
            <a:ext uri="{FF2B5EF4-FFF2-40B4-BE49-F238E27FC236}">
              <a16:creationId xmlns="" xmlns:a16="http://schemas.microsoft.com/office/drawing/2014/main" id="{00000000-0008-0000-1D00-00008C9B0000}"/>
            </a:ext>
          </a:extLst>
        </xdr:cNvPr>
        <xdr:cNvCxnSpPr>
          <a:cxnSpLocks noChangeShapeType="1"/>
        </xdr:cNvCxnSpPr>
      </xdr:nvCxnSpPr>
      <xdr:spPr bwMode="auto">
        <a:xfrm rot="5400000">
          <a:off x="7553325" y="276225"/>
          <a:ext cx="209550" cy="0"/>
        </a:xfrm>
        <a:prstGeom prst="line">
          <a:avLst/>
        </a:prstGeom>
        <a:noFill/>
        <a:ln w="25400" algn="ctr">
          <a:solidFill>
            <a:srgbClr val="000000"/>
          </a:solidFill>
          <a:round/>
          <a:headEnd/>
          <a:tailEnd/>
        </a:ln>
      </xdr:spPr>
    </xdr:cxnSp>
    <xdr:clientData/>
  </xdr:twoCellAnchor>
  <xdr:twoCellAnchor editAs="oneCell">
    <xdr:from>
      <xdr:col>0</xdr:col>
      <xdr:colOff>0</xdr:colOff>
      <xdr:row>38</xdr:row>
      <xdr:rowOff>47625</xdr:rowOff>
    </xdr:from>
    <xdr:to>
      <xdr:col>2</xdr:col>
      <xdr:colOff>390525</xdr:colOff>
      <xdr:row>40</xdr:row>
      <xdr:rowOff>9525</xdr:rowOff>
    </xdr:to>
    <xdr:pic>
      <xdr:nvPicPr>
        <xdr:cNvPr id="39821" name="Picture 26">
          <a:extLst>
            <a:ext uri="{FF2B5EF4-FFF2-40B4-BE49-F238E27FC236}">
              <a16:creationId xmlns="" xmlns:a16="http://schemas.microsoft.com/office/drawing/2014/main" id="{00000000-0008-0000-1D00-00008D9B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5734050"/>
          <a:ext cx="828675" cy="247650"/>
        </a:xfrm>
        <a:prstGeom prst="rect">
          <a:avLst/>
        </a:prstGeom>
        <a:noFill/>
        <a:ln w="9525">
          <a:noFill/>
          <a:miter lim="800000"/>
          <a:headEnd/>
          <a:tailEnd/>
        </a:ln>
      </xdr:spPr>
    </xdr:pic>
    <xdr:clientData/>
  </xdr:twoCellAnchor>
  <xdr:twoCellAnchor>
    <xdr:from>
      <xdr:col>13</xdr:col>
      <xdr:colOff>390525</xdr:colOff>
      <xdr:row>1</xdr:row>
      <xdr:rowOff>19050</xdr:rowOff>
    </xdr:from>
    <xdr:to>
      <xdr:col>13</xdr:col>
      <xdr:colOff>390525</xdr:colOff>
      <xdr:row>2</xdr:row>
      <xdr:rowOff>57150</xdr:rowOff>
    </xdr:to>
    <xdr:cxnSp macro="">
      <xdr:nvCxnSpPr>
        <xdr:cNvPr id="39822" name="6 Conector recto">
          <a:extLst>
            <a:ext uri="{FF2B5EF4-FFF2-40B4-BE49-F238E27FC236}">
              <a16:creationId xmlns="" xmlns:a16="http://schemas.microsoft.com/office/drawing/2014/main" id="{00000000-0008-0000-1D00-00008E9B0000}"/>
            </a:ext>
          </a:extLst>
        </xdr:cNvPr>
        <xdr:cNvCxnSpPr>
          <a:cxnSpLocks noChangeShapeType="1"/>
        </xdr:cNvCxnSpPr>
      </xdr:nvCxnSpPr>
      <xdr:spPr bwMode="auto">
        <a:xfrm rot="5400000">
          <a:off x="8201025" y="295275"/>
          <a:ext cx="266700" cy="0"/>
        </a:xfrm>
        <a:prstGeom prst="line">
          <a:avLst/>
        </a:prstGeom>
        <a:noFill/>
        <a:ln w="50800" algn="ctr">
          <a:solidFill>
            <a:srgbClr val="FF0000"/>
          </a:solidFill>
          <a:round/>
          <a:headEnd/>
          <a:tailEnd/>
        </a:ln>
      </xdr:spPr>
    </xdr:cxn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742950</xdr:colOff>
      <xdr:row>8</xdr:row>
      <xdr:rowOff>85725</xdr:rowOff>
    </xdr:from>
    <xdr:to>
      <xdr:col>7</xdr:col>
      <xdr:colOff>209550</xdr:colOff>
      <xdr:row>22</xdr:row>
      <xdr:rowOff>0</xdr:rowOff>
    </xdr:to>
    <xdr:graphicFrame macro="">
      <xdr:nvGraphicFramePr>
        <xdr:cNvPr id="2" name="2 Gráfico">
          <a:extLst>
            <a:ext uri="{FF2B5EF4-FFF2-40B4-BE49-F238E27FC236}">
              <a16:creationId xmlns=""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752475</xdr:colOff>
      <xdr:row>22</xdr:row>
      <xdr:rowOff>85725</xdr:rowOff>
    </xdr:from>
    <xdr:to>
      <xdr:col>7</xdr:col>
      <xdr:colOff>333375</xdr:colOff>
      <xdr:row>38</xdr:row>
      <xdr:rowOff>57150</xdr:rowOff>
    </xdr:to>
    <xdr:graphicFrame macro="">
      <xdr:nvGraphicFramePr>
        <xdr:cNvPr id="3" name="3 Gráfico">
          <a:extLst>
            <a:ext uri="{FF2B5EF4-FFF2-40B4-BE49-F238E27FC236}">
              <a16:creationId xmlns=""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133350</xdr:colOff>
      <xdr:row>17</xdr:row>
      <xdr:rowOff>114300</xdr:rowOff>
    </xdr:from>
    <xdr:to>
      <xdr:col>6</xdr:col>
      <xdr:colOff>638175</xdr:colOff>
      <xdr:row>19</xdr:row>
      <xdr:rowOff>47625</xdr:rowOff>
    </xdr:to>
    <xdr:sp macro="" textlink="">
      <xdr:nvSpPr>
        <xdr:cNvPr id="4" name="3 CuadroTexto">
          <a:extLst>
            <a:ext uri="{FF2B5EF4-FFF2-40B4-BE49-F238E27FC236}">
              <a16:creationId xmlns="" xmlns:a16="http://schemas.microsoft.com/office/drawing/2014/main" id="{00000000-0008-0000-1E00-000004000000}"/>
            </a:ext>
          </a:extLst>
        </xdr:cNvPr>
        <xdr:cNvSpPr txBox="1"/>
      </xdr:nvSpPr>
      <xdr:spPr>
        <a:xfrm>
          <a:off x="3581400" y="2628900"/>
          <a:ext cx="504825"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700" b="1">
              <a:solidFill>
                <a:srgbClr val="FF0000"/>
              </a:solidFill>
              <a:latin typeface="Arial" pitchFamily="34" charset="0"/>
              <a:cs typeface="Arial" pitchFamily="34" charset="0"/>
            </a:rPr>
            <a:t>CAGR</a:t>
          </a:r>
        </a:p>
      </xdr:txBody>
    </xdr:sp>
    <xdr:clientData/>
  </xdr:twoCellAnchor>
  <xdr:twoCellAnchor>
    <xdr:from>
      <xdr:col>1</xdr:col>
      <xdr:colOff>695325</xdr:colOff>
      <xdr:row>23</xdr:row>
      <xdr:rowOff>133350</xdr:rowOff>
    </xdr:from>
    <xdr:to>
      <xdr:col>4</xdr:col>
      <xdr:colOff>628650</xdr:colOff>
      <xdr:row>25</xdr:row>
      <xdr:rowOff>76200</xdr:rowOff>
    </xdr:to>
    <xdr:sp macro="" textlink="">
      <xdr:nvSpPr>
        <xdr:cNvPr id="5" name="4 CuadroTexto">
          <a:extLst>
            <a:ext uri="{FF2B5EF4-FFF2-40B4-BE49-F238E27FC236}">
              <a16:creationId xmlns="" xmlns:a16="http://schemas.microsoft.com/office/drawing/2014/main" id="{00000000-0008-0000-1E00-000005000000}"/>
            </a:ext>
          </a:extLst>
        </xdr:cNvPr>
        <xdr:cNvSpPr txBox="1"/>
      </xdr:nvSpPr>
      <xdr:spPr>
        <a:xfrm>
          <a:off x="400050" y="3505200"/>
          <a:ext cx="2152650" cy="2286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800" b="1">
              <a:solidFill>
                <a:schemeClr val="tx1">
                  <a:lumMod val="65000"/>
                  <a:lumOff val="35000"/>
                </a:schemeClr>
              </a:solidFill>
              <a:latin typeface="Arial" pitchFamily="34" charset="0"/>
              <a:cs typeface="Arial" pitchFamily="34" charset="0"/>
            </a:rPr>
            <a:t>Deuda Financiera (COP MM)</a:t>
          </a:r>
        </a:p>
      </xdr:txBody>
    </xdr:sp>
    <xdr:clientData/>
  </xdr:twoCellAnchor>
  <xdr:twoCellAnchor>
    <xdr:from>
      <xdr:col>7</xdr:col>
      <xdr:colOff>685800</xdr:colOff>
      <xdr:row>8</xdr:row>
      <xdr:rowOff>66675</xdr:rowOff>
    </xdr:from>
    <xdr:to>
      <xdr:col>13</xdr:col>
      <xdr:colOff>228600</xdr:colOff>
      <xdr:row>21</xdr:row>
      <xdr:rowOff>95250</xdr:rowOff>
    </xdr:to>
    <xdr:graphicFrame macro="">
      <xdr:nvGraphicFramePr>
        <xdr:cNvPr id="6" name="2 Gráfico">
          <a:extLst>
            <a:ext uri="{FF2B5EF4-FFF2-40B4-BE49-F238E27FC236}">
              <a16:creationId xmlns="" xmlns:a16="http://schemas.microsoft.com/office/drawing/2014/main" id="{00000000-0008-0000-1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76200</xdr:colOff>
      <xdr:row>17</xdr:row>
      <xdr:rowOff>114300</xdr:rowOff>
    </xdr:from>
    <xdr:to>
      <xdr:col>12</xdr:col>
      <xdr:colOff>581025</xdr:colOff>
      <xdr:row>19</xdr:row>
      <xdr:rowOff>47625</xdr:rowOff>
    </xdr:to>
    <xdr:sp macro="" textlink="">
      <xdr:nvSpPr>
        <xdr:cNvPr id="7" name="6 CuadroTexto">
          <a:extLst>
            <a:ext uri="{FF2B5EF4-FFF2-40B4-BE49-F238E27FC236}">
              <a16:creationId xmlns="" xmlns:a16="http://schemas.microsoft.com/office/drawing/2014/main" id="{00000000-0008-0000-1E00-000007000000}"/>
            </a:ext>
          </a:extLst>
        </xdr:cNvPr>
        <xdr:cNvSpPr txBox="1"/>
      </xdr:nvSpPr>
      <xdr:spPr>
        <a:xfrm>
          <a:off x="7791450" y="2628900"/>
          <a:ext cx="504825"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700" b="1">
              <a:solidFill>
                <a:srgbClr val="FF0000"/>
              </a:solidFill>
              <a:latin typeface="Arial" pitchFamily="34" charset="0"/>
              <a:cs typeface="Arial" pitchFamily="34" charset="0"/>
            </a:rPr>
            <a:t>CAGR</a:t>
          </a:r>
        </a:p>
      </xdr:txBody>
    </xdr:sp>
    <xdr:clientData/>
  </xdr:twoCellAnchor>
  <xdr:twoCellAnchor>
    <xdr:from>
      <xdr:col>8</xdr:col>
      <xdr:colOff>0</xdr:colOff>
      <xdr:row>23</xdr:row>
      <xdr:rowOff>66675</xdr:rowOff>
    </xdr:from>
    <xdr:to>
      <xdr:col>13</xdr:col>
      <xdr:colOff>47625</xdr:colOff>
      <xdr:row>38</xdr:row>
      <xdr:rowOff>76200</xdr:rowOff>
    </xdr:to>
    <xdr:graphicFrame macro="">
      <xdr:nvGraphicFramePr>
        <xdr:cNvPr id="8" name="8 Gráfico">
          <a:extLst>
            <a:ext uri="{FF2B5EF4-FFF2-40B4-BE49-F238E27FC236}">
              <a16:creationId xmlns="" xmlns:a16="http://schemas.microsoft.com/office/drawing/2014/main" id="{00000000-0008-0000-1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9525</xdr:colOff>
      <xdr:row>23</xdr:row>
      <xdr:rowOff>57150</xdr:rowOff>
    </xdr:from>
    <xdr:to>
      <xdr:col>10</xdr:col>
      <xdr:colOff>704850</xdr:colOff>
      <xdr:row>25</xdr:row>
      <xdr:rowOff>0</xdr:rowOff>
    </xdr:to>
    <xdr:sp macro="" textlink="">
      <xdr:nvSpPr>
        <xdr:cNvPr id="9" name="8 CuadroTexto">
          <a:extLst>
            <a:ext uri="{FF2B5EF4-FFF2-40B4-BE49-F238E27FC236}">
              <a16:creationId xmlns="" xmlns:a16="http://schemas.microsoft.com/office/drawing/2014/main" id="{00000000-0008-0000-1E00-000009000000}"/>
            </a:ext>
          </a:extLst>
        </xdr:cNvPr>
        <xdr:cNvSpPr txBox="1"/>
      </xdr:nvSpPr>
      <xdr:spPr>
        <a:xfrm>
          <a:off x="4676775" y="3429000"/>
          <a:ext cx="2219325" cy="2286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800" b="1">
              <a:solidFill>
                <a:schemeClr val="tx1">
                  <a:lumMod val="65000"/>
                  <a:lumOff val="35000"/>
                </a:schemeClr>
              </a:solidFill>
              <a:latin typeface="Arial" pitchFamily="34" charset="0"/>
              <a:cs typeface="Arial" pitchFamily="34" charset="0"/>
            </a:rPr>
            <a:t>Deuda Financiera / EBITDA</a:t>
          </a:r>
        </a:p>
      </xdr:txBody>
    </xdr:sp>
    <xdr:clientData/>
  </xdr:twoCellAnchor>
  <xdr:twoCellAnchor>
    <xdr:from>
      <xdr:col>12</xdr:col>
      <xdr:colOff>104775</xdr:colOff>
      <xdr:row>1</xdr:row>
      <xdr:rowOff>38100</xdr:rowOff>
    </xdr:from>
    <xdr:to>
      <xdr:col>12</xdr:col>
      <xdr:colOff>104775</xdr:colOff>
      <xdr:row>2</xdr:row>
      <xdr:rowOff>28575</xdr:rowOff>
    </xdr:to>
    <xdr:cxnSp macro="">
      <xdr:nvCxnSpPr>
        <xdr:cNvPr id="10" name="8 Conector recto">
          <a:extLst>
            <a:ext uri="{FF2B5EF4-FFF2-40B4-BE49-F238E27FC236}">
              <a16:creationId xmlns="" xmlns:a16="http://schemas.microsoft.com/office/drawing/2014/main" id="{00000000-0008-0000-1E00-00000A000000}"/>
            </a:ext>
          </a:extLst>
        </xdr:cNvPr>
        <xdr:cNvCxnSpPr>
          <a:cxnSpLocks noChangeShapeType="1"/>
        </xdr:cNvCxnSpPr>
      </xdr:nvCxnSpPr>
      <xdr:spPr bwMode="auto">
        <a:xfrm rot="5400000">
          <a:off x="7710487" y="290513"/>
          <a:ext cx="219075" cy="0"/>
        </a:xfrm>
        <a:prstGeom prst="line">
          <a:avLst/>
        </a:prstGeom>
        <a:noFill/>
        <a:ln w="25400" algn="ctr">
          <a:solidFill>
            <a:srgbClr val="000000"/>
          </a:solidFill>
          <a:round/>
          <a:headEnd/>
          <a:tailEnd/>
        </a:ln>
      </xdr:spPr>
    </xdr:cxnSp>
    <xdr:clientData/>
  </xdr:twoCellAnchor>
  <xdr:twoCellAnchor>
    <xdr:from>
      <xdr:col>12</xdr:col>
      <xdr:colOff>714375</xdr:colOff>
      <xdr:row>1</xdr:row>
      <xdr:rowOff>19050</xdr:rowOff>
    </xdr:from>
    <xdr:to>
      <xdr:col>12</xdr:col>
      <xdr:colOff>714375</xdr:colOff>
      <xdr:row>2</xdr:row>
      <xdr:rowOff>57150</xdr:rowOff>
    </xdr:to>
    <xdr:cxnSp macro="">
      <xdr:nvCxnSpPr>
        <xdr:cNvPr id="11" name="6 Conector recto">
          <a:extLst>
            <a:ext uri="{FF2B5EF4-FFF2-40B4-BE49-F238E27FC236}">
              <a16:creationId xmlns="" xmlns:a16="http://schemas.microsoft.com/office/drawing/2014/main" id="{00000000-0008-0000-1E00-00000B000000}"/>
            </a:ext>
          </a:extLst>
        </xdr:cNvPr>
        <xdr:cNvCxnSpPr>
          <a:cxnSpLocks noChangeShapeType="1"/>
        </xdr:cNvCxnSpPr>
      </xdr:nvCxnSpPr>
      <xdr:spPr bwMode="auto">
        <a:xfrm rot="5400000">
          <a:off x="8296275" y="295275"/>
          <a:ext cx="266700" cy="0"/>
        </a:xfrm>
        <a:prstGeom prst="line">
          <a:avLst/>
        </a:prstGeom>
        <a:noFill/>
        <a:ln w="50800" algn="ctr">
          <a:solidFill>
            <a:srgbClr val="FF0000"/>
          </a:solidFill>
          <a:round/>
          <a:headEnd/>
          <a:tailEnd/>
        </a:ln>
      </xdr:spPr>
    </xdr:cxnSp>
    <xdr:clientData/>
  </xdr:twoCellAnchor>
  <xdr:twoCellAnchor editAs="oneCell">
    <xdr:from>
      <xdr:col>0</xdr:col>
      <xdr:colOff>9525</xdr:colOff>
      <xdr:row>40</xdr:row>
      <xdr:rowOff>38100</xdr:rowOff>
    </xdr:from>
    <xdr:to>
      <xdr:col>2</xdr:col>
      <xdr:colOff>438150</xdr:colOff>
      <xdr:row>42</xdr:row>
      <xdr:rowOff>0</xdr:rowOff>
    </xdr:to>
    <xdr:pic>
      <xdr:nvPicPr>
        <xdr:cNvPr id="12" name="Picture 26">
          <a:extLst>
            <a:ext uri="{FF2B5EF4-FFF2-40B4-BE49-F238E27FC236}">
              <a16:creationId xmlns=""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9525" y="5838825"/>
          <a:ext cx="828675" cy="247650"/>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xdr:col>
      <xdr:colOff>66675</xdr:colOff>
      <xdr:row>41</xdr:row>
      <xdr:rowOff>104775</xdr:rowOff>
    </xdr:to>
    <xdr:pic>
      <xdr:nvPicPr>
        <xdr:cNvPr id="359686" name="Picture 26">
          <a:extLst>
            <a:ext uri="{FF2B5EF4-FFF2-40B4-BE49-F238E27FC236}">
              <a16:creationId xmlns="" xmlns:a16="http://schemas.microsoft.com/office/drawing/2014/main" id="{00000000-0008-0000-1F00-0000067D0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5819775"/>
          <a:ext cx="828675" cy="247650"/>
        </a:xfrm>
        <a:prstGeom prst="rect">
          <a:avLst/>
        </a:prstGeom>
        <a:noFill/>
        <a:ln w="9525">
          <a:noFill/>
          <a:miter lim="800000"/>
          <a:headEnd/>
          <a:tailEnd/>
        </a:ln>
      </xdr:spPr>
    </xdr:pic>
    <xdr:clientData/>
  </xdr:twoCellAnchor>
  <xdr:twoCellAnchor>
    <xdr:from>
      <xdr:col>12</xdr:col>
      <xdr:colOff>714375</xdr:colOff>
      <xdr:row>1</xdr:row>
      <xdr:rowOff>19050</xdr:rowOff>
    </xdr:from>
    <xdr:to>
      <xdr:col>12</xdr:col>
      <xdr:colOff>714375</xdr:colOff>
      <xdr:row>2</xdr:row>
      <xdr:rowOff>57150</xdr:rowOff>
    </xdr:to>
    <xdr:cxnSp macro="">
      <xdr:nvCxnSpPr>
        <xdr:cNvPr id="359687" name="6 Conector recto">
          <a:extLst>
            <a:ext uri="{FF2B5EF4-FFF2-40B4-BE49-F238E27FC236}">
              <a16:creationId xmlns="" xmlns:a16="http://schemas.microsoft.com/office/drawing/2014/main" id="{00000000-0008-0000-1F00-0000077D0500}"/>
            </a:ext>
          </a:extLst>
        </xdr:cNvPr>
        <xdr:cNvCxnSpPr>
          <a:cxnSpLocks noChangeShapeType="1"/>
        </xdr:cNvCxnSpPr>
      </xdr:nvCxnSpPr>
      <xdr:spPr bwMode="auto">
        <a:xfrm rot="5400000">
          <a:off x="8267700" y="295275"/>
          <a:ext cx="266700" cy="0"/>
        </a:xfrm>
        <a:prstGeom prst="line">
          <a:avLst/>
        </a:prstGeom>
        <a:noFill/>
        <a:ln w="50800" algn="ctr">
          <a:solidFill>
            <a:srgbClr val="FF0000"/>
          </a:solidFill>
          <a:round/>
          <a:headEnd/>
          <a:tailEnd/>
        </a:ln>
      </xdr:spPr>
    </xdr:cxnSp>
    <xdr:clientData/>
  </xdr:twoCellAnchor>
  <xdr:twoCellAnchor>
    <xdr:from>
      <xdr:col>12</xdr:col>
      <xdr:colOff>47625</xdr:colOff>
      <xdr:row>1</xdr:row>
      <xdr:rowOff>38100</xdr:rowOff>
    </xdr:from>
    <xdr:to>
      <xdr:col>12</xdr:col>
      <xdr:colOff>47625</xdr:colOff>
      <xdr:row>2</xdr:row>
      <xdr:rowOff>28575</xdr:rowOff>
    </xdr:to>
    <xdr:cxnSp macro="">
      <xdr:nvCxnSpPr>
        <xdr:cNvPr id="359688" name="8 Conector recto">
          <a:extLst>
            <a:ext uri="{FF2B5EF4-FFF2-40B4-BE49-F238E27FC236}">
              <a16:creationId xmlns="" xmlns:a16="http://schemas.microsoft.com/office/drawing/2014/main" id="{00000000-0008-0000-1F00-0000087D0500}"/>
            </a:ext>
          </a:extLst>
        </xdr:cNvPr>
        <xdr:cNvCxnSpPr>
          <a:cxnSpLocks noChangeShapeType="1"/>
        </xdr:cNvCxnSpPr>
      </xdr:nvCxnSpPr>
      <xdr:spPr bwMode="auto">
        <a:xfrm rot="5400000">
          <a:off x="7624762" y="290513"/>
          <a:ext cx="219075" cy="0"/>
        </a:xfrm>
        <a:prstGeom prst="line">
          <a:avLst/>
        </a:prstGeom>
        <a:noFill/>
        <a:ln w="25400" algn="ctr">
          <a:solidFill>
            <a:srgbClr val="000000"/>
          </a:solidFill>
          <a:round/>
          <a:headEnd/>
          <a:tailEnd/>
        </a:ln>
      </xdr:spPr>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xdr:col>
      <xdr:colOff>66675</xdr:colOff>
      <xdr:row>38</xdr:row>
      <xdr:rowOff>104774</xdr:rowOff>
    </xdr:to>
    <xdr:pic>
      <xdr:nvPicPr>
        <xdr:cNvPr id="279850" name="Picture 26">
          <a:extLst>
            <a:ext uri="{FF2B5EF4-FFF2-40B4-BE49-F238E27FC236}">
              <a16:creationId xmlns="" xmlns:a16="http://schemas.microsoft.com/office/drawing/2014/main" id="{00000000-0008-0000-2000-00002A4504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5734050"/>
          <a:ext cx="828675" cy="247650"/>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xdr:colOff>
      <xdr:row>36</xdr:row>
      <xdr:rowOff>123825</xdr:rowOff>
    </xdr:from>
    <xdr:to>
      <xdr:col>1</xdr:col>
      <xdr:colOff>171450</xdr:colOff>
      <xdr:row>38</xdr:row>
      <xdr:rowOff>85725</xdr:rowOff>
    </xdr:to>
    <xdr:pic>
      <xdr:nvPicPr>
        <xdr:cNvPr id="327954" name="Picture 26">
          <a:extLst>
            <a:ext uri="{FF2B5EF4-FFF2-40B4-BE49-F238E27FC236}">
              <a16:creationId xmlns="" xmlns:a16="http://schemas.microsoft.com/office/drawing/2014/main" id="{00000000-0008-0000-2100-000012010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 y="5800725"/>
          <a:ext cx="828675" cy="247650"/>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133350</xdr:colOff>
      <xdr:row>8</xdr:row>
      <xdr:rowOff>133350</xdr:rowOff>
    </xdr:from>
    <xdr:to>
      <xdr:col>7</xdr:col>
      <xdr:colOff>142875</xdr:colOff>
      <xdr:row>23</xdr:row>
      <xdr:rowOff>133350</xdr:rowOff>
    </xdr:to>
    <xdr:graphicFrame macro="">
      <xdr:nvGraphicFramePr>
        <xdr:cNvPr id="3" name="3 Gráfico">
          <a:extLst>
            <a:ext uri="{FF2B5EF4-FFF2-40B4-BE49-F238E27FC236}">
              <a16:creationId xmlns="" xmlns:a16="http://schemas.microsoft.com/office/drawing/2014/main" id="{00000000-0008-0000-2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371475</xdr:colOff>
      <xdr:row>9</xdr:row>
      <xdr:rowOff>0</xdr:rowOff>
    </xdr:from>
    <xdr:to>
      <xdr:col>12</xdr:col>
      <xdr:colOff>600075</xdr:colOff>
      <xdr:row>24</xdr:row>
      <xdr:rowOff>9525</xdr:rowOff>
    </xdr:to>
    <xdr:graphicFrame macro="">
      <xdr:nvGraphicFramePr>
        <xdr:cNvPr id="8" name="8 Gráfico">
          <a:extLst>
            <a:ext uri="{FF2B5EF4-FFF2-40B4-BE49-F238E27FC236}">
              <a16:creationId xmlns=""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104775</xdr:colOff>
      <xdr:row>1</xdr:row>
      <xdr:rowOff>38100</xdr:rowOff>
    </xdr:from>
    <xdr:to>
      <xdr:col>12</xdr:col>
      <xdr:colOff>104775</xdr:colOff>
      <xdr:row>2</xdr:row>
      <xdr:rowOff>28575</xdr:rowOff>
    </xdr:to>
    <xdr:cxnSp macro="">
      <xdr:nvCxnSpPr>
        <xdr:cNvPr id="10" name="8 Conector recto">
          <a:extLst>
            <a:ext uri="{FF2B5EF4-FFF2-40B4-BE49-F238E27FC236}">
              <a16:creationId xmlns="" xmlns:a16="http://schemas.microsoft.com/office/drawing/2014/main" id="{00000000-0008-0000-2600-00000A000000}"/>
            </a:ext>
          </a:extLst>
        </xdr:cNvPr>
        <xdr:cNvCxnSpPr>
          <a:cxnSpLocks noChangeShapeType="1"/>
        </xdr:cNvCxnSpPr>
      </xdr:nvCxnSpPr>
      <xdr:spPr bwMode="auto">
        <a:xfrm rot="5400000">
          <a:off x="7710487" y="290513"/>
          <a:ext cx="219075" cy="0"/>
        </a:xfrm>
        <a:prstGeom prst="line">
          <a:avLst/>
        </a:prstGeom>
        <a:noFill/>
        <a:ln w="25400" algn="ctr">
          <a:solidFill>
            <a:srgbClr val="000000"/>
          </a:solidFill>
          <a:round/>
          <a:headEnd/>
          <a:tailEnd/>
        </a:ln>
      </xdr:spPr>
    </xdr:cxnSp>
    <xdr:clientData/>
  </xdr:twoCellAnchor>
  <xdr:twoCellAnchor>
    <xdr:from>
      <xdr:col>12</xdr:col>
      <xdr:colOff>714375</xdr:colOff>
      <xdr:row>1</xdr:row>
      <xdr:rowOff>19050</xdr:rowOff>
    </xdr:from>
    <xdr:to>
      <xdr:col>12</xdr:col>
      <xdr:colOff>714375</xdr:colOff>
      <xdr:row>2</xdr:row>
      <xdr:rowOff>57150</xdr:rowOff>
    </xdr:to>
    <xdr:cxnSp macro="">
      <xdr:nvCxnSpPr>
        <xdr:cNvPr id="11" name="6 Conector recto">
          <a:extLst>
            <a:ext uri="{FF2B5EF4-FFF2-40B4-BE49-F238E27FC236}">
              <a16:creationId xmlns="" xmlns:a16="http://schemas.microsoft.com/office/drawing/2014/main" id="{00000000-0008-0000-2600-00000B000000}"/>
            </a:ext>
          </a:extLst>
        </xdr:cNvPr>
        <xdr:cNvCxnSpPr>
          <a:cxnSpLocks noChangeShapeType="1"/>
        </xdr:cNvCxnSpPr>
      </xdr:nvCxnSpPr>
      <xdr:spPr bwMode="auto">
        <a:xfrm rot="5400000">
          <a:off x="8296275" y="295275"/>
          <a:ext cx="266700" cy="0"/>
        </a:xfrm>
        <a:prstGeom prst="line">
          <a:avLst/>
        </a:prstGeom>
        <a:noFill/>
        <a:ln w="50800" algn="ctr">
          <a:solidFill>
            <a:srgbClr val="FF0000"/>
          </a:solidFill>
          <a:round/>
          <a:headEnd/>
          <a:tailEnd/>
        </a:ln>
      </xdr:spPr>
    </xdr:cxnSp>
    <xdr:clientData/>
  </xdr:twoCellAnchor>
  <xdr:twoCellAnchor editAs="oneCell">
    <xdr:from>
      <xdr:col>0</xdr:col>
      <xdr:colOff>9525</xdr:colOff>
      <xdr:row>38</xdr:row>
      <xdr:rowOff>38100</xdr:rowOff>
    </xdr:from>
    <xdr:to>
      <xdr:col>2</xdr:col>
      <xdr:colOff>438150</xdr:colOff>
      <xdr:row>40</xdr:row>
      <xdr:rowOff>0</xdr:rowOff>
    </xdr:to>
    <xdr:pic>
      <xdr:nvPicPr>
        <xdr:cNvPr id="12" name="Picture 26">
          <a:extLst>
            <a:ext uri="{FF2B5EF4-FFF2-40B4-BE49-F238E27FC236}">
              <a16:creationId xmlns="" xmlns:a16="http://schemas.microsoft.com/office/drawing/2014/main" id="{00000000-0008-0000-2600-00000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9525" y="5838825"/>
          <a:ext cx="828675" cy="247650"/>
        </a:xfrm>
        <a:prstGeom prst="rect">
          <a:avLst/>
        </a:prstGeom>
        <a:noFill/>
        <a:ln w="9525">
          <a:noFill/>
          <a:miter lim="800000"/>
          <a:headEnd/>
          <a:tailEnd/>
        </a:ln>
      </xdr:spPr>
    </xdr:pic>
    <xdr:clientData/>
  </xdr:twoCellAnchor>
  <xdr:twoCellAnchor>
    <xdr:from>
      <xdr:col>0</xdr:col>
      <xdr:colOff>142875</xdr:colOff>
      <xdr:row>26</xdr:row>
      <xdr:rowOff>134938</xdr:rowOff>
    </xdr:from>
    <xdr:to>
      <xdr:col>13</xdr:col>
      <xdr:colOff>87313</xdr:colOff>
      <xdr:row>33</xdr:row>
      <xdr:rowOff>114300</xdr:rowOff>
    </xdr:to>
    <xdr:sp macro="" textlink="">
      <xdr:nvSpPr>
        <xdr:cNvPr id="13" name="Text Box 3">
          <a:extLst>
            <a:ext uri="{FF2B5EF4-FFF2-40B4-BE49-F238E27FC236}">
              <a16:creationId xmlns="" xmlns:a16="http://schemas.microsoft.com/office/drawing/2014/main" id="{00000000-0008-0000-2600-00000D000000}"/>
            </a:ext>
          </a:extLst>
        </xdr:cNvPr>
        <xdr:cNvSpPr txBox="1">
          <a:spLocks noChangeArrowheads="1"/>
        </xdr:cNvSpPr>
      </xdr:nvSpPr>
      <xdr:spPr bwMode="gray">
        <a:xfrm>
          <a:off x="142875" y="3935413"/>
          <a:ext cx="8421688" cy="979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lIns="0" tIns="0" rIns="0" bIns="0"/>
        <a:lstStyle>
          <a:defPPr>
            <a:defRPr lang="es-ES"/>
          </a:defPPr>
          <a:lvl1pPr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1pPr>
          <a:lvl2pPr marL="4572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2pPr>
          <a:lvl3pPr marL="9144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3pPr>
          <a:lvl4pPr marL="13716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4pPr>
          <a:lvl5pPr marL="18288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5pPr>
          <a:lvl6pPr marL="2286000" algn="l" defTabSz="914400" rtl="0" eaLnBrk="1" latinLnBrk="0" hangingPunct="1">
            <a:defRPr sz="2000" kern="1200">
              <a:solidFill>
                <a:schemeClr val="accent1"/>
              </a:solidFill>
              <a:latin typeface="Arial" pitchFamily="34" charset="0"/>
              <a:ea typeface="+mn-ea"/>
              <a:cs typeface="+mn-cs"/>
            </a:defRPr>
          </a:lvl6pPr>
          <a:lvl7pPr marL="2743200" algn="l" defTabSz="914400" rtl="0" eaLnBrk="1" latinLnBrk="0" hangingPunct="1">
            <a:defRPr sz="2000" kern="1200">
              <a:solidFill>
                <a:schemeClr val="accent1"/>
              </a:solidFill>
              <a:latin typeface="Arial" pitchFamily="34" charset="0"/>
              <a:ea typeface="+mn-ea"/>
              <a:cs typeface="+mn-cs"/>
            </a:defRPr>
          </a:lvl7pPr>
          <a:lvl8pPr marL="3200400" algn="l" defTabSz="914400" rtl="0" eaLnBrk="1" latinLnBrk="0" hangingPunct="1">
            <a:defRPr sz="2000" kern="1200">
              <a:solidFill>
                <a:schemeClr val="accent1"/>
              </a:solidFill>
              <a:latin typeface="Arial" pitchFamily="34" charset="0"/>
              <a:ea typeface="+mn-ea"/>
              <a:cs typeface="+mn-cs"/>
            </a:defRPr>
          </a:lvl8pPr>
          <a:lvl9pPr marL="3657600" algn="l" defTabSz="914400" rtl="0" eaLnBrk="1" latinLnBrk="0" hangingPunct="1">
            <a:defRPr sz="2000" kern="1200">
              <a:solidFill>
                <a:schemeClr val="accent1"/>
              </a:solidFill>
              <a:latin typeface="Arial" pitchFamily="34" charset="0"/>
              <a:ea typeface="+mn-ea"/>
              <a:cs typeface="+mn-cs"/>
            </a:defRPr>
          </a:lvl9pPr>
        </a:lstStyle>
        <a:p>
          <a:pPr lvl="0"/>
          <a:endParaRPr lang="es-ES_tradnl" sz="900">
            <a:solidFill>
              <a:schemeClr val="tx1"/>
            </a:solidFill>
          </a:endParaRPr>
        </a:p>
      </xdr:txBody>
    </xdr:sp>
    <xdr:clientData/>
  </xdr:twoCellAnchor>
  <xdr:twoCellAnchor>
    <xdr:from>
      <xdr:col>1</xdr:col>
      <xdr:colOff>33338</xdr:colOff>
      <xdr:row>24</xdr:row>
      <xdr:rowOff>104775</xdr:rowOff>
    </xdr:from>
    <xdr:to>
      <xdr:col>3</xdr:col>
      <xdr:colOff>466725</xdr:colOff>
      <xdr:row>26</xdr:row>
      <xdr:rowOff>31750</xdr:rowOff>
    </xdr:to>
    <xdr:sp macro="" textlink="">
      <xdr:nvSpPr>
        <xdr:cNvPr id="14" name="Rectangle 4">
          <a:extLst>
            <a:ext uri="{FF2B5EF4-FFF2-40B4-BE49-F238E27FC236}">
              <a16:creationId xmlns="" xmlns:a16="http://schemas.microsoft.com/office/drawing/2014/main" id="{00000000-0008-0000-2600-00000E000000}"/>
            </a:ext>
          </a:extLst>
        </xdr:cNvPr>
        <xdr:cNvSpPr>
          <a:spLocks noChangeArrowheads="1"/>
        </xdr:cNvSpPr>
      </xdr:nvSpPr>
      <xdr:spPr bwMode="gray">
        <a:xfrm>
          <a:off x="233363" y="3619500"/>
          <a:ext cx="1395412" cy="21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miter lim="800000"/>
              <a:headEnd/>
              <a:tailEnd/>
            </a14:hiddenLine>
          </a:ext>
        </a:extLst>
      </xdr:spPr>
      <xdr:txBody>
        <a:bodyPr wrap="square" lIns="0" tIns="0" rIns="0" bIns="0"/>
        <a:lstStyle>
          <a:defPPr>
            <a:defRPr lang="es-ES"/>
          </a:defPPr>
          <a:lvl1pPr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1pPr>
          <a:lvl2pPr marL="4572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2pPr>
          <a:lvl3pPr marL="9144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3pPr>
          <a:lvl4pPr marL="13716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4pPr>
          <a:lvl5pPr marL="1828800" algn="l" rtl="0" fontAlgn="base">
            <a:spcBef>
              <a:spcPct val="20000"/>
            </a:spcBef>
            <a:spcAft>
              <a:spcPct val="0"/>
            </a:spcAft>
            <a:buClr>
              <a:schemeClr val="accent2"/>
            </a:buClr>
            <a:buFont typeface="Wingdings" pitchFamily="2" charset="2"/>
            <a:buChar char="§"/>
            <a:defRPr sz="2000" kern="1200">
              <a:solidFill>
                <a:schemeClr val="accent1"/>
              </a:solidFill>
              <a:latin typeface="Arial" pitchFamily="34" charset="0"/>
              <a:ea typeface="+mn-ea"/>
              <a:cs typeface="+mn-cs"/>
            </a:defRPr>
          </a:lvl5pPr>
          <a:lvl6pPr marL="2286000" algn="l" defTabSz="914400" rtl="0" eaLnBrk="1" latinLnBrk="0" hangingPunct="1">
            <a:defRPr sz="2000" kern="1200">
              <a:solidFill>
                <a:schemeClr val="accent1"/>
              </a:solidFill>
              <a:latin typeface="Arial" pitchFamily="34" charset="0"/>
              <a:ea typeface="+mn-ea"/>
              <a:cs typeface="+mn-cs"/>
            </a:defRPr>
          </a:lvl6pPr>
          <a:lvl7pPr marL="2743200" algn="l" defTabSz="914400" rtl="0" eaLnBrk="1" latinLnBrk="0" hangingPunct="1">
            <a:defRPr sz="2000" kern="1200">
              <a:solidFill>
                <a:schemeClr val="accent1"/>
              </a:solidFill>
              <a:latin typeface="Arial" pitchFamily="34" charset="0"/>
              <a:ea typeface="+mn-ea"/>
              <a:cs typeface="+mn-cs"/>
            </a:defRPr>
          </a:lvl7pPr>
          <a:lvl8pPr marL="3200400" algn="l" defTabSz="914400" rtl="0" eaLnBrk="1" latinLnBrk="0" hangingPunct="1">
            <a:defRPr sz="2000" kern="1200">
              <a:solidFill>
                <a:schemeClr val="accent1"/>
              </a:solidFill>
              <a:latin typeface="Arial" pitchFamily="34" charset="0"/>
              <a:ea typeface="+mn-ea"/>
              <a:cs typeface="+mn-cs"/>
            </a:defRPr>
          </a:lvl8pPr>
          <a:lvl9pPr marL="3657600" algn="l" defTabSz="914400" rtl="0" eaLnBrk="1" latinLnBrk="0" hangingPunct="1">
            <a:defRPr sz="2000" kern="1200">
              <a:solidFill>
                <a:schemeClr val="accent1"/>
              </a:solidFill>
              <a:latin typeface="Arial" pitchFamily="34" charset="0"/>
              <a:ea typeface="+mn-ea"/>
              <a:cs typeface="+mn-cs"/>
            </a:defRPr>
          </a:lvl9pPr>
        </a:lstStyle>
        <a:p>
          <a:pPr marL="187325" indent="-187325" defTabSz="1003300">
            <a:spcBef>
              <a:spcPct val="50000"/>
            </a:spcBef>
            <a:buClrTx/>
            <a:buFontTx/>
            <a:buBlip>
              <a:blip xmlns:r="http://schemas.openxmlformats.org/officeDocument/2006/relationships" r:embed="rId4"/>
            </a:buBlip>
          </a:pPr>
          <a:r>
            <a:rPr lang="es-ES_tradnl" sz="1500" b="1">
              <a:solidFill>
                <a:srgbClr val="FF0000"/>
              </a:solidFill>
            </a:rPr>
            <a:t>Comentarios</a:t>
          </a:r>
        </a:p>
      </xdr:txBody>
    </xdr:sp>
    <xdr:clientData/>
  </xdr:twoCellAnchor>
  <xdr:twoCellAnchor>
    <xdr:from>
      <xdr:col>5</xdr:col>
      <xdr:colOff>504825</xdr:colOff>
      <xdr:row>9</xdr:row>
      <xdr:rowOff>57150</xdr:rowOff>
    </xdr:from>
    <xdr:to>
      <xdr:col>6</xdr:col>
      <xdr:colOff>228600</xdr:colOff>
      <xdr:row>10</xdr:row>
      <xdr:rowOff>104775</xdr:rowOff>
    </xdr:to>
    <xdr:sp macro="" textlink="'Resumen EEFF'!B10">
      <xdr:nvSpPr>
        <xdr:cNvPr id="2" name="CuadroTexto 1">
          <a:extLst>
            <a:ext uri="{FF2B5EF4-FFF2-40B4-BE49-F238E27FC236}">
              <a16:creationId xmlns="" xmlns:a16="http://schemas.microsoft.com/office/drawing/2014/main" id="{00000000-0008-0000-2600-000002000000}"/>
            </a:ext>
          </a:extLst>
        </xdr:cNvPr>
        <xdr:cNvSpPr txBox="1"/>
      </xdr:nvSpPr>
      <xdr:spPr>
        <a:xfrm>
          <a:off x="3190875" y="1428750"/>
          <a:ext cx="4857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D70988C-C585-4F00-AF04-84A06ABB05F8}" type="TxLink">
            <a:rPr lang="en-US" sz="800" b="0" i="0" u="none" strike="noStrike">
              <a:solidFill>
                <a:srgbClr val="000000"/>
              </a:solidFill>
              <a:latin typeface="Arial"/>
              <a:cs typeface="Arial"/>
            </a:rPr>
            <a:pPr algn="ctr"/>
            <a:t>COP MM</a:t>
          </a:fld>
          <a:endParaRPr lang="en-US" sz="1100" b="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1905000</xdr:colOff>
      <xdr:row>75</xdr:row>
      <xdr:rowOff>114300</xdr:rowOff>
    </xdr:from>
    <xdr:to>
      <xdr:col>4</xdr:col>
      <xdr:colOff>752475</xdr:colOff>
      <xdr:row>91</xdr:row>
      <xdr:rowOff>114300</xdr:rowOff>
    </xdr:to>
    <xdr:graphicFrame macro="">
      <xdr:nvGraphicFramePr>
        <xdr:cNvPr id="2" name="Gráfico 3">
          <a:extLst>
            <a:ext uri="{FF2B5EF4-FFF2-40B4-BE49-F238E27FC236}">
              <a16:creationId xmlns="" xmlns:a16="http://schemas.microsoft.com/office/drawing/2014/main"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1323975</xdr:colOff>
      <xdr:row>74</xdr:row>
      <xdr:rowOff>190500</xdr:rowOff>
    </xdr:from>
    <xdr:to>
      <xdr:col>8</xdr:col>
      <xdr:colOff>1009650</xdr:colOff>
      <xdr:row>92</xdr:row>
      <xdr:rowOff>152400</xdr:rowOff>
    </xdr:to>
    <xdr:graphicFrame macro="">
      <xdr:nvGraphicFramePr>
        <xdr:cNvPr id="3" name="Gráfico 3">
          <a:extLst>
            <a:ext uri="{FF2B5EF4-FFF2-40B4-BE49-F238E27FC236}">
              <a16:creationId xmlns="" xmlns:a16="http://schemas.microsoft.com/office/drawing/2014/main" id="{00000000-0008-0000-2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190500</xdr:colOff>
      <xdr:row>1</xdr:row>
      <xdr:rowOff>231321</xdr:rowOff>
    </xdr:from>
    <xdr:to>
      <xdr:col>6</xdr:col>
      <xdr:colOff>1598839</xdr:colOff>
      <xdr:row>2</xdr:row>
      <xdr:rowOff>108856</xdr:rowOff>
    </xdr:to>
    <xdr:sp macro="" textlink="">
      <xdr:nvSpPr>
        <xdr:cNvPr id="4" name="CuadroTexto 3">
          <a:extLst>
            <a:ext uri="{FF2B5EF4-FFF2-40B4-BE49-F238E27FC236}">
              <a16:creationId xmlns="" xmlns:a16="http://schemas.microsoft.com/office/drawing/2014/main" id="{00000000-0008-0000-2900-000004000000}"/>
            </a:ext>
          </a:extLst>
        </xdr:cNvPr>
        <xdr:cNvSpPr txBox="1"/>
      </xdr:nvSpPr>
      <xdr:spPr>
        <a:xfrm>
          <a:off x="10163175" y="421821"/>
          <a:ext cx="2951389" cy="2585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INPUT DATA</a:t>
          </a:r>
        </a:p>
      </xdr:txBody>
    </xdr:sp>
    <xdr:clientData/>
  </xdr:twoCellAnchor>
  <xdr:twoCellAnchor>
    <xdr:from>
      <xdr:col>3</xdr:col>
      <xdr:colOff>1047750</xdr:colOff>
      <xdr:row>51</xdr:row>
      <xdr:rowOff>122464</xdr:rowOff>
    </xdr:from>
    <xdr:to>
      <xdr:col>4</xdr:col>
      <xdr:colOff>1036411</xdr:colOff>
      <xdr:row>54</xdr:row>
      <xdr:rowOff>190499</xdr:rowOff>
    </xdr:to>
    <xdr:sp macro="" textlink="">
      <xdr:nvSpPr>
        <xdr:cNvPr id="5" name="CuadroTexto 4">
          <a:extLst>
            <a:ext uri="{FF2B5EF4-FFF2-40B4-BE49-F238E27FC236}">
              <a16:creationId xmlns="" xmlns:a16="http://schemas.microsoft.com/office/drawing/2014/main" id="{00000000-0008-0000-2900-000005000000}"/>
            </a:ext>
          </a:extLst>
        </xdr:cNvPr>
        <xdr:cNvSpPr txBox="1"/>
      </xdr:nvSpPr>
      <xdr:spPr>
        <a:xfrm>
          <a:off x="6819900" y="10028464"/>
          <a:ext cx="2646136" cy="6395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RESULTS</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39</xdr:row>
      <xdr:rowOff>47625</xdr:rowOff>
    </xdr:from>
    <xdr:to>
      <xdr:col>1</xdr:col>
      <xdr:colOff>361950</xdr:colOff>
      <xdr:row>41</xdr:row>
      <xdr:rowOff>9525</xdr:rowOff>
    </xdr:to>
    <xdr:pic>
      <xdr:nvPicPr>
        <xdr:cNvPr id="435644" name="Picture 26">
          <a:extLst>
            <a:ext uri="{FF2B5EF4-FFF2-40B4-BE49-F238E27FC236}">
              <a16:creationId xmlns="" xmlns:a16="http://schemas.microsoft.com/office/drawing/2014/main" id="{00000000-0008-0000-2A00-0000BCA506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5876925"/>
          <a:ext cx="828675" cy="247650"/>
        </a:xfrm>
        <a:prstGeom prst="rect">
          <a:avLst/>
        </a:prstGeom>
        <a:noFill/>
        <a:ln w="9525">
          <a:noFill/>
          <a:miter lim="800000"/>
          <a:headEnd/>
          <a:tailEnd/>
        </a:ln>
      </xdr:spPr>
    </xdr:pic>
    <xdr:clientData/>
  </xdr:twoCellAnchor>
  <xdr:twoCellAnchor>
    <xdr:from>
      <xdr:col>11</xdr:col>
      <xdr:colOff>38100</xdr:colOff>
      <xdr:row>1</xdr:row>
      <xdr:rowOff>19050</xdr:rowOff>
    </xdr:from>
    <xdr:to>
      <xdr:col>11</xdr:col>
      <xdr:colOff>38100</xdr:colOff>
      <xdr:row>2</xdr:row>
      <xdr:rowOff>28575</xdr:rowOff>
    </xdr:to>
    <xdr:cxnSp macro="">
      <xdr:nvCxnSpPr>
        <xdr:cNvPr id="435645" name="8 Conector recto">
          <a:extLst>
            <a:ext uri="{FF2B5EF4-FFF2-40B4-BE49-F238E27FC236}">
              <a16:creationId xmlns="" xmlns:a16="http://schemas.microsoft.com/office/drawing/2014/main" id="{00000000-0008-0000-2A00-0000BDA50600}"/>
            </a:ext>
          </a:extLst>
        </xdr:cNvPr>
        <xdr:cNvCxnSpPr>
          <a:cxnSpLocks noChangeShapeType="1"/>
        </xdr:cNvCxnSpPr>
      </xdr:nvCxnSpPr>
      <xdr:spPr bwMode="auto">
        <a:xfrm rot="5400000">
          <a:off x="7639050" y="295275"/>
          <a:ext cx="342900" cy="0"/>
        </a:xfrm>
        <a:prstGeom prst="line">
          <a:avLst/>
        </a:prstGeom>
        <a:noFill/>
        <a:ln w="25400" algn="ctr">
          <a:solidFill>
            <a:srgbClr val="000000"/>
          </a:solidFill>
          <a:round/>
          <a:headEnd/>
          <a:tailEnd/>
        </a:ln>
      </xdr:spPr>
    </xdr:cxnSp>
    <xdr:clientData/>
  </xdr:twoCellAnchor>
  <xdr:twoCellAnchor>
    <xdr:from>
      <xdr:col>11</xdr:col>
      <xdr:colOff>723900</xdr:colOff>
      <xdr:row>1</xdr:row>
      <xdr:rowOff>28575</xdr:rowOff>
    </xdr:from>
    <xdr:to>
      <xdr:col>11</xdr:col>
      <xdr:colOff>723900</xdr:colOff>
      <xdr:row>2</xdr:row>
      <xdr:rowOff>76200</xdr:rowOff>
    </xdr:to>
    <xdr:cxnSp macro="">
      <xdr:nvCxnSpPr>
        <xdr:cNvPr id="435646" name="6 Conector recto">
          <a:extLst>
            <a:ext uri="{FF2B5EF4-FFF2-40B4-BE49-F238E27FC236}">
              <a16:creationId xmlns="" xmlns:a16="http://schemas.microsoft.com/office/drawing/2014/main" id="{00000000-0008-0000-2A00-0000BEA50600}"/>
            </a:ext>
          </a:extLst>
        </xdr:cNvPr>
        <xdr:cNvCxnSpPr>
          <a:cxnSpLocks noChangeShapeType="1"/>
        </xdr:cNvCxnSpPr>
      </xdr:nvCxnSpPr>
      <xdr:spPr bwMode="auto">
        <a:xfrm rot="5400000">
          <a:off x="8305800" y="323850"/>
          <a:ext cx="381000" cy="0"/>
        </a:xfrm>
        <a:prstGeom prst="line">
          <a:avLst/>
        </a:prstGeom>
        <a:noFill/>
        <a:ln w="50800" algn="ctr">
          <a:solidFill>
            <a:srgbClr val="FF0000"/>
          </a:solidFill>
          <a:round/>
          <a:headEnd/>
          <a:tailEnd/>
        </a:ln>
      </xdr:spPr>
    </xdr:cxnSp>
    <xdr:clientData/>
  </xdr:twoCellAnchor>
  <xdr:twoCellAnchor>
    <xdr:from>
      <xdr:col>0</xdr:col>
      <xdr:colOff>161925</xdr:colOff>
      <xdr:row>24</xdr:row>
      <xdr:rowOff>38100</xdr:rowOff>
    </xdr:from>
    <xdr:to>
      <xdr:col>5</xdr:col>
      <xdr:colOff>104776</xdr:colOff>
      <xdr:row>37</xdr:row>
      <xdr:rowOff>28575</xdr:rowOff>
    </xdr:to>
    <xdr:sp macro="" textlink="">
      <xdr:nvSpPr>
        <xdr:cNvPr id="5" name="4 CuadroTexto">
          <a:extLst>
            <a:ext uri="{FF2B5EF4-FFF2-40B4-BE49-F238E27FC236}">
              <a16:creationId xmlns="" xmlns:a16="http://schemas.microsoft.com/office/drawing/2014/main" id="{00000000-0008-0000-2A00-000005000000}"/>
            </a:ext>
          </a:extLst>
        </xdr:cNvPr>
        <xdr:cNvSpPr txBox="1"/>
      </xdr:nvSpPr>
      <xdr:spPr>
        <a:xfrm>
          <a:off x="161925" y="3752850"/>
          <a:ext cx="3857626" cy="187642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CO" sz="800">
              <a:latin typeface="Arial" pitchFamily="34" charset="0"/>
              <a:cs typeface="Arial" pitchFamily="34" charset="0"/>
            </a:rPr>
            <a:t>- Se </a:t>
          </a:r>
          <a:r>
            <a:rPr lang="es-CO" sz="800" baseline="0">
              <a:latin typeface="Arial" pitchFamily="34" charset="0"/>
              <a:cs typeface="Arial" pitchFamily="34" charset="0"/>
            </a:rPr>
            <a:t> ingresaran los comentarios relevantes del Plan de Negocio, que justifiquen los datos presupuestados.</a:t>
          </a:r>
          <a:endParaRPr lang="es-CO" sz="800">
            <a:latin typeface="Arial" pitchFamily="34" charset="0"/>
            <a:cs typeface="Arial" pitchFamily="34" charset="0"/>
          </a:endParaRPr>
        </a:p>
      </xdr:txBody>
    </xdr:sp>
    <xdr:clientData/>
  </xdr:twoCellAnchor>
  <xdr:twoCellAnchor>
    <xdr:from>
      <xdr:col>0</xdr:col>
      <xdr:colOff>161925</xdr:colOff>
      <xdr:row>5</xdr:row>
      <xdr:rowOff>76200</xdr:rowOff>
    </xdr:from>
    <xdr:to>
      <xdr:col>6</xdr:col>
      <xdr:colOff>114300</xdr:colOff>
      <xdr:row>23</xdr:row>
      <xdr:rowOff>0</xdr:rowOff>
    </xdr:to>
    <xdr:graphicFrame macro="">
      <xdr:nvGraphicFramePr>
        <xdr:cNvPr id="435648" name="5 Gráfico">
          <a:extLst>
            <a:ext uri="{FF2B5EF4-FFF2-40B4-BE49-F238E27FC236}">
              <a16:creationId xmlns="" xmlns:a16="http://schemas.microsoft.com/office/drawing/2014/main" id="{00000000-0008-0000-2A00-0000C0A5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361950</xdr:colOff>
      <xdr:row>4</xdr:row>
      <xdr:rowOff>47625</xdr:rowOff>
    </xdr:from>
    <xdr:to>
      <xdr:col>12</xdr:col>
      <xdr:colOff>504825</xdr:colOff>
      <xdr:row>22</xdr:row>
      <xdr:rowOff>95250</xdr:rowOff>
    </xdr:to>
    <xdr:graphicFrame macro="">
      <xdr:nvGraphicFramePr>
        <xdr:cNvPr id="435649" name="8 Gráfico">
          <a:extLst>
            <a:ext uri="{FF2B5EF4-FFF2-40B4-BE49-F238E27FC236}">
              <a16:creationId xmlns="" xmlns:a16="http://schemas.microsoft.com/office/drawing/2014/main" id="{00000000-0008-0000-2A00-0000C1A5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39</xdr:row>
      <xdr:rowOff>28575</xdr:rowOff>
    </xdr:from>
    <xdr:to>
      <xdr:col>2</xdr:col>
      <xdr:colOff>361950</xdr:colOff>
      <xdr:row>40</xdr:row>
      <xdr:rowOff>133350</xdr:rowOff>
    </xdr:to>
    <xdr:pic>
      <xdr:nvPicPr>
        <xdr:cNvPr id="360707" name="Picture 26">
          <a:extLst>
            <a:ext uri="{FF2B5EF4-FFF2-40B4-BE49-F238E27FC236}">
              <a16:creationId xmlns="" xmlns:a16="http://schemas.microsoft.com/office/drawing/2014/main" id="{00000000-0008-0000-2B00-000003810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5743575"/>
          <a:ext cx="828675" cy="247650"/>
        </a:xfrm>
        <a:prstGeom prst="rect">
          <a:avLst/>
        </a:prstGeom>
        <a:noFill/>
        <a:ln w="9525">
          <a:noFill/>
          <a:miter lim="800000"/>
          <a:headEnd/>
          <a:tailEnd/>
        </a:ln>
      </xdr:spPr>
    </xdr:pic>
    <xdr:clientData/>
  </xdr:twoCellAnchor>
  <xdr:twoCellAnchor>
    <xdr:from>
      <xdr:col>10</xdr:col>
      <xdr:colOff>581025</xdr:colOff>
      <xdr:row>1</xdr:row>
      <xdr:rowOff>19050</xdr:rowOff>
    </xdr:from>
    <xdr:to>
      <xdr:col>10</xdr:col>
      <xdr:colOff>581025</xdr:colOff>
      <xdr:row>2</xdr:row>
      <xdr:rowOff>57150</xdr:rowOff>
    </xdr:to>
    <xdr:cxnSp macro="">
      <xdr:nvCxnSpPr>
        <xdr:cNvPr id="360708" name="6 Conector recto">
          <a:extLst>
            <a:ext uri="{FF2B5EF4-FFF2-40B4-BE49-F238E27FC236}">
              <a16:creationId xmlns="" xmlns:a16="http://schemas.microsoft.com/office/drawing/2014/main" id="{00000000-0008-0000-2B00-000004810500}"/>
            </a:ext>
          </a:extLst>
        </xdr:cNvPr>
        <xdr:cNvCxnSpPr>
          <a:cxnSpLocks noChangeShapeType="1"/>
        </xdr:cNvCxnSpPr>
      </xdr:nvCxnSpPr>
      <xdr:spPr bwMode="auto">
        <a:xfrm rot="5400000">
          <a:off x="7724775" y="295275"/>
          <a:ext cx="266700" cy="0"/>
        </a:xfrm>
        <a:prstGeom prst="line">
          <a:avLst/>
        </a:prstGeom>
        <a:noFill/>
        <a:ln w="50800" algn="ctr">
          <a:solidFill>
            <a:srgbClr val="FF0000"/>
          </a:solidFill>
          <a:round/>
          <a:headEnd/>
          <a:tailEnd/>
        </a:ln>
      </xdr:spPr>
    </xdr:cxnSp>
    <xdr:clientData/>
  </xdr:twoCellAnchor>
  <xdr:twoCellAnchor>
    <xdr:from>
      <xdr:col>10</xdr:col>
      <xdr:colOff>9525</xdr:colOff>
      <xdr:row>1</xdr:row>
      <xdr:rowOff>28575</xdr:rowOff>
    </xdr:from>
    <xdr:to>
      <xdr:col>10</xdr:col>
      <xdr:colOff>9525</xdr:colOff>
      <xdr:row>2</xdr:row>
      <xdr:rowOff>19050</xdr:rowOff>
    </xdr:to>
    <xdr:cxnSp macro="">
      <xdr:nvCxnSpPr>
        <xdr:cNvPr id="360709" name="8 Conector recto">
          <a:extLst>
            <a:ext uri="{FF2B5EF4-FFF2-40B4-BE49-F238E27FC236}">
              <a16:creationId xmlns="" xmlns:a16="http://schemas.microsoft.com/office/drawing/2014/main" id="{00000000-0008-0000-2B00-000005810500}"/>
            </a:ext>
          </a:extLst>
        </xdr:cNvPr>
        <xdr:cNvCxnSpPr>
          <a:cxnSpLocks noChangeShapeType="1"/>
        </xdr:cNvCxnSpPr>
      </xdr:nvCxnSpPr>
      <xdr:spPr bwMode="auto">
        <a:xfrm rot="5400000">
          <a:off x="7177087" y="280988"/>
          <a:ext cx="219075" cy="0"/>
        </a:xfrm>
        <a:prstGeom prst="line">
          <a:avLst/>
        </a:prstGeom>
        <a:noFill/>
        <a:ln w="25400" algn="ctr">
          <a:solidFill>
            <a:srgbClr val="000000"/>
          </a:solidFill>
          <a:round/>
          <a:headEnd/>
          <a:tailEnd/>
        </a:ln>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338564/AppData/Local/Microsoft/Windows/Temporary%20Internet%20Files/Content.Outlook/Y2WPWOSQ/AR%20-%20Falabella%20S.A.%20Dic18.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GerenciaRiesgoCredito\A%20N%20D%20R%20E%20S%20%20G%20U%20T%20I%20E%20R%20R%20E%20Z\ESTUDIOS%20SANTANDER\FORMATOS\FORMATO%20FEV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GerenciaRiesgoCredito\A%20N%20D%20R%20E%20S%20%20G%20U%20T%20I%20E%20R%20R%20E%20Z\ESTUDIOS%20SANTANDER\FORMATOS\FORMATO%20FEVE.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200990/AppData/Local/Microsoft/Windows/Temporary%20Internet%20Files/Content.Outlook/1ZBJOLKJ/AR%20Atlanta%20Dic-18%20Requerimiento%20EF%20SFC.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R:\24%20-%20Seguimiento%20FEVE\FEVE\Diciembre%202018\Manuelita\SCAN%20Manuelita_Diciembre%202018.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Dario\Diciembre%202018\Manuelita\Manuelita%20S.A._Sep2018.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R:\24%20-%20Seguimiento%20FEVE\FEVE\Diciembre%202018\Grupo%20Bretano\2018\Quimica%20Aromatica%20Andina%20S.A.S._Jun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coring"/>
      <sheetName val="FEVE"/>
      <sheetName val="ParametrosPry"/>
      <sheetName val="Info Entrada"/>
      <sheetName val="Cuadros"/>
      <sheetName val="AR"/>
      <sheetName val="Activos"/>
      <sheetName val="Pasivos"/>
      <sheetName val="Estado de Resultados"/>
      <sheetName val="Indicadores"/>
      <sheetName val="Resumen Cuadros"/>
      <sheetName val="Datos relevantes"/>
      <sheetName val="Resumen EEFF"/>
      <sheetName val="Highlights"/>
      <sheetName val="Comparables"/>
      <sheetName val="Posiciones"/>
      <sheetName val="Activos (USD)"/>
      <sheetName val="Pasivos (USD)"/>
      <sheetName val="AR (USD)"/>
      <sheetName val="Posiciones (USD)"/>
      <sheetName val="Estado de Resultados (USD)"/>
      <sheetName val="Indicadores (USD)"/>
      <sheetName val="Resumen Cuadros (USD)"/>
      <sheetName val="Propuesta COP"/>
      <sheetName val="Duración"/>
      <sheetName val="Bancos"/>
      <sheetName val="Bancos USD"/>
      <sheetName val="Acciones &amp; bonos"/>
      <sheetName val="Graficos"/>
      <sheetName val="Estructura balance"/>
      <sheetName val="Revisión"/>
      <sheetName val="Descripción"/>
      <sheetName val="Datos Financieros Consolidados"/>
      <sheetName val="Graficos con proy"/>
      <sheetName val="Estructura de la Deuda"/>
      <sheetName val="Rating"/>
      <sheetName val="Datos Finan"/>
      <sheetName val="Cash Flow"/>
      <sheetName val="Plan de Negocio"/>
      <sheetName val="Posición"/>
      <sheetName val="Resumen BBDD"/>
      <sheetName val="BBDD Estado Cash Flow"/>
      <sheetName val="Declaración Bienes"/>
      <sheetName val="CIIU"/>
    </sheetNames>
    <sheetDataSet>
      <sheetData sheetId="0">
        <row r="27">
          <cell r="C27">
            <v>40908</v>
          </cell>
          <cell r="E27" t="e">
            <v>#VALUE!</v>
          </cell>
        </row>
        <row r="28">
          <cell r="C28">
            <v>41274</v>
          </cell>
          <cell r="E28" t="e">
            <v>#DIV/0!</v>
          </cell>
        </row>
        <row r="29">
          <cell r="C29">
            <v>41305</v>
          </cell>
          <cell r="D29">
            <v>1773.24</v>
          </cell>
          <cell r="E29" t="e">
            <v>#DIV/0!</v>
          </cell>
        </row>
        <row r="30">
          <cell r="C30">
            <v>41333</v>
          </cell>
          <cell r="D30">
            <v>1816.42</v>
          </cell>
          <cell r="E30" t="e">
            <v>#DIV/0!</v>
          </cell>
        </row>
        <row r="31">
          <cell r="C31">
            <v>41364</v>
          </cell>
          <cell r="D31">
            <v>1832.2</v>
          </cell>
          <cell r="E31" t="e">
            <v>#DIV/0!</v>
          </cell>
        </row>
        <row r="32">
          <cell r="C32">
            <v>41394</v>
          </cell>
          <cell r="D32">
            <v>1828.79</v>
          </cell>
          <cell r="E32" t="e">
            <v>#DIV/0!</v>
          </cell>
        </row>
        <row r="33">
          <cell r="C33">
            <v>41425</v>
          </cell>
          <cell r="D33">
            <v>1891.48</v>
          </cell>
          <cell r="E33" t="e">
            <v>#DIV/0!</v>
          </cell>
        </row>
        <row r="34">
          <cell r="C34">
            <v>41455</v>
          </cell>
          <cell r="D34">
            <v>1929</v>
          </cell>
          <cell r="E34" t="e">
            <v>#DIV/0!</v>
          </cell>
        </row>
        <row r="35">
          <cell r="C35">
            <v>41486</v>
          </cell>
          <cell r="D35">
            <v>1890.33</v>
          </cell>
          <cell r="E35" t="e">
            <v>#DIV/0!</v>
          </cell>
        </row>
        <row r="36">
          <cell r="C36">
            <v>41517</v>
          </cell>
          <cell r="D36">
            <v>1935.43</v>
          </cell>
          <cell r="E36" t="e">
            <v>#DIV/0!</v>
          </cell>
        </row>
        <row r="37">
          <cell r="C37">
            <v>41547</v>
          </cell>
          <cell r="D37">
            <v>1914.65</v>
          </cell>
          <cell r="E37" t="e">
            <v>#DIV/0!</v>
          </cell>
        </row>
        <row r="38">
          <cell r="C38">
            <v>41578</v>
          </cell>
          <cell r="D38">
            <v>1884.06</v>
          </cell>
          <cell r="E38" t="e">
            <v>#VALUE!</v>
          </cell>
        </row>
        <row r="39">
          <cell r="C39">
            <v>41608</v>
          </cell>
          <cell r="D39">
            <v>1931.88</v>
          </cell>
          <cell r="E39" t="e">
            <v>#DIV/0!</v>
          </cell>
        </row>
        <row r="40">
          <cell r="C40">
            <v>41639</v>
          </cell>
          <cell r="D40">
            <v>1926.83</v>
          </cell>
          <cell r="E40" t="e">
            <v>#DIV/0!</v>
          </cell>
        </row>
        <row r="41">
          <cell r="C41">
            <v>41670</v>
          </cell>
          <cell r="D41">
            <v>2008.26</v>
          </cell>
          <cell r="E41">
            <v>0.13253705082222367</v>
          </cell>
        </row>
        <row r="42">
          <cell r="C42">
            <v>41698</v>
          </cell>
          <cell r="D42">
            <v>2054.9</v>
          </cell>
          <cell r="E42">
            <v>0.13129122119333636</v>
          </cell>
        </row>
        <row r="43">
          <cell r="C43">
            <v>41729</v>
          </cell>
          <cell r="D43">
            <v>1965.32</v>
          </cell>
          <cell r="E43">
            <v>7.2655823600043634E-2</v>
          </cell>
        </row>
        <row r="44">
          <cell r="C44">
            <v>41759</v>
          </cell>
          <cell r="D44">
            <v>1935.14</v>
          </cell>
          <cell r="E44">
            <v>5.8153205124700014E-2</v>
          </cell>
        </row>
        <row r="45">
          <cell r="C45">
            <v>41790</v>
          </cell>
          <cell r="D45">
            <v>1900.64</v>
          </cell>
          <cell r="E45">
            <v>4.8427686256264924E-3</v>
          </cell>
        </row>
        <row r="46">
          <cell r="C46">
            <v>41820</v>
          </cell>
          <cell r="D46">
            <v>1881.19</v>
          </cell>
          <cell r="E46">
            <v>-2.478486262312074E-2</v>
          </cell>
        </row>
        <row r="47">
          <cell r="C47">
            <v>41851</v>
          </cell>
          <cell r="D47">
            <v>1872.43</v>
          </cell>
          <cell r="E47">
            <v>-9.4692461104673997E-3</v>
          </cell>
        </row>
        <row r="48">
          <cell r="C48">
            <v>41882</v>
          </cell>
          <cell r="D48">
            <v>1918.62</v>
          </cell>
          <cell r="E48">
            <v>-8.6854084105342233E-3</v>
          </cell>
        </row>
        <row r="49">
          <cell r="C49">
            <v>41912</v>
          </cell>
          <cell r="D49">
            <v>2028.48</v>
          </cell>
          <cell r="E49">
            <v>5.9452119186274244E-2</v>
          </cell>
        </row>
        <row r="50">
          <cell r="C50">
            <v>41943</v>
          </cell>
          <cell r="D50">
            <v>2050.52</v>
          </cell>
          <cell r="E50">
            <v>8.8351751005806722E-2</v>
          </cell>
        </row>
        <row r="51">
          <cell r="C51">
            <v>41973</v>
          </cell>
          <cell r="D51">
            <v>2206.19</v>
          </cell>
          <cell r="E51">
            <v>0.14199122098681083</v>
          </cell>
        </row>
        <row r="52">
          <cell r="C52">
            <v>42004</v>
          </cell>
          <cell r="D52">
            <v>2392.46</v>
          </cell>
          <cell r="E52">
            <v>0.24165598418127199</v>
          </cell>
        </row>
        <row r="53">
          <cell r="C53">
            <v>42035</v>
          </cell>
          <cell r="D53">
            <v>2441.1</v>
          </cell>
          <cell r="E53">
            <v>0.21552986167129751</v>
          </cell>
        </row>
        <row r="54">
          <cell r="C54">
            <v>42063</v>
          </cell>
          <cell r="D54">
            <v>2496.9899999999998</v>
          </cell>
          <cell r="E54">
            <v>0.21513942284296061</v>
          </cell>
        </row>
        <row r="55">
          <cell r="C55">
            <v>42094</v>
          </cell>
          <cell r="D55">
            <v>2576.0500000000002</v>
          </cell>
          <cell r="E55">
            <v>0.31075346508456647</v>
          </cell>
        </row>
        <row r="56">
          <cell r="C56">
            <v>42124</v>
          </cell>
          <cell r="D56">
            <v>2388.06</v>
          </cell>
          <cell r="E56">
            <v>0.2340502495943444</v>
          </cell>
        </row>
        <row r="57">
          <cell r="C57">
            <v>42155</v>
          </cell>
          <cell r="D57">
            <v>2533.79</v>
          </cell>
          <cell r="E57">
            <v>0.33312463170300521</v>
          </cell>
        </row>
        <row r="58">
          <cell r="C58">
            <v>42185</v>
          </cell>
          <cell r="D58">
            <v>2585.11</v>
          </cell>
          <cell r="E58">
            <v>0.37418867844290049</v>
          </cell>
        </row>
        <row r="59">
          <cell r="C59">
            <v>42216</v>
          </cell>
          <cell r="D59">
            <v>2866.04</v>
          </cell>
          <cell r="E59">
            <v>0.53065268127513443</v>
          </cell>
        </row>
        <row r="60">
          <cell r="C60">
            <v>42247</v>
          </cell>
          <cell r="D60">
            <v>3101.1</v>
          </cell>
          <cell r="E60">
            <v>0.6163179785470807</v>
          </cell>
        </row>
        <row r="61">
          <cell r="C61">
            <v>42277</v>
          </cell>
          <cell r="D61">
            <v>3121.94</v>
          </cell>
          <cell r="E61">
            <v>0.53905387285060735</v>
          </cell>
        </row>
        <row r="62">
          <cell r="C62">
            <v>42308</v>
          </cell>
          <cell r="D62">
            <v>2897.83</v>
          </cell>
          <cell r="E62">
            <v>0.41321713516571412</v>
          </cell>
        </row>
        <row r="63">
          <cell r="C63">
            <v>42338</v>
          </cell>
          <cell r="D63">
            <v>3101.1</v>
          </cell>
          <cell r="E63">
            <v>0.40563596063802287</v>
          </cell>
        </row>
        <row r="64">
          <cell r="C64">
            <v>42369</v>
          </cell>
          <cell r="D64">
            <v>3149.47</v>
          </cell>
          <cell r="E64">
            <v>0.31641490348845958</v>
          </cell>
        </row>
        <row r="65">
          <cell r="C65">
            <v>42400</v>
          </cell>
          <cell r="D65">
            <v>3287.31</v>
          </cell>
          <cell r="E65">
            <v>0.34665109991397314</v>
          </cell>
        </row>
        <row r="66">
          <cell r="C66">
            <v>42429</v>
          </cell>
          <cell r="D66">
            <v>3306</v>
          </cell>
          <cell r="E66">
            <v>0.32399408888301529</v>
          </cell>
        </row>
        <row r="67">
          <cell r="C67">
            <v>42460</v>
          </cell>
          <cell r="D67">
            <v>3022.35</v>
          </cell>
          <cell r="E67">
            <v>0.17324974282331462</v>
          </cell>
        </row>
        <row r="68">
          <cell r="C68">
            <v>42490</v>
          </cell>
          <cell r="D68">
            <v>2851.14</v>
          </cell>
          <cell r="E68">
            <v>0.19391472576065927</v>
          </cell>
        </row>
        <row r="69">
          <cell r="C69">
            <v>42521</v>
          </cell>
          <cell r="D69">
            <v>3069.17</v>
          </cell>
          <cell r="E69">
            <v>0.21129612162018163</v>
          </cell>
        </row>
        <row r="70">
          <cell r="C70">
            <v>42551</v>
          </cell>
          <cell r="D70">
            <v>2916.15</v>
          </cell>
          <cell r="E70">
            <v>0.12805644634077473</v>
          </cell>
        </row>
        <row r="71">
          <cell r="C71">
            <v>42582</v>
          </cell>
          <cell r="D71">
            <v>3081.75</v>
          </cell>
          <cell r="E71">
            <v>7.5264127506943446E-2</v>
          </cell>
        </row>
        <row r="72">
          <cell r="C72">
            <v>42613</v>
          </cell>
          <cell r="D72">
            <v>2933.82</v>
          </cell>
          <cell r="E72">
            <v>-5.3942149559833563E-2</v>
          </cell>
        </row>
        <row r="73">
          <cell r="C73">
            <v>42643</v>
          </cell>
          <cell r="D73">
            <v>2879.95</v>
          </cell>
          <cell r="E73">
            <v>-7.7512700436267234E-2</v>
          </cell>
        </row>
        <row r="74">
          <cell r="C74">
            <v>42674</v>
          </cell>
          <cell r="D74">
            <v>2967.66</v>
          </cell>
          <cell r="E74">
            <v>2.4097341804039552E-2</v>
          </cell>
        </row>
        <row r="75">
          <cell r="C75">
            <v>42704</v>
          </cell>
          <cell r="D75">
            <v>3165.09</v>
          </cell>
          <cell r="E75">
            <v>2.0634613524233458E-2</v>
          </cell>
        </row>
        <row r="76">
          <cell r="C76">
            <v>42735</v>
          </cell>
          <cell r="D76">
            <v>3000.71</v>
          </cell>
          <cell r="E76">
            <v>-4.7233344022962531E-2</v>
          </cell>
        </row>
        <row r="77">
          <cell r="C77">
            <v>42766</v>
          </cell>
          <cell r="D77">
            <v>2936.66</v>
          </cell>
          <cell r="E77">
            <v>-0.106667761786993</v>
          </cell>
        </row>
        <row r="78">
          <cell r="C78">
            <v>42794</v>
          </cell>
          <cell r="D78">
            <v>2896.27</v>
          </cell>
          <cell r="E78">
            <v>-0.12393526920750153</v>
          </cell>
        </row>
        <row r="79">
          <cell r="C79">
            <v>42825</v>
          </cell>
          <cell r="D79">
            <v>2880.24</v>
          </cell>
          <cell r="E79">
            <v>-4.7019703211077513E-2</v>
          </cell>
        </row>
        <row r="80">
          <cell r="C80">
            <v>42855</v>
          </cell>
          <cell r="D80">
            <v>2947.85</v>
          </cell>
          <cell r="E80">
            <v>3.3919765427162574E-2</v>
          </cell>
        </row>
        <row r="81">
          <cell r="C81">
            <v>42886</v>
          </cell>
          <cell r="D81">
            <v>2920.42</v>
          </cell>
          <cell r="E81">
            <v>-4.8465871880671307E-2</v>
          </cell>
        </row>
        <row r="82">
          <cell r="C82">
            <v>42916</v>
          </cell>
          <cell r="D82">
            <v>3038.26</v>
          </cell>
          <cell r="E82">
            <v>4.1873703341734902E-2</v>
          </cell>
        </row>
        <row r="83">
          <cell r="C83">
            <v>42947</v>
          </cell>
          <cell r="D83">
            <v>2995.23</v>
          </cell>
          <cell r="E83">
            <v>-2.8074957410562207E-2</v>
          </cell>
        </row>
        <row r="84">
          <cell r="C84">
            <v>42978</v>
          </cell>
          <cell r="D84">
            <v>2937.09</v>
          </cell>
          <cell r="E84">
            <v>1.1145878070228932E-3</v>
          </cell>
        </row>
        <row r="85">
          <cell r="C85">
            <v>43008</v>
          </cell>
          <cell r="D85">
            <v>2936.67</v>
          </cell>
          <cell r="E85">
            <v>1.9694786367818962E-2</v>
          </cell>
        </row>
        <row r="86">
          <cell r="C86">
            <v>43039</v>
          </cell>
          <cell r="D86">
            <v>3011.44</v>
          </cell>
          <cell r="E86">
            <v>1.4752363815262015E-2</v>
          </cell>
        </row>
        <row r="87">
          <cell r="C87">
            <v>43069</v>
          </cell>
          <cell r="D87">
            <v>3006.09</v>
          </cell>
          <cell r="E87">
            <v>-5.0235538325924423E-2</v>
          </cell>
        </row>
        <row r="88">
          <cell r="C88">
            <v>43100</v>
          </cell>
          <cell r="D88">
            <v>2984</v>
          </cell>
          <cell r="E88">
            <v>-5.5686820785747493E-3</v>
          </cell>
        </row>
        <row r="89">
          <cell r="C89">
            <v>43131</v>
          </cell>
          <cell r="D89">
            <v>2844.14</v>
          </cell>
          <cell r="E89">
            <v>-3.1505179353415125E-2</v>
          </cell>
        </row>
        <row r="90">
          <cell r="C90">
            <v>43159</v>
          </cell>
          <cell r="D90">
            <v>2855.93</v>
          </cell>
          <cell r="E90">
            <v>-1.3928259450948999E-2</v>
          </cell>
        </row>
        <row r="91">
          <cell r="C91">
            <v>43190</v>
          </cell>
          <cell r="D91">
            <v>2780.47</v>
          </cell>
          <cell r="E91">
            <v>-3.4639474488237121E-2</v>
          </cell>
        </row>
        <row r="92">
          <cell r="C92">
            <v>43220</v>
          </cell>
          <cell r="D92">
            <v>2806.28</v>
          </cell>
          <cell r="E92">
            <v>-4.8024831656970246E-2</v>
          </cell>
        </row>
        <row r="93">
          <cell r="C93">
            <v>43251</v>
          </cell>
          <cell r="D93">
            <v>2879.32</v>
          </cell>
          <cell r="E93">
            <v>-1.4073318221351716E-2</v>
          </cell>
        </row>
        <row r="94">
          <cell r="C94">
            <v>43281</v>
          </cell>
          <cell r="D94">
            <v>2930.8</v>
          </cell>
          <cell r="E94">
            <v>-3.5368928268153521E-2</v>
          </cell>
        </row>
        <row r="95">
          <cell r="C95">
            <v>43312</v>
          </cell>
          <cell r="D95">
            <v>2875.72</v>
          </cell>
          <cell r="E95">
            <v>-3.9900107838129362E-2</v>
          </cell>
        </row>
        <row r="96">
          <cell r="C96">
            <v>43343</v>
          </cell>
          <cell r="D96">
            <v>3027.39</v>
          </cell>
          <cell r="E96">
            <v>3.0744716709395936E-2</v>
          </cell>
        </row>
        <row r="97">
          <cell r="C97">
            <v>43373</v>
          </cell>
          <cell r="D97">
            <v>2972.18</v>
          </cell>
          <cell r="E97">
            <v>1.2091927250933887E-2</v>
          </cell>
        </row>
        <row r="98">
          <cell r="C98">
            <v>43404</v>
          </cell>
          <cell r="D98">
            <v>3202.44</v>
          </cell>
          <cell r="E98">
            <v>6.3424806736976258E-2</v>
          </cell>
        </row>
        <row r="99">
          <cell r="C99">
            <v>43434</v>
          </cell>
          <cell r="D99">
            <v>3240.02</v>
          </cell>
          <cell r="E99">
            <v>7.7818694716392356E-2</v>
          </cell>
        </row>
        <row r="100">
          <cell r="C100">
            <v>43465</v>
          </cell>
          <cell r="D100">
            <v>3249.75</v>
          </cell>
          <cell r="E100">
            <v>8.9058310991957157E-2</v>
          </cell>
        </row>
        <row r="101">
          <cell r="C101">
            <v>43496</v>
          </cell>
          <cell r="D101">
            <v>3163.46</v>
          </cell>
          <cell r="E101">
            <v>0.11227295421463079</v>
          </cell>
        </row>
        <row r="102">
          <cell r="E102">
            <v>-1</v>
          </cell>
        </row>
        <row r="103">
          <cell r="E103">
            <v>-1</v>
          </cell>
        </row>
        <row r="104">
          <cell r="E104">
            <v>-1</v>
          </cell>
        </row>
        <row r="105">
          <cell r="E105">
            <v>-1</v>
          </cell>
        </row>
        <row r="106">
          <cell r="E106">
            <v>-1</v>
          </cell>
        </row>
        <row r="107">
          <cell r="E107">
            <v>-1</v>
          </cell>
        </row>
      </sheetData>
      <sheetData sheetId="1" refreshError="1"/>
      <sheetData sheetId="2" refreshError="1"/>
      <sheetData sheetId="3" refreshError="1"/>
      <sheetData sheetId="4">
        <row r="1">
          <cell r="B1" t="str">
            <v>Año</v>
          </cell>
        </row>
        <row r="5001">
          <cell r="A5001">
            <v>2016</v>
          </cell>
        </row>
        <row r="5002">
          <cell r="A5002">
            <v>2017</v>
          </cell>
        </row>
        <row r="5003">
          <cell r="A5003">
            <v>2018</v>
          </cell>
        </row>
      </sheetData>
      <sheetData sheetId="5" refreshError="1"/>
      <sheetData sheetId="6">
        <row r="2">
          <cell r="P2" t="str">
            <v>SI</v>
          </cell>
        </row>
        <row r="3">
          <cell r="P3" t="str">
            <v>NO</v>
          </cell>
        </row>
        <row r="8">
          <cell r="P8" t="str">
            <v>RORAC:</v>
          </cell>
        </row>
        <row r="9">
          <cell r="P9" t="str">
            <v>RENT/CER :</v>
          </cell>
        </row>
        <row r="13">
          <cell r="P13" t="str">
            <v>Seguir</v>
          </cell>
        </row>
        <row r="14">
          <cell r="P14" t="str">
            <v>Afianzar</v>
          </cell>
        </row>
        <row r="15">
          <cell r="P15" t="str">
            <v>Reducir</v>
          </cell>
        </row>
        <row r="16">
          <cell r="P16" t="str">
            <v>Extinguir</v>
          </cell>
        </row>
      </sheetData>
      <sheetData sheetId="7" refreshError="1"/>
      <sheetData sheetId="8" refreshError="1"/>
      <sheetData sheetId="9" refreshError="1"/>
      <sheetData sheetId="10" refreshError="1"/>
      <sheetData sheetId="11">
        <row r="44">
          <cell r="N44">
            <v>212515.03599999999</v>
          </cell>
        </row>
      </sheetData>
      <sheetData sheetId="12" refreshError="1"/>
      <sheetData sheetId="13">
        <row r="6">
          <cell r="A6">
            <v>1</v>
          </cell>
        </row>
        <row r="137">
          <cell r="A137" t="str">
            <v>SI</v>
          </cell>
        </row>
        <row r="138">
          <cell r="A138" t="str">
            <v>NO</v>
          </cell>
        </row>
      </sheetData>
      <sheetData sheetId="14">
        <row r="16">
          <cell r="E16" t="str">
            <v>Falabella de Colombia SA</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ow r="8">
          <cell r="C8">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2">
          <cell r="A2">
            <v>10</v>
          </cell>
          <cell r="B2" t="str">
            <v>Asalariados</v>
          </cell>
        </row>
        <row r="3">
          <cell r="A3">
            <v>90</v>
          </cell>
          <cell r="B3" t="str">
            <v>Rentistas De Capital. Solo Para Personas Naturales</v>
          </cell>
        </row>
        <row r="4">
          <cell r="A4">
            <v>111</v>
          </cell>
          <cell r="B4" t="str">
            <v>Produccion Especializada Del Cafe</v>
          </cell>
        </row>
        <row r="5">
          <cell r="A5">
            <v>112</v>
          </cell>
          <cell r="B5" t="str">
            <v>Produccion Especializada De Flor  De Corte Bajo Cubierta Y Al Aire Libre</v>
          </cell>
        </row>
        <row r="6">
          <cell r="A6">
            <v>113</v>
          </cell>
          <cell r="B6" t="str">
            <v>Produccion Especializada De Banano</v>
          </cell>
        </row>
        <row r="7">
          <cell r="A7">
            <v>114</v>
          </cell>
          <cell r="B7" t="str">
            <v>Produccion Especializada De Caña De Azucar</v>
          </cell>
        </row>
        <row r="8">
          <cell r="A8">
            <v>115</v>
          </cell>
          <cell r="B8" t="str">
            <v>Produccion Especializada De Cereales Y Oleaginosas</v>
          </cell>
        </row>
        <row r="9">
          <cell r="A9">
            <v>116</v>
          </cell>
          <cell r="B9" t="str">
            <v>Produccion Especializada De Hortalizas Y Legumbres</v>
          </cell>
        </row>
        <row r="10">
          <cell r="A10">
            <v>117</v>
          </cell>
          <cell r="B10" t="str">
            <v>Produccion Especializada De Frutas,Nueces,Plantas Bebestibles Y Especias</v>
          </cell>
        </row>
        <row r="11">
          <cell r="A11">
            <v>118</v>
          </cell>
          <cell r="B11" t="str">
            <v>Produccion Agricola Ncp En Unidades Especializadas</v>
          </cell>
        </row>
        <row r="12">
          <cell r="A12">
            <v>119</v>
          </cell>
          <cell r="B12" t="str">
            <v>Produccion Agricola En Unidades No Especializadas</v>
          </cell>
        </row>
        <row r="13">
          <cell r="A13">
            <v>121</v>
          </cell>
          <cell r="B13" t="str">
            <v>Cria Especializada De Ganado Vacuno</v>
          </cell>
        </row>
        <row r="14">
          <cell r="A14">
            <v>122</v>
          </cell>
          <cell r="B14" t="str">
            <v>Cria Especializada  De Ganado Porcino</v>
          </cell>
        </row>
        <row r="15">
          <cell r="A15">
            <v>123</v>
          </cell>
          <cell r="B15" t="str">
            <v>Cria Especialiada De Aves De Corral</v>
          </cell>
        </row>
        <row r="16">
          <cell r="A16">
            <v>124</v>
          </cell>
          <cell r="B16" t="str">
            <v>Cria Especializada De Ovejas, Cabras, Caballos, Asnos, Mulas Y Burdeganos</v>
          </cell>
        </row>
        <row r="17">
          <cell r="A17">
            <v>125</v>
          </cell>
          <cell r="B17" t="str">
            <v>Cria Especializada De Otros Animales Ncp Y  La  Obtencion De Sus Productos</v>
          </cell>
        </row>
        <row r="18">
          <cell r="A18">
            <v>129</v>
          </cell>
          <cell r="B18" t="str">
            <v>Actividad Pecuaria No Especializada</v>
          </cell>
        </row>
        <row r="19">
          <cell r="A19">
            <v>130</v>
          </cell>
          <cell r="B19" t="str">
            <v>Actividad Mixta (Agricola Y Pecuaria)</v>
          </cell>
        </row>
        <row r="20">
          <cell r="A20">
            <v>140</v>
          </cell>
          <cell r="B20" t="str">
            <v>Actividades De Servicios, Agricolas Y Ganaderos, Excepto Las Actividades Veterinarias</v>
          </cell>
        </row>
        <row r="21">
          <cell r="A21">
            <v>150</v>
          </cell>
          <cell r="B21" t="str">
            <v>Caza Ordinaria Y Mediante Trampas Y Repoblacion De Animales De Caza, Incluso actividades De Servicios Conexas.</v>
          </cell>
        </row>
        <row r="22">
          <cell r="A22">
            <v>201</v>
          </cell>
          <cell r="B22" t="str">
            <v>Silvicultura Y Explotacion De La Madera</v>
          </cell>
        </row>
        <row r="23">
          <cell r="A23">
            <v>202</v>
          </cell>
          <cell r="B23" t="str">
            <v>Actividades De Servicios Relacionadas Con La Silvicultura Y La Extraccion De La Madera</v>
          </cell>
        </row>
        <row r="24">
          <cell r="A24">
            <v>501</v>
          </cell>
          <cell r="B24" t="str">
            <v>Pesca Explotacion De Ciaderos De Peces Y Granjas Pisicolas. Pesca y cultivo de peces en criaderos y piscicolas</v>
          </cell>
        </row>
        <row r="25">
          <cell r="A25">
            <v>502</v>
          </cell>
          <cell r="B25" t="str">
            <v>Actividades De Servicios Relacionados Con La Pesca</v>
          </cell>
        </row>
        <row r="26">
          <cell r="A26">
            <v>1010</v>
          </cell>
          <cell r="B26" t="str">
            <v>Extraccion Y Aglomeracion De Hulla ( Carbon De Piedra)</v>
          </cell>
        </row>
        <row r="27">
          <cell r="A27">
            <v>1020</v>
          </cell>
          <cell r="B27" t="str">
            <v>Extraccion Y Aglomeracion De Carbon Lignitico</v>
          </cell>
        </row>
        <row r="28">
          <cell r="A28">
            <v>1030</v>
          </cell>
          <cell r="B28" t="str">
            <v>Extraccion Y Aglomeracion De Turba</v>
          </cell>
        </row>
        <row r="29">
          <cell r="A29">
            <v>1110</v>
          </cell>
          <cell r="B29" t="str">
            <v>Extraccion De Petroleo Crudo Y De Gas Natural</v>
          </cell>
        </row>
        <row r="30">
          <cell r="A30">
            <v>1120</v>
          </cell>
          <cell r="B30" t="str">
            <v>Actividades De Servicios Relacionadas Con La Extraccion De Petroleo Y Gas, Excepto Las Actividades De Prospeccion</v>
          </cell>
        </row>
        <row r="31">
          <cell r="A31">
            <v>1200</v>
          </cell>
          <cell r="B31" t="str">
            <v>Extraccion De Minerales De Uranio Y De Torio</v>
          </cell>
        </row>
        <row r="32">
          <cell r="A32">
            <v>1310</v>
          </cell>
          <cell r="B32" t="str">
            <v>Extraccion Del Mineral De Hierro</v>
          </cell>
        </row>
        <row r="33">
          <cell r="A33">
            <v>1320</v>
          </cell>
          <cell r="B33" t="str">
            <v>Extraccion De Metales Preciosos</v>
          </cell>
        </row>
        <row r="34">
          <cell r="A34">
            <v>1331</v>
          </cell>
          <cell r="B34" t="str">
            <v>Extraccion De Minerales De Niquel</v>
          </cell>
        </row>
        <row r="35">
          <cell r="A35">
            <v>1339</v>
          </cell>
          <cell r="B35" t="str">
            <v>Extraccion De Otros Minerales metaliferos No Ferrosos, Excepto Niquel</v>
          </cell>
        </row>
        <row r="36">
          <cell r="A36">
            <v>1411</v>
          </cell>
          <cell r="B36" t="str">
            <v>Extraccion De Piedra, Arena Y Arcillas Comunes</v>
          </cell>
        </row>
        <row r="37">
          <cell r="A37">
            <v>1412</v>
          </cell>
          <cell r="B37" t="str">
            <v>Extracccion De Yeso Y Anhidrita</v>
          </cell>
        </row>
        <row r="38">
          <cell r="A38">
            <v>1413</v>
          </cell>
          <cell r="B38" t="str">
            <v>Extraccion De Caolin, Arcillas De Uso Industrial Y Bentonitas</v>
          </cell>
        </row>
        <row r="39">
          <cell r="A39">
            <v>1414</v>
          </cell>
          <cell r="B39" t="str">
            <v>Extraccion De Arenas Y Gravas Siliceas</v>
          </cell>
        </row>
        <row r="40">
          <cell r="A40">
            <v>1415</v>
          </cell>
          <cell r="B40" t="str">
            <v>Extraccion De Caliza Y Dolomita</v>
          </cell>
        </row>
        <row r="41">
          <cell r="A41">
            <v>1421</v>
          </cell>
          <cell r="B41" t="str">
            <v>Extraccion De Minerales Para La Fabricacion De Abonos Y Productos Quimicos</v>
          </cell>
        </row>
        <row r="42">
          <cell r="A42">
            <v>1422</v>
          </cell>
          <cell r="B42" t="str">
            <v>Extraccion De Halita (Sal)</v>
          </cell>
        </row>
        <row r="43">
          <cell r="A43">
            <v>1431</v>
          </cell>
          <cell r="B43" t="str">
            <v>Extraccion De Esmeraldas</v>
          </cell>
        </row>
        <row r="44">
          <cell r="A44">
            <v>1432</v>
          </cell>
          <cell r="B44" t="str">
            <v>Extraccion De Otras Piedras Preciosas Y Semipreciosas</v>
          </cell>
        </row>
        <row r="45">
          <cell r="A45">
            <v>1490</v>
          </cell>
          <cell r="B45" t="str">
            <v>Extraccion De Otros Minerales No Metalicos Ncp</v>
          </cell>
        </row>
        <row r="46">
          <cell r="A46">
            <v>1511</v>
          </cell>
          <cell r="B46" t="str">
            <v>Produccion,Transformacion Y Conservacion De Carne Y De Derivados Carnicos</v>
          </cell>
        </row>
        <row r="47">
          <cell r="A47">
            <v>1512</v>
          </cell>
          <cell r="B47" t="str">
            <v>Transformacion Y Conservacion De Pescado Y De Derivados Del Pescado</v>
          </cell>
        </row>
        <row r="48">
          <cell r="A48">
            <v>1521</v>
          </cell>
          <cell r="B48" t="str">
            <v>Elaboracion De Alimentos Compuestos Principalmente De Frutas, Legumbres Y Hortalizas</v>
          </cell>
        </row>
        <row r="49">
          <cell r="A49">
            <v>1522</v>
          </cell>
          <cell r="B49" t="str">
            <v>Elaboracion De Aceites Y Grasas De Origen Vegetal Y Animal</v>
          </cell>
        </row>
        <row r="50">
          <cell r="A50">
            <v>1530</v>
          </cell>
          <cell r="B50" t="str">
            <v>Elaboracion De Productos Lacteos</v>
          </cell>
        </row>
        <row r="51">
          <cell r="A51">
            <v>1541</v>
          </cell>
          <cell r="B51" t="str">
            <v>Elaboracion De Productos De Molineria</v>
          </cell>
        </row>
        <row r="52">
          <cell r="A52">
            <v>1542</v>
          </cell>
          <cell r="B52" t="str">
            <v>Elaboracion De Almidones Y De Productos Derivados Del Almidon</v>
          </cell>
        </row>
        <row r="53">
          <cell r="A53">
            <v>1543</v>
          </cell>
          <cell r="B53" t="str">
            <v>Elaboracion De Alimentos Preparados Para Animales</v>
          </cell>
        </row>
        <row r="54">
          <cell r="A54">
            <v>1551</v>
          </cell>
          <cell r="B54" t="str">
            <v>Elaboracion De Productos De Panaderia</v>
          </cell>
        </row>
        <row r="55">
          <cell r="A55">
            <v>1552</v>
          </cell>
          <cell r="B55" t="str">
            <v>Elaboracion De Macarrones, Fideos, Alcuzcuz Y Productos Farinaceos Similares</v>
          </cell>
        </row>
        <row r="56">
          <cell r="A56">
            <v>1561</v>
          </cell>
          <cell r="B56" t="str">
            <v>Trilla De Cafe</v>
          </cell>
        </row>
        <row r="57">
          <cell r="A57">
            <v>1562</v>
          </cell>
          <cell r="B57" t="str">
            <v>Descafeinado</v>
          </cell>
        </row>
        <row r="58">
          <cell r="A58">
            <v>1563</v>
          </cell>
          <cell r="B58" t="str">
            <v>Tostion Y Molienda Del Cafe</v>
          </cell>
        </row>
        <row r="59">
          <cell r="A59">
            <v>1564</v>
          </cell>
          <cell r="B59" t="str">
            <v>Elaboracion De Otros Derivados Del Cafe</v>
          </cell>
        </row>
        <row r="60">
          <cell r="A60">
            <v>1571</v>
          </cell>
          <cell r="B60" t="str">
            <v>Fabricación Y Refinación De Azucar</v>
          </cell>
        </row>
        <row r="61">
          <cell r="A61">
            <v>1572</v>
          </cell>
          <cell r="B61" t="str">
            <v>Fabricacion De Panela</v>
          </cell>
        </row>
        <row r="62">
          <cell r="A62">
            <v>1581</v>
          </cell>
          <cell r="B62" t="str">
            <v>Elaboracion De Cacao, Chocolate Y Productos De Confiteria</v>
          </cell>
        </row>
        <row r="63">
          <cell r="A63">
            <v>1589</v>
          </cell>
          <cell r="B63" t="str">
            <v>Elaboracion De Otros Productos Alimenticios Ncp</v>
          </cell>
        </row>
        <row r="64">
          <cell r="A64">
            <v>1591</v>
          </cell>
          <cell r="B64" t="str">
            <v>Destilacion, Rectificacion Y Mezcla De Bebidas Alcoholicas; Produccion De Alcohol Etílico A Partir De Sustancias Fermentadas</v>
          </cell>
        </row>
        <row r="65">
          <cell r="A65">
            <v>1592</v>
          </cell>
          <cell r="B65" t="str">
            <v>Elaboracion De Bebidas Fermentadas No Destiladas</v>
          </cell>
        </row>
        <row r="66">
          <cell r="A66">
            <v>1593</v>
          </cell>
          <cell r="B66" t="str">
            <v>Produccion De Malta, Elaboracion De Cervezas Y Otras Bebidas Malteadas</v>
          </cell>
        </row>
        <row r="67">
          <cell r="A67">
            <v>1594</v>
          </cell>
          <cell r="B67" t="str">
            <v>Elaboracion De Bebidas No Alcoholicas; Produccion De Aguas Minerales</v>
          </cell>
        </row>
        <row r="68">
          <cell r="A68">
            <v>1600</v>
          </cell>
          <cell r="B68" t="str">
            <v>Fabricacion De Productos De Tabaco</v>
          </cell>
        </row>
        <row r="69">
          <cell r="A69">
            <v>1710</v>
          </cell>
          <cell r="B69" t="str">
            <v>Preparacion E Hilatura De Fibras Textiles</v>
          </cell>
        </row>
        <row r="70">
          <cell r="A70">
            <v>1720</v>
          </cell>
          <cell r="B70" t="str">
            <v>Tejedura De Productos Textiles</v>
          </cell>
        </row>
        <row r="71">
          <cell r="A71">
            <v>1730</v>
          </cell>
          <cell r="B71" t="str">
            <v>Acabado De Productos Textiles No Producidos En La Misma Unidad De Produccion</v>
          </cell>
        </row>
        <row r="72">
          <cell r="A72">
            <v>1741</v>
          </cell>
          <cell r="B72" t="str">
            <v>Confeccion De Articulos Con Materiales Textiles No Producidos En La Misma Unidad, Excepto Prendas De Vestir</v>
          </cell>
        </row>
        <row r="73">
          <cell r="A73">
            <v>1742</v>
          </cell>
          <cell r="B73" t="str">
            <v>Fabricacion De Tapices Y Alfombras Para Pisos</v>
          </cell>
        </row>
        <row r="74">
          <cell r="A74">
            <v>1743</v>
          </cell>
          <cell r="B74" t="str">
            <v>Fabricacion De Cuerdas, Cordeles, Cables, Bramantes Y Redes</v>
          </cell>
        </row>
        <row r="75">
          <cell r="A75">
            <v>1749</v>
          </cell>
          <cell r="B75" t="str">
            <v>Fabricacion De Otros Articulos Textiles Ncp</v>
          </cell>
        </row>
        <row r="76">
          <cell r="A76">
            <v>1750</v>
          </cell>
          <cell r="B76" t="str">
            <v>Fabricacion De Tejidos Y Articulos De Punto Y Ganchillo</v>
          </cell>
        </row>
        <row r="77">
          <cell r="A77">
            <v>1810</v>
          </cell>
          <cell r="B77" t="str">
            <v>Fabricacion De Prendas De Vestir Excepto Prendas De Piel</v>
          </cell>
        </row>
        <row r="78">
          <cell r="A78">
            <v>1820</v>
          </cell>
          <cell r="B78" t="str">
            <v>Preprarado Y Teñido De Pieles; Fabricacion De Articulos De Piel</v>
          </cell>
        </row>
        <row r="79">
          <cell r="A79">
            <v>1910</v>
          </cell>
          <cell r="B79" t="str">
            <v>Curtido Y Preparado De Cueros</v>
          </cell>
        </row>
        <row r="80">
          <cell r="A80">
            <v>1921</v>
          </cell>
          <cell r="B80" t="str">
            <v>Fabricacion De Calzado De Cuero Y Piel; Con Cualquier Tipo De Suela, Excepto El Calzado Deportivo</v>
          </cell>
        </row>
        <row r="81">
          <cell r="A81">
            <v>1922</v>
          </cell>
          <cell r="B81" t="str">
            <v>Fabricacion De Calzado De Materiales Textiles; Con Cualquier Tipo De Suela, Excepto Calzado Deportivo</v>
          </cell>
        </row>
        <row r="82">
          <cell r="A82">
            <v>1923</v>
          </cell>
          <cell r="B82" t="str">
            <v>Fabricacion De Calzado De Caucho Excepto El Calzado Deportivo</v>
          </cell>
        </row>
        <row r="83">
          <cell r="A83">
            <v>1924</v>
          </cell>
          <cell r="B83" t="str">
            <v>Fabricacion De Calzado Plastico Excepto El Calzado Deportivo</v>
          </cell>
        </row>
        <row r="84">
          <cell r="A84">
            <v>1925</v>
          </cell>
          <cell r="B84" t="str">
            <v>Fabricacion De Calzado Deportivo, Excepto El Moldeado</v>
          </cell>
        </row>
        <row r="85">
          <cell r="A85">
            <v>1926</v>
          </cell>
          <cell r="B85" t="str">
            <v>Fabricacion De Partes De Calzado</v>
          </cell>
        </row>
        <row r="86">
          <cell r="A86">
            <v>1929</v>
          </cell>
          <cell r="B86" t="str">
            <v>Fabricacion De Calzado Ncp</v>
          </cell>
        </row>
        <row r="87">
          <cell r="A87">
            <v>1931</v>
          </cell>
          <cell r="B87" t="str">
            <v>Fabricacion De Articulos De Viaje, Bolsos De Mano, Y Articulos Similares elaborados en cuero, fabricacion de articulos de talabaqueria y guernicion</v>
          </cell>
        </row>
        <row r="88">
          <cell r="A88">
            <v>1932</v>
          </cell>
          <cell r="B88" t="str">
            <v>Fabircacion De Articulos De Viaje, Bolsos De Mano Y Articulos Similares, Elaborados En Materiales Sinteticos, Plastico E Imitaciones De Cuero</v>
          </cell>
        </row>
        <row r="89">
          <cell r="A89">
            <v>1939</v>
          </cell>
          <cell r="B89" t="str">
            <v>Fabricacion De Articulos De Viaje, Bolsos De Mano Y Articulos Similares Elaborados Con Materiales Ncp</v>
          </cell>
        </row>
        <row r="90">
          <cell r="A90">
            <v>2010</v>
          </cell>
          <cell r="B90" t="str">
            <v>Aserrado, Acepillado E Impregnacion De La Madera</v>
          </cell>
        </row>
        <row r="91">
          <cell r="A91">
            <v>2020</v>
          </cell>
          <cell r="B91" t="str">
            <v>Fabricacion De Hojas De Madera Para Enchapado; Fabricacion De Tableros Contrachapados, Tableros Laminados, Tableros De Particulas Y Otros Tableros</v>
          </cell>
        </row>
        <row r="92">
          <cell r="A92">
            <v>2030</v>
          </cell>
          <cell r="B92" t="str">
            <v>Fabricacion De Partes Y Piezas De Carpinteria Para Edificios Y Construccion</v>
          </cell>
        </row>
        <row r="93">
          <cell r="A93">
            <v>2040</v>
          </cell>
          <cell r="B93" t="str">
            <v>Fabricacion De Recipientes De Madera</v>
          </cell>
        </row>
        <row r="94">
          <cell r="A94">
            <v>2090</v>
          </cell>
          <cell r="B94" t="str">
            <v>Fabricacion De Otros Productos De Madera; Fabricacion De Articulos De Corcho, Cesteria Y Esparteria</v>
          </cell>
        </row>
        <row r="95">
          <cell r="A95">
            <v>2101</v>
          </cell>
          <cell r="B95" t="str">
            <v>Fabricacion De Pastas Celulosicas; Papel Y Carton</v>
          </cell>
        </row>
        <row r="96">
          <cell r="A96">
            <v>2102</v>
          </cell>
          <cell r="B96" t="str">
            <v>Fabricacion De Papel Y Carton Ondulado, Fabricacion De Envases, Empaques Y De Embalajes De Papel Y Carton</v>
          </cell>
        </row>
        <row r="97">
          <cell r="A97">
            <v>2109</v>
          </cell>
          <cell r="B97" t="str">
            <v>Fabricacion De Otros Articulos De Papel Y Carton</v>
          </cell>
        </row>
        <row r="98">
          <cell r="A98">
            <v>2211</v>
          </cell>
          <cell r="B98" t="str">
            <v>Ediciion De Libors, Folletos, Partituras Y Otras Publicaciones</v>
          </cell>
        </row>
        <row r="99">
          <cell r="A99">
            <v>2212</v>
          </cell>
          <cell r="B99" t="str">
            <v>Edici9On De Periodicos, Rebvistas Y Publicaciones Periodicas</v>
          </cell>
        </row>
        <row r="100">
          <cell r="A100">
            <v>2213</v>
          </cell>
          <cell r="B100" t="str">
            <v>Edicion De Materiales Grabados</v>
          </cell>
        </row>
        <row r="101">
          <cell r="A101">
            <v>2219</v>
          </cell>
          <cell r="B101" t="str">
            <v>Otros Trabajos De Edición</v>
          </cell>
        </row>
        <row r="102">
          <cell r="A102">
            <v>2220</v>
          </cell>
          <cell r="B102" t="str">
            <v>Actividades De Impresion</v>
          </cell>
        </row>
        <row r="103">
          <cell r="A103">
            <v>2231</v>
          </cell>
          <cell r="B103" t="str">
            <v>Arte, Diseño Y Composicion</v>
          </cell>
        </row>
        <row r="104">
          <cell r="A104">
            <v>2232</v>
          </cell>
          <cell r="B104" t="str">
            <v>Fotomecanica Y Analogos</v>
          </cell>
        </row>
        <row r="105">
          <cell r="A105">
            <v>2233</v>
          </cell>
          <cell r="B105" t="str">
            <v>Encuadernacion</v>
          </cell>
        </row>
        <row r="106">
          <cell r="A106">
            <v>2234</v>
          </cell>
          <cell r="B106" t="str">
            <v>Acabado Y Recubrimiento</v>
          </cell>
        </row>
        <row r="107">
          <cell r="A107">
            <v>2239</v>
          </cell>
          <cell r="B107" t="str">
            <v>Otros Servicios Conexos Ncp</v>
          </cell>
        </row>
        <row r="108">
          <cell r="A108">
            <v>2240</v>
          </cell>
          <cell r="B108" t="str">
            <v>Reproduccion De Materiales Grabados</v>
          </cell>
        </row>
        <row r="109">
          <cell r="A109">
            <v>2310</v>
          </cell>
          <cell r="B109" t="str">
            <v>Fabricacion De Productos De Hornos De Coque</v>
          </cell>
        </row>
        <row r="110">
          <cell r="A110">
            <v>2321</v>
          </cell>
          <cell r="B110" t="str">
            <v>Fabricacion De Productos De La Refinacion Del Petroleo, Elaborados En Refineria</v>
          </cell>
        </row>
        <row r="111">
          <cell r="A111">
            <v>2322</v>
          </cell>
          <cell r="B111" t="str">
            <v>Elaboracion De Productos Derivados Del Petroleo, Fuera De Refineria</v>
          </cell>
        </row>
        <row r="112">
          <cell r="A112">
            <v>2330</v>
          </cell>
          <cell r="B112" t="str">
            <v>Elaboracion De Combustible Nuclear</v>
          </cell>
        </row>
        <row r="113">
          <cell r="A113">
            <v>2411</v>
          </cell>
          <cell r="B113" t="str">
            <v>Fabricacion De Sustancias Quimicas Basicas, Excepto Abonos Y Compuestos Inorganicos Nitrogenados</v>
          </cell>
        </row>
        <row r="114">
          <cell r="A114">
            <v>2412</v>
          </cell>
          <cell r="B114" t="str">
            <v>Fabricacion De Abonos Y Compuestos Inorganicos Nitrogenados</v>
          </cell>
        </row>
        <row r="115">
          <cell r="A115">
            <v>2413</v>
          </cell>
          <cell r="B115" t="str">
            <v>Fabricacion De Plasticos En Formas Primarias</v>
          </cell>
        </row>
        <row r="116">
          <cell r="A116">
            <v>2414</v>
          </cell>
          <cell r="B116" t="str">
            <v>Fabricacion De Caucho Sintetico En Formas Primarias</v>
          </cell>
        </row>
        <row r="117">
          <cell r="A117">
            <v>2421</v>
          </cell>
          <cell r="B117" t="str">
            <v>Fabricacion De Plaguicidas Y Otros Productos Quimicos De Uso Agropecuario</v>
          </cell>
        </row>
        <row r="118">
          <cell r="A118">
            <v>2422</v>
          </cell>
          <cell r="B118" t="str">
            <v>Fabricacion De Pinturas, Barnices Y Revestimientos Similares, Tintas Para Impresión Y Masillas</v>
          </cell>
        </row>
        <row r="119">
          <cell r="A119">
            <v>2423</v>
          </cell>
          <cell r="B119" t="str">
            <v>Fabricacion De Productos Farmaceuticos, Sustancias Quimicas Medicinales Y Productos Botanicos</v>
          </cell>
        </row>
        <row r="120">
          <cell r="A120">
            <v>2424</v>
          </cell>
          <cell r="B120" t="str">
            <v>Fabricacion De Jabones Y Detergentes, Preparados Para Limpiar Y Pulir; Perfumes Y Preparados De Tocador</v>
          </cell>
        </row>
        <row r="121">
          <cell r="A121">
            <v>2429</v>
          </cell>
          <cell r="B121" t="str">
            <v>Fabricacion De Otros Productos Quimicos Ncp</v>
          </cell>
        </row>
        <row r="122">
          <cell r="A122">
            <v>2430</v>
          </cell>
          <cell r="B122" t="str">
            <v>Fabricacion De Fibras Sinteticas Y Artificiales</v>
          </cell>
        </row>
        <row r="123">
          <cell r="A123">
            <v>2511</v>
          </cell>
          <cell r="B123" t="str">
            <v>Fabricacion De Llantas Y Neumaticos De Caucho</v>
          </cell>
        </row>
        <row r="124">
          <cell r="A124">
            <v>2512</v>
          </cell>
          <cell r="B124" t="str">
            <v>Reencauche De Llantas Usadas</v>
          </cell>
        </row>
        <row r="125">
          <cell r="A125">
            <v>2513</v>
          </cell>
          <cell r="B125" t="str">
            <v>Fabricacion De Formas Basicas De Caucho</v>
          </cell>
        </row>
        <row r="126">
          <cell r="A126">
            <v>2519</v>
          </cell>
          <cell r="B126" t="str">
            <v>Fabricacion De Otros Productos De Caucho Ncp</v>
          </cell>
        </row>
        <row r="127">
          <cell r="A127">
            <v>2521</v>
          </cell>
          <cell r="B127" t="str">
            <v>Fabricacion De Formas Basicas De Plastico</v>
          </cell>
        </row>
        <row r="128">
          <cell r="A128">
            <v>2529</v>
          </cell>
          <cell r="B128" t="str">
            <v>Fabricacion De Articulos De Plastico Ncp</v>
          </cell>
        </row>
        <row r="129">
          <cell r="A129">
            <v>2610</v>
          </cell>
          <cell r="B129" t="str">
            <v>Fabricacion De Vidrio y De Productos De Vidrio</v>
          </cell>
        </row>
        <row r="130">
          <cell r="A130">
            <v>2691</v>
          </cell>
          <cell r="B130" t="str">
            <v>Fabricacion De Productos De Ceramica No Refractaria, Para Uso No Estructural</v>
          </cell>
        </row>
        <row r="131">
          <cell r="A131">
            <v>2692</v>
          </cell>
          <cell r="B131" t="str">
            <v>Fabricacion De Productos De Ceramica Refractaria</v>
          </cell>
        </row>
        <row r="132">
          <cell r="A132">
            <v>2693</v>
          </cell>
          <cell r="B132" t="str">
            <v>Fabricacion De Productos De Arcilla Y Ceramica No Refractaria, Para Uso Estructural</v>
          </cell>
        </row>
        <row r="133">
          <cell r="A133">
            <v>2694</v>
          </cell>
          <cell r="B133" t="str">
            <v>Fabricacion De Cemento, Cal Y Yeso</v>
          </cell>
        </row>
        <row r="134">
          <cell r="A134">
            <v>2695</v>
          </cell>
          <cell r="B134" t="str">
            <v>Fabricacion De Articulos De Hormigon, Cemento Y Yeso</v>
          </cell>
        </row>
        <row r="135">
          <cell r="A135">
            <v>2696</v>
          </cell>
          <cell r="B135" t="str">
            <v>Corte, Tallado Y Acabado De La Piedra</v>
          </cell>
        </row>
        <row r="136">
          <cell r="A136">
            <v>2699</v>
          </cell>
          <cell r="B136" t="str">
            <v>Fabricacion De Otros Productos Minerales No Metalicos Ncp</v>
          </cell>
        </row>
        <row r="137">
          <cell r="A137">
            <v>2710</v>
          </cell>
          <cell r="B137" t="str">
            <v>Industrias Basicas De Hierro Y Acero</v>
          </cell>
        </row>
        <row r="138">
          <cell r="A138">
            <v>2721</v>
          </cell>
          <cell r="B138" t="str">
            <v>Industrias Basicas De Metales Preciosos</v>
          </cell>
        </row>
        <row r="139">
          <cell r="A139">
            <v>2729</v>
          </cell>
          <cell r="B139" t="str">
            <v>Industrias Basicas De Otros Metales No Ferrosos</v>
          </cell>
        </row>
        <row r="140">
          <cell r="A140">
            <v>2731</v>
          </cell>
          <cell r="B140" t="str">
            <v>Fundicion De Hierro Y De Acero</v>
          </cell>
        </row>
        <row r="141">
          <cell r="A141">
            <v>2732</v>
          </cell>
          <cell r="B141" t="str">
            <v>Fundicion De Metales No Ferrosos</v>
          </cell>
        </row>
        <row r="142">
          <cell r="A142">
            <v>2811</v>
          </cell>
          <cell r="B142" t="str">
            <v>Fabricacion De Productos Metalicos Para Uso Estructural</v>
          </cell>
        </row>
        <row r="143">
          <cell r="A143">
            <v>2812</v>
          </cell>
          <cell r="B143" t="str">
            <v>Fabricacion De Tanques, Depositos Y Recipientes De Metal</v>
          </cell>
        </row>
        <row r="144">
          <cell r="A144">
            <v>2813</v>
          </cell>
          <cell r="B144" t="str">
            <v>Fabricacion De Generadores De Vapor, Excepto Calderas De Agua Caliente Para Calefaccion Central</v>
          </cell>
        </row>
        <row r="145">
          <cell r="A145">
            <v>2891</v>
          </cell>
          <cell r="B145" t="str">
            <v>Forja, Prensado, Estampado Y Laminado De Metal; Pulvimetalurgia</v>
          </cell>
        </row>
        <row r="146">
          <cell r="A146">
            <v>2892</v>
          </cell>
          <cell r="B146" t="str">
            <v>Tratamiento Y Revestimiento De Metales; Trabajos De Ingenieria Mecanica En General Realizados A Cambio De Una Retribucion O Por Contrata</v>
          </cell>
        </row>
        <row r="147">
          <cell r="A147">
            <v>2893</v>
          </cell>
          <cell r="B147" t="str">
            <v>Fabricacion De Articulos De Cuchilleria, Herramientas De Mano Y Articulos De Ferreteria</v>
          </cell>
        </row>
        <row r="148">
          <cell r="A148">
            <v>2899</v>
          </cell>
          <cell r="B148" t="str">
            <v>Fabricacion De Otros Productos Elaborados De Metal Ncp</v>
          </cell>
        </row>
        <row r="149">
          <cell r="A149">
            <v>2911</v>
          </cell>
          <cell r="B149" t="str">
            <v>Fabricacion De Motores Y Turbinas, Excepto Motores Para Aeronaves, Vehiculos Automotores Y Motocicletas</v>
          </cell>
        </row>
        <row r="150">
          <cell r="A150">
            <v>2912</v>
          </cell>
          <cell r="B150" t="str">
            <v>Fabricacion De Bombas, Compresores, Grifos Y Valvulas</v>
          </cell>
        </row>
        <row r="151">
          <cell r="A151">
            <v>2913</v>
          </cell>
          <cell r="B151" t="str">
            <v>Fabricacion De Cojinetes, Engranajes, Trenes De Engranajes Y Piezas De Transmision</v>
          </cell>
        </row>
        <row r="152">
          <cell r="A152">
            <v>2914</v>
          </cell>
          <cell r="B152" t="str">
            <v>Fabricacion De Hornos, Hogares Y Quemadores Industriales</v>
          </cell>
        </row>
        <row r="153">
          <cell r="A153">
            <v>2915</v>
          </cell>
          <cell r="B153" t="str">
            <v>Fabricacion De Equipo De Elevación Y Manipulacion</v>
          </cell>
        </row>
        <row r="154">
          <cell r="A154">
            <v>2919</v>
          </cell>
          <cell r="B154" t="str">
            <v>Fabricacion De Otros Tipos De Maquinaria De Uso General Ncp</v>
          </cell>
        </row>
        <row r="155">
          <cell r="A155">
            <v>2921</v>
          </cell>
          <cell r="B155" t="str">
            <v>Fabricacion De Maquinaria Agropecuaria Y Forestal</v>
          </cell>
        </row>
        <row r="156">
          <cell r="A156">
            <v>2922</v>
          </cell>
          <cell r="B156" t="str">
            <v>Fabricacion De Maquinas Herramienta</v>
          </cell>
        </row>
        <row r="157">
          <cell r="A157">
            <v>2923</v>
          </cell>
          <cell r="B157" t="str">
            <v>Fabricacion De Maquinaria Para La Metalurgia</v>
          </cell>
        </row>
        <row r="158">
          <cell r="A158">
            <v>2924</v>
          </cell>
          <cell r="B158" t="str">
            <v>Fabricacion De Maquinaria Para La Explotacion De Minas Y Canteras Y Para La Construccion</v>
          </cell>
        </row>
        <row r="159">
          <cell r="A159">
            <v>2925</v>
          </cell>
          <cell r="B159" t="str">
            <v>Fabricacion De Maquinaria Para La Elaboracion De Alimentos, Bebidas Y Tabaco</v>
          </cell>
        </row>
        <row r="160">
          <cell r="A160">
            <v>2926</v>
          </cell>
          <cell r="B160" t="str">
            <v>Fabricacion De Maquinaria Para La Elaboracion De Productos Textiles, Prendas De Vestir Y Cueros</v>
          </cell>
        </row>
        <row r="161">
          <cell r="A161">
            <v>2927</v>
          </cell>
          <cell r="B161" t="str">
            <v>Fabricacion De Armas Y Municiones</v>
          </cell>
        </row>
        <row r="162">
          <cell r="A162">
            <v>2929</v>
          </cell>
          <cell r="B162" t="str">
            <v>Fabricacion De Otros Tipos De Maquinaria De Uso Especial Ncp</v>
          </cell>
        </row>
        <row r="163">
          <cell r="A163">
            <v>2930</v>
          </cell>
          <cell r="B163" t="str">
            <v>Fabricaion De Aparatos De Uso Domestico Ncp</v>
          </cell>
        </row>
        <row r="164">
          <cell r="A164">
            <v>3000</v>
          </cell>
          <cell r="B164" t="str">
            <v>Fabricacion De Maquinaria De Oficina, Contabilidad E Informatica</v>
          </cell>
        </row>
        <row r="165">
          <cell r="A165">
            <v>3110</v>
          </cell>
          <cell r="B165" t="str">
            <v>Fabricacion De Motores, Generadores Y Transformadores</v>
          </cell>
        </row>
        <row r="166">
          <cell r="A166">
            <v>3120</v>
          </cell>
          <cell r="B166" t="str">
            <v>Fabricacion De Aparatos De Distribucion Y Control De La Energía Electrica</v>
          </cell>
        </row>
        <row r="167">
          <cell r="A167">
            <v>3130</v>
          </cell>
          <cell r="B167" t="str">
            <v>Fabricacion De Hilos Y Cables Aislados</v>
          </cell>
        </row>
        <row r="168">
          <cell r="A168">
            <v>3140</v>
          </cell>
          <cell r="B168" t="str">
            <v>Fabricacion De Acumuladoresy De Pilas Electricas</v>
          </cell>
        </row>
        <row r="169">
          <cell r="A169">
            <v>3150</v>
          </cell>
          <cell r="B169" t="str">
            <v>Fabricacion De Lamparas Electricas Y Equipo De Iluminacion</v>
          </cell>
        </row>
        <row r="170">
          <cell r="A170">
            <v>3190</v>
          </cell>
          <cell r="B170" t="str">
            <v>Fabricacion De Otros Tipos De Equipo Electrico Ncp</v>
          </cell>
        </row>
        <row r="171">
          <cell r="A171">
            <v>3210</v>
          </cell>
          <cell r="B171" t="str">
            <v>Fabricacion De Tubos Y Valvulas Electronicas Y De Otros Componentes Electronicos</v>
          </cell>
        </row>
        <row r="172">
          <cell r="A172">
            <v>3220</v>
          </cell>
          <cell r="B172" t="str">
            <v>Fabricacion De Transmisores De Radio Y Television Y De Aparatos Para Telefonia Y Telegrafia</v>
          </cell>
        </row>
        <row r="173">
          <cell r="A173">
            <v>3230</v>
          </cell>
          <cell r="B173" t="str">
            <v>Fabricacion De Receptores De Radio Y Television, De Aparatos De Grabacion De Reproduccion Del Sonido O Imagen, Y De Productos Conexos</v>
          </cell>
        </row>
        <row r="174">
          <cell r="A174">
            <v>3311</v>
          </cell>
          <cell r="B174" t="str">
            <v>Fabricacion De Equipo Medico Y Quirurgico Y De Aparatos Ortesicos Y Protesicos</v>
          </cell>
        </row>
        <row r="175">
          <cell r="A175">
            <v>3312</v>
          </cell>
          <cell r="B175" t="str">
            <v>Fabricacion De Instrumentos Y Aparatos Para Medir, Verificar, Ensayar, Navegar Y Otros Fines, Excepto Equipo De Control De Procesos Industriales</v>
          </cell>
        </row>
        <row r="176">
          <cell r="A176">
            <v>3313</v>
          </cell>
          <cell r="B176" t="str">
            <v>Fabricacion De Equipo De Control De Procesos Industriales</v>
          </cell>
        </row>
        <row r="177">
          <cell r="A177">
            <v>3320</v>
          </cell>
          <cell r="B177" t="str">
            <v>Fabricacion De Instrumentos Opticos Y De Equipo Fotografico</v>
          </cell>
        </row>
        <row r="178">
          <cell r="A178">
            <v>3330</v>
          </cell>
          <cell r="B178" t="str">
            <v>Fabricacion De Relojes</v>
          </cell>
        </row>
        <row r="179">
          <cell r="A179">
            <v>3410</v>
          </cell>
          <cell r="B179" t="str">
            <v>Fabricacion De Vehiculos Automotores Y Sus Motores</v>
          </cell>
        </row>
        <row r="180">
          <cell r="A180">
            <v>3420</v>
          </cell>
          <cell r="B180" t="str">
            <v>Fabricacion De Carrocerias Para Vehiculos Automotores; Fabricacion De Remolques Y Semiremolques</v>
          </cell>
        </row>
        <row r="181">
          <cell r="A181">
            <v>3430</v>
          </cell>
          <cell r="B181" t="str">
            <v>Fabricacion De Partes, Piezas Y Accesorios(Autopartes) Para Vehiculos Automotores Y Para Sus Motores</v>
          </cell>
        </row>
        <row r="182">
          <cell r="A182">
            <v>3511</v>
          </cell>
          <cell r="B182" t="str">
            <v>Construccion Y Reparacion De Buques</v>
          </cell>
        </row>
        <row r="183">
          <cell r="A183">
            <v>3512</v>
          </cell>
          <cell r="B183" t="str">
            <v>Construccion Y Reparacion De Embarcaciones De Recreo Y De Deporte</v>
          </cell>
        </row>
        <row r="184">
          <cell r="A184">
            <v>3520</v>
          </cell>
          <cell r="B184" t="str">
            <v>Fabricacion De Locomotoras Y De Material Rodante Para Ferrocarriles Y Tranvias</v>
          </cell>
        </row>
        <row r="185">
          <cell r="A185">
            <v>3530</v>
          </cell>
          <cell r="B185" t="str">
            <v>Fabricacion De Aeronaves Y De Naves Espaciales</v>
          </cell>
        </row>
        <row r="186">
          <cell r="A186">
            <v>3591</v>
          </cell>
          <cell r="B186" t="str">
            <v>Fabricaion De Motocicletas</v>
          </cell>
        </row>
        <row r="187">
          <cell r="A187">
            <v>3592</v>
          </cell>
          <cell r="B187" t="str">
            <v>Fabricacion De Bicicletas Y De Sillones De Ruedas Para Discapacitados</v>
          </cell>
        </row>
        <row r="188">
          <cell r="A188">
            <v>3599</v>
          </cell>
          <cell r="B188" t="str">
            <v>Fabricacion De Otros Tipos De Equipo De Transporte Ncp</v>
          </cell>
        </row>
        <row r="189">
          <cell r="A189">
            <v>3611</v>
          </cell>
          <cell r="B189" t="str">
            <v>Fabricacion De Muebles Para El Hogar</v>
          </cell>
        </row>
        <row r="190">
          <cell r="A190">
            <v>3612</v>
          </cell>
          <cell r="B190" t="str">
            <v>Fabricaion De Muebles Para Oficina</v>
          </cell>
        </row>
        <row r="191">
          <cell r="A191">
            <v>3613</v>
          </cell>
          <cell r="B191" t="str">
            <v>Fabricacion De Muebles Para Comercio Y Servicios</v>
          </cell>
        </row>
        <row r="192">
          <cell r="A192">
            <v>3614</v>
          </cell>
          <cell r="B192" t="str">
            <v>Fabricacion De Colchones Y Somieres</v>
          </cell>
        </row>
        <row r="193">
          <cell r="A193">
            <v>3619</v>
          </cell>
          <cell r="B193" t="str">
            <v>Fabricacion De Otros Muebles Ncp</v>
          </cell>
        </row>
        <row r="194">
          <cell r="A194">
            <v>3691</v>
          </cell>
          <cell r="B194" t="str">
            <v>Fabricacion De Joyas Y De Articulos Conexos</v>
          </cell>
        </row>
        <row r="195">
          <cell r="A195">
            <v>3692</v>
          </cell>
          <cell r="B195" t="str">
            <v>Fabricacion De Instrumentos Musicales</v>
          </cell>
        </row>
        <row r="196">
          <cell r="A196">
            <v>3693</v>
          </cell>
          <cell r="B196" t="str">
            <v>Fabricacion De Articulos Deportivos</v>
          </cell>
        </row>
        <row r="197">
          <cell r="A197">
            <v>3694</v>
          </cell>
          <cell r="B197" t="str">
            <v>Fabricacion De Juegos Y Juguetes</v>
          </cell>
        </row>
        <row r="198">
          <cell r="A198">
            <v>3699</v>
          </cell>
          <cell r="B198" t="str">
            <v>Otras Industrias Manufactureras Ncp</v>
          </cell>
        </row>
        <row r="199">
          <cell r="A199">
            <v>3710</v>
          </cell>
          <cell r="B199" t="str">
            <v>Reciclaje De Desperdicios Y De Desechos Metalicos</v>
          </cell>
        </row>
        <row r="200">
          <cell r="A200">
            <v>3720</v>
          </cell>
          <cell r="B200" t="str">
            <v>Reciclaje De Desperdicios Y Desechos No Metalicos</v>
          </cell>
        </row>
        <row r="201">
          <cell r="A201">
            <v>4010</v>
          </cell>
          <cell r="B201" t="str">
            <v>Generacion, Captacion Y Distrivbucion De Energia Electrica</v>
          </cell>
        </row>
        <row r="202">
          <cell r="A202">
            <v>4020</v>
          </cell>
          <cell r="B202" t="str">
            <v>Fabricacion De Gas; Distribucion De Combustibles Gaseosos Por Tuberias</v>
          </cell>
        </row>
        <row r="203">
          <cell r="A203">
            <v>4030</v>
          </cell>
          <cell r="B203" t="str">
            <v>Suministro De Vapor Y Agua Caliente</v>
          </cell>
        </row>
        <row r="204">
          <cell r="A204">
            <v>4100</v>
          </cell>
          <cell r="B204" t="str">
            <v>Captacion, Depuracion Y Distribucion De Agua</v>
          </cell>
        </row>
        <row r="205">
          <cell r="A205">
            <v>4511</v>
          </cell>
          <cell r="B205" t="str">
            <v>Trabajos De Demolicion Y Preparacion De Terrenos Para La Construccion De Edificaciones</v>
          </cell>
        </row>
        <row r="206">
          <cell r="A206">
            <v>4512</v>
          </cell>
          <cell r="B206" t="str">
            <v>Trabajos De Preparacion De Terrenos Para Obras Civiles</v>
          </cell>
        </row>
        <row r="207">
          <cell r="A207">
            <v>4521</v>
          </cell>
          <cell r="B207" t="str">
            <v>Construccion De Edificaciones Para Uso Residencial</v>
          </cell>
        </row>
        <row r="208">
          <cell r="A208">
            <v>4522</v>
          </cell>
          <cell r="B208" t="str">
            <v>Construccion De Edificaciones Para Uso No Residencial</v>
          </cell>
        </row>
        <row r="209">
          <cell r="A209">
            <v>4530</v>
          </cell>
          <cell r="B209" t="str">
            <v>Construccion De Obras De Ingenieria Civil</v>
          </cell>
        </row>
        <row r="210">
          <cell r="A210">
            <v>4541</v>
          </cell>
          <cell r="B210" t="str">
            <v>Instalaciones Hidraulicas Y Trabajos Conexos</v>
          </cell>
        </row>
        <row r="211">
          <cell r="A211">
            <v>4542</v>
          </cell>
          <cell r="B211" t="str">
            <v>Trabajos De Electricidad</v>
          </cell>
        </row>
        <row r="212">
          <cell r="A212">
            <v>4543</v>
          </cell>
          <cell r="B212" t="str">
            <v>Trabajos De Instalacion De Equipos</v>
          </cell>
        </row>
        <row r="213">
          <cell r="A213">
            <v>4549</v>
          </cell>
          <cell r="B213" t="str">
            <v>Otros Trabajos De Acondicionamiento</v>
          </cell>
        </row>
        <row r="214">
          <cell r="A214">
            <v>4551</v>
          </cell>
          <cell r="B214" t="str">
            <v>Ornamentacion E Instalacion De Vidrios Y Ventanas</v>
          </cell>
        </row>
        <row r="215">
          <cell r="A215">
            <v>4552</v>
          </cell>
          <cell r="B215" t="str">
            <v>Trabajos De Pintura Y Terminacion De Muros Y Pisos</v>
          </cell>
        </row>
        <row r="216">
          <cell r="A216">
            <v>4559</v>
          </cell>
          <cell r="B216" t="str">
            <v>Otros Trabajos De Terminacion Y Acabado</v>
          </cell>
        </row>
        <row r="217">
          <cell r="A217">
            <v>4560</v>
          </cell>
          <cell r="B217" t="str">
            <v>Alquiler De Equipo Para Construccion Y Demolicion Dotado De Operarios</v>
          </cell>
        </row>
        <row r="218">
          <cell r="A218">
            <v>5011</v>
          </cell>
          <cell r="B218" t="str">
            <v>Comercio De Vehiculos Automotores Nuevos</v>
          </cell>
        </row>
        <row r="219">
          <cell r="A219">
            <v>5012</v>
          </cell>
          <cell r="B219" t="str">
            <v>Comercio De Vehiculos Automotores Usados</v>
          </cell>
        </row>
        <row r="220">
          <cell r="A220">
            <v>5020</v>
          </cell>
          <cell r="B220" t="str">
            <v>Mantenimiento Y Reparacion De Vehiculos Automotores</v>
          </cell>
        </row>
        <row r="221">
          <cell r="A221">
            <v>5030</v>
          </cell>
          <cell r="B221" t="str">
            <v>Comercio De Partes, Piezas (Autopartes) Y Accesorios (Lujos) Para Vehiculos Automotores</v>
          </cell>
        </row>
        <row r="222">
          <cell r="A222">
            <v>5040</v>
          </cell>
          <cell r="B222" t="str">
            <v>Comercio, Mantenimiento Y Reparacion De Motocicletas Y De Sus Partes, Piezas Y Accesorios</v>
          </cell>
        </row>
        <row r="223">
          <cell r="A223">
            <v>5051</v>
          </cell>
          <cell r="B223" t="str">
            <v>Comercio Al Por Menor De Combustible Para Automotores</v>
          </cell>
        </row>
        <row r="224">
          <cell r="A224">
            <v>5052</v>
          </cell>
          <cell r="B224" t="str">
            <v>Comercio Al Por Menor De Lubricantes (Aceites, Grasas), Aditivos Y Productos De Limpieza Para Vehiculos Automotores</v>
          </cell>
        </row>
        <row r="225">
          <cell r="A225">
            <v>5111</v>
          </cell>
          <cell r="B225" t="str">
            <v>Comercio Al Por Mayor A Cambio  De Una Retribucion O Por Contrata De Productos Agricolas (Excepto Cafe), Silvicolas Y De Animales Vivos Y Sus Produ</v>
          </cell>
        </row>
        <row r="226">
          <cell r="A226">
            <v>5112</v>
          </cell>
          <cell r="B226" t="str">
            <v>Comercio Al Por Mayor A Cambio De Una Retribucion O Por Contrata De Cafe Pergamino</v>
          </cell>
        </row>
        <row r="227">
          <cell r="A227">
            <v>5113</v>
          </cell>
          <cell r="B227" t="str">
            <v>Comercio Al Por Mayor A Cambio De Una Retribucion O Por Contrata De Productos Manufacturados</v>
          </cell>
        </row>
        <row r="228">
          <cell r="A228">
            <v>5119</v>
          </cell>
          <cell r="B228" t="str">
            <v>Comercio Al Por Mayor A Cambio De Uhna Retribucion O Por Contrata De Productos Ncp</v>
          </cell>
        </row>
        <row r="229">
          <cell r="A229">
            <v>5121</v>
          </cell>
          <cell r="B229" t="str">
            <v>Comercio Al Por Mayor De Materias Primas, Productos Agricolas, Excepto Cafe Y Flores</v>
          </cell>
        </row>
        <row r="230">
          <cell r="A230">
            <v>5122</v>
          </cell>
          <cell r="B230" t="str">
            <v>Comercio Al Por Mayor De Cafe Pergamino</v>
          </cell>
        </row>
        <row r="231">
          <cell r="A231">
            <v>5123</v>
          </cell>
          <cell r="B231" t="str">
            <v>Comercio Al Por Mayor De Flores Y Plantas Ornamentales</v>
          </cell>
        </row>
        <row r="232">
          <cell r="A232">
            <v>5124</v>
          </cell>
          <cell r="B232" t="str">
            <v>Comercio Al Por Mayor De Materias Primas Pecuarias, Animales Vivos</v>
          </cell>
        </row>
        <row r="233">
          <cell r="A233">
            <v>5125</v>
          </cell>
          <cell r="B233" t="str">
            <v>Comercio Al Por Mayor De Productos Alimenticios, Excepto Cafe Trillado</v>
          </cell>
        </row>
        <row r="234">
          <cell r="A234">
            <v>5126</v>
          </cell>
          <cell r="B234" t="str">
            <v>Comercio Al Por Mayor De Cafe Trillado</v>
          </cell>
        </row>
        <row r="235">
          <cell r="A235">
            <v>5127</v>
          </cell>
          <cell r="B235" t="str">
            <v>Comercio Al Por Mayor De Bebidas Y Productos Del Tabaco</v>
          </cell>
        </row>
        <row r="236">
          <cell r="A236">
            <v>5131</v>
          </cell>
          <cell r="B236" t="str">
            <v>Comercio al por mayor de productos textiles, productos confeccionados para uso domestico</v>
          </cell>
        </row>
        <row r="237">
          <cell r="A237">
            <v>5132</v>
          </cell>
          <cell r="B237" t="str">
            <v>Comercio Al Por Mayor De Prendas De Vestir, Accesorios De Prendas De Vestir Y Articulos Elaborados En Piel</v>
          </cell>
        </row>
        <row r="238">
          <cell r="A238">
            <v>5133</v>
          </cell>
          <cell r="B238" t="str">
            <v>Comercio Al Por Mayor De Calzado</v>
          </cell>
        </row>
        <row r="239">
          <cell r="A239">
            <v>5134</v>
          </cell>
          <cell r="B239" t="str">
            <v>Comercio Al Por Mayor De Aparatos, Articulos Y Equipos De Uso Domestico</v>
          </cell>
        </row>
        <row r="240">
          <cell r="A240">
            <v>5135</v>
          </cell>
          <cell r="B240" t="str">
            <v>Comercio Al Por Mayor De Productos Farmaceuticos, Medicinales, Cosmeticos Y De Tocador</v>
          </cell>
        </row>
        <row r="241">
          <cell r="A241">
            <v>5136</v>
          </cell>
          <cell r="B241" t="str">
            <v>Comercio Al Por Mayor De Equipos medicos, Quirurgicos Y De Aparatos Ortesicos Y Protesicos</v>
          </cell>
        </row>
        <row r="242">
          <cell r="A242">
            <v>5137</v>
          </cell>
          <cell r="B242" t="str">
            <v>Comercio Al Por Mayor De Papel Y Carton; Productos De Papel Y Carton</v>
          </cell>
        </row>
        <row r="243">
          <cell r="A243">
            <v>5139</v>
          </cell>
          <cell r="B243" t="str">
            <v>Comercio Al Por Mayor De Otros Productos De Consumo Ncp</v>
          </cell>
        </row>
        <row r="244">
          <cell r="A244">
            <v>5141</v>
          </cell>
          <cell r="B244" t="str">
            <v>Comercio Al Por Mayor De Materiales De Construccion, Ferreteria Y Vidrio</v>
          </cell>
        </row>
        <row r="245">
          <cell r="A245">
            <v>5142</v>
          </cell>
          <cell r="B245" t="str">
            <v>Comercio Al Por Mayor De Pinturas Y Productos Conexos</v>
          </cell>
        </row>
        <row r="246">
          <cell r="A246">
            <v>5151</v>
          </cell>
          <cell r="B246" t="str">
            <v>Comercio Al Por Mayor De Combustibles Solidos, Liquidos, Gaseosos Y Productos Conexos</v>
          </cell>
        </row>
        <row r="247">
          <cell r="A247">
            <v>5152</v>
          </cell>
          <cell r="B247" t="str">
            <v>Comercio Al Por Mayor De Metales Y Minerales Metaliferos En Formas Primarias</v>
          </cell>
        </row>
        <row r="248">
          <cell r="A248">
            <v>5153</v>
          </cell>
          <cell r="B248" t="str">
            <v>Comercio Al Por Mayor De Productos Quimicos Basicos, Plasticos Y Caucho En Formas Primarias Y Productos Quimicos De Uso Agropecuario</v>
          </cell>
        </row>
        <row r="249">
          <cell r="A249">
            <v>5154</v>
          </cell>
          <cell r="B249" t="str">
            <v>Comercio Al Por Mayor De Fibras Textiles</v>
          </cell>
        </row>
        <row r="250">
          <cell r="A250">
            <v>5155</v>
          </cell>
          <cell r="B250" t="str">
            <v>Comercio Al Por Mayor De Desperdicios O Desechos Industriales Y Material Para Reciclaje</v>
          </cell>
        </row>
        <row r="251">
          <cell r="A251">
            <v>5159</v>
          </cell>
          <cell r="B251" t="str">
            <v>Comercio Al Por Mayor De Otros Productos Intermedios Ncp</v>
          </cell>
        </row>
        <row r="252">
          <cell r="A252">
            <v>5161</v>
          </cell>
          <cell r="B252" t="str">
            <v>Comercio Al Por Mayor De Maquinaria Y Equipo Para La Agricultura , Mineria, Construccion Y La Industria</v>
          </cell>
        </row>
        <row r="253">
          <cell r="A253">
            <v>5162</v>
          </cell>
          <cell r="B253" t="str">
            <v>Comercio Al Por Mayor De Equipo De Transporte, Excepto Vehiculos Automotores Y Motocicletas</v>
          </cell>
        </row>
        <row r="254">
          <cell r="A254">
            <v>5163</v>
          </cell>
          <cell r="B254" t="str">
            <v>Comercio Al Por Mayor De Maquinaria Para Oficina, Contabilidad E Informatica</v>
          </cell>
        </row>
        <row r="255">
          <cell r="A255">
            <v>5169</v>
          </cell>
          <cell r="B255" t="str">
            <v>Comercio Al Por Mayor De Maquinaria Y Equipo Ncp</v>
          </cell>
        </row>
        <row r="256">
          <cell r="A256">
            <v>5170</v>
          </cell>
          <cell r="B256" t="str">
            <v>Mantenimiento Y Reparacion De Maquinaria Y Equipo</v>
          </cell>
        </row>
        <row r="257">
          <cell r="A257">
            <v>5190</v>
          </cell>
          <cell r="B257" t="str">
            <v>Comercio Al Por Mayor De Productos Diversos Ncp</v>
          </cell>
        </row>
        <row r="258">
          <cell r="A258">
            <v>5211</v>
          </cell>
          <cell r="B258" t="str">
            <v>Comercio Al Por Menor, En Establecimientos No Especializados, Con Surtido Compuesto Principalmente De Alimentos (Vivieres En General), Bebidas Y Ta</v>
          </cell>
        </row>
        <row r="259">
          <cell r="A259">
            <v>5219</v>
          </cell>
          <cell r="B259" t="str">
            <v>Comercio Al Por Menor En Establecimientos No Especializados Con Surtido Compuesto Principalmente Por Productos Diferentes De Alimentos (Viveres En</v>
          </cell>
        </row>
        <row r="260">
          <cell r="A260">
            <v>5221</v>
          </cell>
          <cell r="B260" t="str">
            <v>Comercio Al Por Menor De Frutas Y Verduras, En Establecimientos Especializados</v>
          </cell>
        </row>
        <row r="261">
          <cell r="A261">
            <v>5222</v>
          </cell>
          <cell r="B261" t="str">
            <v>Comercio Al Por Menor De Leche, Productos Lacteos Y Huevos En Establecimientos Especializados</v>
          </cell>
        </row>
        <row r="262">
          <cell r="A262">
            <v>5223</v>
          </cell>
          <cell r="B262" t="str">
            <v>Comercio Al Por Menor De Carnes (Incluye Aves De Corral), Productos Carnicos, Pescados Y Productos De Mar, En Establecimientos Especializados</v>
          </cell>
        </row>
        <row r="263">
          <cell r="A263">
            <v>5224</v>
          </cell>
          <cell r="B263" t="str">
            <v>Comercio Al Por Menor De Productos De Confiteria En Establecimientos Especializados</v>
          </cell>
        </row>
        <row r="264">
          <cell r="A264">
            <v>5225</v>
          </cell>
          <cell r="B264" t="str">
            <v>Comercio Al Por Menor De Bebidas Y Productos Del Tabaco En Establecimientos Especializados</v>
          </cell>
        </row>
        <row r="265">
          <cell r="A265">
            <v>5229</v>
          </cell>
          <cell r="B265" t="str">
            <v>Comercio Al Por Menor De Otros Productos Alimenticios Ncp, En Establecimientos Especializados</v>
          </cell>
        </row>
        <row r="266">
          <cell r="A266">
            <v>5231</v>
          </cell>
          <cell r="B266" t="str">
            <v>Comercio Al Por Menor De Productos Farmaceuticos, Medicinales Y Odontologicos; Articulos De Perfumeria, Cosmeticos Y De Tocador En Establecimientos</v>
          </cell>
        </row>
        <row r="267">
          <cell r="A267">
            <v>5232</v>
          </cell>
          <cell r="B267" t="str">
            <v>Comercio Al Por Menor De Productos Textiles En Establecimientos Especializados</v>
          </cell>
        </row>
        <row r="268">
          <cell r="A268">
            <v>5233</v>
          </cell>
          <cell r="B268" t="str">
            <v>Comercio Al Por Menor De Prendas De Vestir Y Sus Accesorios (Incluye Articulos De Piel), En Establecimientos Especializados</v>
          </cell>
        </row>
        <row r="269">
          <cell r="A269">
            <v>5234</v>
          </cell>
          <cell r="B269" t="str">
            <v>Comercio Al Por Menor De Todo Tipo De Calzado, Articulos De Cuero Y Sucedaneos Del Cuero, En Establecimientos Especializados</v>
          </cell>
        </row>
        <row r="270">
          <cell r="A270">
            <v>5235</v>
          </cell>
          <cell r="B270" t="str">
            <v>Comercio Al Por Menor De Electrodomesticos, En Establecimientos Especializados</v>
          </cell>
        </row>
        <row r="271">
          <cell r="A271">
            <v>5236</v>
          </cell>
          <cell r="B271" t="str">
            <v>Comercio Al Por Menor De Muebles Para El Hogar, En Establecimientos Especializados</v>
          </cell>
        </row>
        <row r="272">
          <cell r="A272">
            <v>5237</v>
          </cell>
          <cell r="B272" t="str">
            <v>Comercio Al Por Menor De Equipos Y Articulos De Uso Domestico Diferentes De Electrodomesticos Y Muebles Para El Hogar En Establecimientos Especiali</v>
          </cell>
        </row>
        <row r="273">
          <cell r="A273">
            <v>5239</v>
          </cell>
          <cell r="B273" t="str">
            <v>Comercio Al Por Menor De Productos Diversos Ncp, En Establecimientos Especializados</v>
          </cell>
        </row>
        <row r="274">
          <cell r="A274">
            <v>5241</v>
          </cell>
          <cell r="B274" t="str">
            <v>Comercio Al Por Menor De Articulos De Ferreteria, Cerrajeria Y Productos De Vidrio, Excepto Pinturas En Establecimientos Especializados</v>
          </cell>
        </row>
        <row r="275">
          <cell r="A275">
            <v>5242</v>
          </cell>
          <cell r="B275" t="str">
            <v>Comercio Al Por Menor Pinturas En Establecimientos Especializados</v>
          </cell>
        </row>
        <row r="276">
          <cell r="A276">
            <v>5243</v>
          </cell>
          <cell r="B276" t="str">
            <v>Comercio Al Por Menor De Muebles Para Oficina, Maquinaria Y Equipo De Oficina, Computadores Y Programas De Computador, En Establecimientos Especial</v>
          </cell>
        </row>
        <row r="277">
          <cell r="A277">
            <v>5244</v>
          </cell>
          <cell r="B277" t="str">
            <v>Comercio Al Por Menor De Libros, Periodicos, Materiales Y Articulos De Papeleria Y Escritorio, En Establecimientos Especializados</v>
          </cell>
        </row>
        <row r="278">
          <cell r="A278">
            <v>5245</v>
          </cell>
          <cell r="B278" t="str">
            <v>Comercio Al Por Menor De Equipo Fotografico, En Establecimientos Especializados</v>
          </cell>
        </row>
        <row r="279">
          <cell r="A279">
            <v>5246</v>
          </cell>
          <cell r="B279" t="str">
            <v>Comercio Al Por Menor De Equipo Optico Y De Precisión, En Establecimientos Especializados</v>
          </cell>
        </row>
        <row r="280">
          <cell r="A280">
            <v>5249</v>
          </cell>
          <cell r="B280" t="str">
            <v>Comercio Al Por Menor De Otros Nuevos Productos De Consumo Ncp En Establecimientos Especializados</v>
          </cell>
        </row>
        <row r="281">
          <cell r="A281">
            <v>5251</v>
          </cell>
          <cell r="B281" t="str">
            <v>Comercio Al Por Menor De Articulos Usados En Establecimientos Especializados</v>
          </cell>
        </row>
        <row r="282">
          <cell r="A282">
            <v>5252</v>
          </cell>
          <cell r="B282" t="str">
            <v>Actividades Comerciales De Las Casas De Empeño O Compraventas</v>
          </cell>
        </row>
        <row r="283">
          <cell r="A283">
            <v>5261</v>
          </cell>
          <cell r="B283" t="str">
            <v>Comercio Al Por Menor A Traves De Casas De Venta Por Correo</v>
          </cell>
        </row>
        <row r="284">
          <cell r="A284">
            <v>5262</v>
          </cell>
          <cell r="B284" t="str">
            <v>Comercio Al Por Menor En Puestos Moviles</v>
          </cell>
        </row>
        <row r="285">
          <cell r="A285">
            <v>5269</v>
          </cell>
          <cell r="B285" t="str">
            <v>Otros Tipos De Comercio Al Por Menor No Realizado En Establecimientos</v>
          </cell>
        </row>
        <row r="286">
          <cell r="A286">
            <v>5271</v>
          </cell>
          <cell r="B286" t="str">
            <v>Reparacion De Efectos Personales</v>
          </cell>
        </row>
        <row r="287">
          <cell r="A287">
            <v>5272</v>
          </cell>
          <cell r="B287" t="str">
            <v>Reparacion De Enseres Domesticos</v>
          </cell>
        </row>
        <row r="288">
          <cell r="A288">
            <v>5511</v>
          </cell>
          <cell r="B288" t="str">
            <v>Alojamiento En "Hoteles", "Hostales" Y "Apartahoteles"</v>
          </cell>
        </row>
        <row r="289">
          <cell r="A289">
            <v>5512</v>
          </cell>
          <cell r="B289" t="str">
            <v>Alojamiento En "Residencias,"Moteles", Y "Amoblados"</v>
          </cell>
        </row>
        <row r="290">
          <cell r="A290">
            <v>5513</v>
          </cell>
          <cell r="B290" t="str">
            <v>Alojamientos En "Centros Vacacionales" Y "Zonas De Camping"</v>
          </cell>
        </row>
        <row r="291">
          <cell r="A291">
            <v>5519</v>
          </cell>
          <cell r="B291" t="str">
            <v>Otros Tipos De Alojamiento Ncp</v>
          </cell>
        </row>
        <row r="292">
          <cell r="A292">
            <v>5521</v>
          </cell>
          <cell r="B292" t="str">
            <v>Expendio A La Mesa De Comidas Preparadas, En Restaurantes</v>
          </cell>
        </row>
        <row r="293">
          <cell r="A293">
            <v>5522</v>
          </cell>
          <cell r="B293" t="str">
            <v>Expendio, A La Mesa, De Comidas Preparadas En Cafeterias</v>
          </cell>
        </row>
        <row r="294">
          <cell r="A294">
            <v>5523</v>
          </cell>
          <cell r="B294" t="str">
            <v>Expendio, Por Autoservicio, De Comidas Preparadas En Restaurantes</v>
          </cell>
        </row>
        <row r="295">
          <cell r="A295">
            <v>5524</v>
          </cell>
          <cell r="B295" t="str">
            <v>Expendio, Por Autoservicio De Comidas Preparadas En Cafeterias</v>
          </cell>
        </row>
        <row r="296">
          <cell r="A296">
            <v>5529</v>
          </cell>
          <cell r="B296" t="str">
            <v>Otros Tipos De Expendio Ncp De Alimentos Preparados</v>
          </cell>
        </row>
        <row r="297">
          <cell r="A297">
            <v>5530</v>
          </cell>
          <cell r="B297" t="str">
            <v>Expendio De Bebidas Alcoholicas Para El Consumo Dentro Del Establecimiento</v>
          </cell>
        </row>
        <row r="298">
          <cell r="A298">
            <v>6010</v>
          </cell>
          <cell r="B298" t="str">
            <v>Transporte Por Via Ferrea</v>
          </cell>
        </row>
        <row r="299">
          <cell r="A299">
            <v>6021</v>
          </cell>
          <cell r="B299" t="str">
            <v>Transporte Urbano Colectivo Regular De Pasajeros</v>
          </cell>
        </row>
        <row r="300">
          <cell r="A300">
            <v>6022</v>
          </cell>
          <cell r="B300" t="str">
            <v>Transporte Intermunicipal Colectivo Regular De Pasajeros</v>
          </cell>
        </row>
        <row r="301">
          <cell r="A301">
            <v>6023</v>
          </cell>
          <cell r="B301" t="str">
            <v>Transporte Internacional Colectivo Regular De Pasajeros</v>
          </cell>
        </row>
        <row r="302">
          <cell r="A302">
            <v>6031</v>
          </cell>
          <cell r="B302" t="str">
            <v>Transporte No Reguolar Individual De Pasajeros</v>
          </cell>
        </row>
        <row r="303">
          <cell r="A303">
            <v>6032</v>
          </cell>
          <cell r="B303" t="str">
            <v>Transporte Colectivo No Regular De Pasajeros</v>
          </cell>
        </row>
        <row r="304">
          <cell r="A304">
            <v>6039</v>
          </cell>
          <cell r="B304" t="str">
            <v>Otros Tipos De Transporte No Regular De Pasajeros Ncp</v>
          </cell>
        </row>
        <row r="305">
          <cell r="A305">
            <v>6041</v>
          </cell>
          <cell r="B305" t="str">
            <v>Transporte Municipal De Carga Por Carretera</v>
          </cell>
        </row>
        <row r="306">
          <cell r="A306">
            <v>6042</v>
          </cell>
          <cell r="B306" t="str">
            <v>Transporte Intermunicipal De Carga Por Carretera</v>
          </cell>
        </row>
        <row r="307">
          <cell r="A307">
            <v>6043</v>
          </cell>
          <cell r="B307" t="str">
            <v>Transporte Internacional De Carga Por Carretera</v>
          </cell>
        </row>
        <row r="308">
          <cell r="A308">
            <v>6044</v>
          </cell>
          <cell r="B308" t="str">
            <v>Alquiler De Vehiculos De Carga Con Conductor</v>
          </cell>
        </row>
        <row r="309">
          <cell r="A309">
            <v>6050</v>
          </cell>
          <cell r="B309" t="str">
            <v>Transporte Por Tuberias</v>
          </cell>
        </row>
        <row r="310">
          <cell r="A310">
            <v>6111</v>
          </cell>
          <cell r="B310" t="str">
            <v>Transporte Maritimo Internacional</v>
          </cell>
        </row>
        <row r="311">
          <cell r="A311">
            <v>6112</v>
          </cell>
          <cell r="B311" t="str">
            <v>Transporte Maritimo De Cabotaje</v>
          </cell>
        </row>
        <row r="312">
          <cell r="A312">
            <v>6120</v>
          </cell>
          <cell r="B312" t="str">
            <v>Transporte Fluvial</v>
          </cell>
        </row>
        <row r="313">
          <cell r="A313">
            <v>6211</v>
          </cell>
          <cell r="B313" t="str">
            <v>Transporte Regular Nacional De Pasajeros Por Via Aerea</v>
          </cell>
        </row>
        <row r="314">
          <cell r="A314">
            <v>6212</v>
          </cell>
          <cell r="B314" t="str">
            <v>Transporte Regular Nacional De Carga Por Via Aerea</v>
          </cell>
        </row>
        <row r="315">
          <cell r="A315">
            <v>6213</v>
          </cell>
          <cell r="B315" t="str">
            <v>Transporte Regular Internacional De Pasajeros, Por Via Aerea</v>
          </cell>
        </row>
        <row r="316">
          <cell r="A316">
            <v>6214</v>
          </cell>
          <cell r="B316" t="str">
            <v>Transporte Regular Internacional De Carga, Por Via Aerea</v>
          </cell>
        </row>
        <row r="317">
          <cell r="A317">
            <v>6220</v>
          </cell>
          <cell r="B317" t="str">
            <v>Transporte No Regular, Por Via Aerea</v>
          </cell>
        </row>
        <row r="318">
          <cell r="A318">
            <v>6310</v>
          </cell>
          <cell r="B318" t="str">
            <v>Manipulacion De Carga</v>
          </cell>
        </row>
        <row r="319">
          <cell r="A319">
            <v>6320</v>
          </cell>
          <cell r="B319" t="str">
            <v>Almacenamiento Y Deposito</v>
          </cell>
        </row>
        <row r="320">
          <cell r="A320">
            <v>6331</v>
          </cell>
          <cell r="B320" t="str">
            <v>Actividades De Estaciones De Transporte Terrestre</v>
          </cell>
        </row>
        <row r="321">
          <cell r="A321">
            <v>6332</v>
          </cell>
          <cell r="B321" t="str">
            <v>Actividades De Estaciones De Transporte Acuatico</v>
          </cell>
        </row>
        <row r="322">
          <cell r="A322">
            <v>6333</v>
          </cell>
          <cell r="B322" t="str">
            <v>Actividades De Aeropuertos</v>
          </cell>
        </row>
        <row r="323">
          <cell r="A323">
            <v>6339</v>
          </cell>
          <cell r="B323" t="str">
            <v>Otras Actividades Complementarias Del Transporte</v>
          </cell>
        </row>
        <row r="324">
          <cell r="A324">
            <v>6340</v>
          </cell>
          <cell r="B324" t="str">
            <v>Actividades De Agencias De Viajes Y Organizadores De Viajes; Actividades De Asistencia A Turistas Ncp</v>
          </cell>
        </row>
        <row r="325">
          <cell r="A325">
            <v>6390</v>
          </cell>
          <cell r="B325" t="str">
            <v>Actividades De Otras Agencias De Transporte</v>
          </cell>
        </row>
        <row r="326">
          <cell r="A326">
            <v>6411</v>
          </cell>
          <cell r="B326" t="str">
            <v>Actividades Postales Nacionales</v>
          </cell>
        </row>
        <row r="327">
          <cell r="A327">
            <v>6412</v>
          </cell>
          <cell r="B327" t="str">
            <v>Actividades De Correo Distintas De Las Actividades Postales Nacionales</v>
          </cell>
        </row>
        <row r="328">
          <cell r="A328">
            <v>6421</v>
          </cell>
          <cell r="B328" t="str">
            <v>Servicios Telefonicos</v>
          </cell>
        </row>
        <row r="329">
          <cell r="A329">
            <v>6422</v>
          </cell>
          <cell r="B329" t="str">
            <v>Servicios De Transmision De Datos A Traves De Redes</v>
          </cell>
        </row>
        <row r="330">
          <cell r="A330">
            <v>6423</v>
          </cell>
          <cell r="B330" t="str">
            <v>Servicios De Transmision De Programas De Radio Y Television</v>
          </cell>
        </row>
        <row r="331">
          <cell r="A331">
            <v>6424</v>
          </cell>
          <cell r="B331" t="str">
            <v>Servicios De Transmision Por Cable</v>
          </cell>
        </row>
        <row r="332">
          <cell r="A332">
            <v>6425</v>
          </cell>
          <cell r="B332" t="str">
            <v>Otros Servicios De Telecomunicaciones</v>
          </cell>
        </row>
        <row r="333">
          <cell r="A333">
            <v>6426</v>
          </cell>
          <cell r="B333" t="str">
            <v>Servicios Relacionados Con Las Trelecomunicaciones</v>
          </cell>
        </row>
        <row r="334">
          <cell r="A334">
            <v>6511</v>
          </cell>
          <cell r="B334" t="str">
            <v>Banca Central</v>
          </cell>
        </row>
        <row r="335">
          <cell r="A335">
            <v>6512</v>
          </cell>
          <cell r="B335" t="str">
            <v>Actividades De Los Bancos Diferentes del Banco Central</v>
          </cell>
        </row>
        <row r="336">
          <cell r="A336">
            <v>6513</v>
          </cell>
          <cell r="B336" t="str">
            <v>Actividades De Las Corporaciones De Ahorro Y Vivienda</v>
          </cell>
        </row>
        <row r="337">
          <cell r="A337">
            <v>6514</v>
          </cell>
          <cell r="B337" t="str">
            <v>Actividades De Las Corporaciones Financieras</v>
          </cell>
        </row>
        <row r="338">
          <cell r="A338">
            <v>6515</v>
          </cell>
          <cell r="B338" t="str">
            <v>Actividades De Las Compañias De Financiamiento Comercial</v>
          </cell>
        </row>
        <row r="339">
          <cell r="A339">
            <v>6516</v>
          </cell>
          <cell r="B339" t="str">
            <v>Actividades De Las Cooperativas De Grado Superior De Caracter Financiero</v>
          </cell>
        </row>
        <row r="340">
          <cell r="A340">
            <v>6519</v>
          </cell>
          <cell r="B340" t="str">
            <v>Otros Tipos De Intermediacion Monetaria Ncp</v>
          </cell>
        </row>
        <row r="341">
          <cell r="A341">
            <v>6591</v>
          </cell>
          <cell r="B341" t="str">
            <v>Arrendamiento Financiero (Leasing)</v>
          </cell>
        </row>
        <row r="342">
          <cell r="A342">
            <v>6592</v>
          </cell>
          <cell r="B342" t="str">
            <v>Actividades De Las Sociedades De Fiducia</v>
          </cell>
        </row>
        <row r="343">
          <cell r="A343">
            <v>6593</v>
          </cell>
          <cell r="B343" t="str">
            <v>Actividades De Las Cooperativas Financieras Y Fondos De Empeados</v>
          </cell>
        </row>
        <row r="344">
          <cell r="A344">
            <v>6594</v>
          </cell>
          <cell r="B344" t="str">
            <v>Actividades De Las Sociedades De Capitalizacion</v>
          </cell>
        </row>
        <row r="345">
          <cell r="A345">
            <v>6595</v>
          </cell>
          <cell r="B345" t="str">
            <v>Actividades De Compra De Cartera (Factoring)</v>
          </cell>
        </row>
        <row r="346">
          <cell r="A346">
            <v>6596</v>
          </cell>
          <cell r="B346" t="str">
            <v>Otros Tipos De Credito</v>
          </cell>
        </row>
        <row r="347">
          <cell r="A347">
            <v>6599</v>
          </cell>
          <cell r="B347" t="str">
            <v>Otros Tipos De Intermediacion Financiera Ncp</v>
          </cell>
        </row>
        <row r="348">
          <cell r="A348">
            <v>6601</v>
          </cell>
          <cell r="B348" t="str">
            <v>Planes De Seguros Generales</v>
          </cell>
        </row>
        <row r="349">
          <cell r="A349">
            <v>6602</v>
          </cell>
          <cell r="B349" t="str">
            <v>Planes De Seguros De Vida</v>
          </cell>
        </row>
        <row r="350">
          <cell r="A350">
            <v>6603</v>
          </cell>
          <cell r="B350" t="str">
            <v>Planes De Reaseguros</v>
          </cell>
        </row>
        <row r="351">
          <cell r="A351">
            <v>6604</v>
          </cell>
          <cell r="B351" t="str">
            <v>Planes De Pensiones Y Cesantias</v>
          </cell>
        </row>
        <row r="352">
          <cell r="A352">
            <v>6711</v>
          </cell>
          <cell r="B352" t="str">
            <v>Administracion De Mercados Financieros</v>
          </cell>
        </row>
        <row r="353">
          <cell r="A353">
            <v>6712</v>
          </cell>
          <cell r="B353" t="str">
            <v>Actividades De Las Bolsas De Valores</v>
          </cell>
        </row>
        <row r="354">
          <cell r="A354">
            <v>6713</v>
          </cell>
          <cell r="B354" t="str">
            <v>Actividades De Comisionistas Y Corredores De Valores</v>
          </cell>
        </row>
        <row r="355">
          <cell r="A355">
            <v>6714</v>
          </cell>
          <cell r="B355" t="str">
            <v>Otras Actividades Relacionadas Con El Mercado De Valores</v>
          </cell>
        </row>
        <row r="356">
          <cell r="A356">
            <v>6715</v>
          </cell>
          <cell r="B356" t="str">
            <v>Actividades De Las Casas De Cambio</v>
          </cell>
        </row>
        <row r="357">
          <cell r="A357">
            <v>6719</v>
          </cell>
          <cell r="B357" t="str">
            <v>Actividades Auxiliares De La Administracion Financiera Ncp</v>
          </cell>
        </row>
        <row r="358">
          <cell r="A358">
            <v>6721</v>
          </cell>
          <cell r="B358" t="str">
            <v>Actividades Auxiliares De Los Seguros</v>
          </cell>
        </row>
        <row r="359">
          <cell r="A359">
            <v>6722</v>
          </cell>
          <cell r="B359" t="str">
            <v>Actividades Auxiliares De Los Fondos De Pensiones Y Cesantias</v>
          </cell>
        </row>
        <row r="360">
          <cell r="A360">
            <v>7010</v>
          </cell>
          <cell r="B360" t="str">
            <v>Actividades Inmobiliarias Realizadas Con Bienes Propios O Arrendados</v>
          </cell>
        </row>
        <row r="361">
          <cell r="A361">
            <v>7020</v>
          </cell>
          <cell r="B361" t="str">
            <v>Actividades Inmobiliarias A Cambio De Una Retribucion O Por Contrata</v>
          </cell>
        </row>
        <row r="362">
          <cell r="A362">
            <v>7111</v>
          </cell>
          <cell r="B362" t="str">
            <v>Alquiler De Equipo De Transporte Terrestre</v>
          </cell>
        </row>
        <row r="363">
          <cell r="A363">
            <v>7112</v>
          </cell>
          <cell r="B363" t="str">
            <v>Alquiler De Equipo De Transporte Acuatico</v>
          </cell>
        </row>
        <row r="364">
          <cell r="A364">
            <v>7113</v>
          </cell>
          <cell r="B364" t="str">
            <v>Alquiler De Equipo De Transporte Aereo</v>
          </cell>
        </row>
        <row r="365">
          <cell r="A365">
            <v>7121</v>
          </cell>
          <cell r="B365" t="str">
            <v>Alquiler De Maquinaria Y Equipo Agropecuario</v>
          </cell>
        </row>
        <row r="366">
          <cell r="A366">
            <v>7122</v>
          </cell>
          <cell r="B366" t="str">
            <v>Alquiler De Maquinaria Y Equipo De Construccion Y De Ingenieria Civil</v>
          </cell>
        </row>
        <row r="367">
          <cell r="A367">
            <v>7123</v>
          </cell>
          <cell r="B367" t="str">
            <v>Alquiler De Maquinaria Y Equipo De Oficina (Incluso Computadores)</v>
          </cell>
        </row>
        <row r="368">
          <cell r="A368">
            <v>7129</v>
          </cell>
          <cell r="B368" t="str">
            <v>Alquiler De Otros Tipos De Maquinaria Y Equipo Ncp</v>
          </cell>
        </row>
        <row r="369">
          <cell r="A369">
            <v>7130</v>
          </cell>
          <cell r="B369" t="str">
            <v>Alquiler De Efectos Personaels Y Enseres Domesticos Ncp</v>
          </cell>
        </row>
        <row r="370">
          <cell r="A370">
            <v>7210</v>
          </cell>
          <cell r="B370" t="str">
            <v>Consultores En Equipo De Informatica</v>
          </cell>
        </row>
        <row r="371">
          <cell r="A371">
            <v>7220</v>
          </cell>
          <cell r="B371" t="str">
            <v>Consultores En Programas De Informatica Y Suministro De Programas De Informatica</v>
          </cell>
        </row>
        <row r="372">
          <cell r="A372">
            <v>7230</v>
          </cell>
          <cell r="B372" t="str">
            <v>Procesamiento De Datos</v>
          </cell>
        </row>
        <row r="373">
          <cell r="A373">
            <v>7240</v>
          </cell>
          <cell r="B373" t="str">
            <v>Actividades Relacionadas Con Bases De Datos</v>
          </cell>
        </row>
        <row r="374">
          <cell r="A374">
            <v>7250</v>
          </cell>
          <cell r="B374" t="str">
            <v>Mantenimiento Y Reparacion De Maquinaria De Oficina, Contabilidad E Informatica</v>
          </cell>
        </row>
        <row r="375">
          <cell r="A375">
            <v>7290</v>
          </cell>
          <cell r="B375" t="str">
            <v>Otras Actividades De Informatica</v>
          </cell>
        </row>
        <row r="376">
          <cell r="A376">
            <v>7310</v>
          </cell>
          <cell r="B376" t="str">
            <v>Investigacion Y Desarrollo Experimental En El Campo De Las Ciencias Naturales Y La Ingenieria</v>
          </cell>
        </row>
        <row r="377">
          <cell r="A377">
            <v>7320</v>
          </cell>
          <cell r="B377" t="str">
            <v>Investigacion Y Desarrollo Experimental En El Campo De Las Ciencias Sociales Y La Humanidades</v>
          </cell>
        </row>
        <row r="378">
          <cell r="A378">
            <v>7411</v>
          </cell>
          <cell r="B378" t="str">
            <v>Actividades Juridicas</v>
          </cell>
        </row>
        <row r="379">
          <cell r="A379">
            <v>7412</v>
          </cell>
          <cell r="B379" t="str">
            <v>Actividades De Contabilidad, Teneduria De Libros Y Auditoria; Asesoramiento En Materia De Impuestos</v>
          </cell>
        </row>
        <row r="380">
          <cell r="A380">
            <v>7413</v>
          </cell>
          <cell r="B380" t="str">
            <v>Investigacion De Mercados Y Realizacion De Encuestas De Opinion Publica</v>
          </cell>
        </row>
        <row r="381">
          <cell r="A381">
            <v>7414</v>
          </cell>
          <cell r="B381" t="str">
            <v>Actividades De Asesoramiento Empresarial Y En Materia De Gestion</v>
          </cell>
        </row>
        <row r="382">
          <cell r="A382">
            <v>7421</v>
          </cell>
          <cell r="B382" t="str">
            <v>Actividades De Arquitectura E Ingenieria Y Actividades Conexas De Asesoramiento Tecnico</v>
          </cell>
        </row>
        <row r="383">
          <cell r="A383">
            <v>7422</v>
          </cell>
          <cell r="B383" t="str">
            <v>Ensayos Y Analisis Tecnicos</v>
          </cell>
        </row>
        <row r="384">
          <cell r="A384">
            <v>7430</v>
          </cell>
          <cell r="B384" t="str">
            <v>Publicidad</v>
          </cell>
        </row>
        <row r="385">
          <cell r="A385">
            <v>7491</v>
          </cell>
          <cell r="B385" t="str">
            <v>Obtencion Y Suministro De Personal</v>
          </cell>
        </row>
        <row r="386">
          <cell r="A386">
            <v>7492</v>
          </cell>
          <cell r="B386" t="str">
            <v>Actividades De Investigacion Y Seguridad</v>
          </cell>
        </row>
        <row r="387">
          <cell r="A387">
            <v>7493</v>
          </cell>
          <cell r="B387" t="str">
            <v>Actividades De Limpieza De Edificios</v>
          </cell>
        </row>
        <row r="388">
          <cell r="A388">
            <v>7494</v>
          </cell>
          <cell r="B388" t="str">
            <v>Actividades De Fotografia</v>
          </cell>
        </row>
        <row r="389">
          <cell r="A389">
            <v>7495</v>
          </cell>
          <cell r="B389" t="str">
            <v>Actividades De Envase Y Empaque</v>
          </cell>
        </row>
        <row r="390">
          <cell r="A390">
            <v>7499</v>
          </cell>
          <cell r="B390" t="str">
            <v>Otras Actividades Empresariales Ncp</v>
          </cell>
        </row>
        <row r="391">
          <cell r="A391">
            <v>7511</v>
          </cell>
          <cell r="B391" t="str">
            <v>Actividades Legislativas De La Administracion Publica En General</v>
          </cell>
        </row>
        <row r="392">
          <cell r="A392">
            <v>7512</v>
          </cell>
          <cell r="B392" t="str">
            <v>Actividades Ejecutivas De La Administracion Publica En General</v>
          </cell>
        </row>
        <row r="393">
          <cell r="A393">
            <v>7513</v>
          </cell>
          <cell r="B393" t="str">
            <v>Regulacion De Las Actividades  De Organismos Que Prestan Servicios De Salud, Educativos, Culturales Y Otros Servicios Sociales, Excepto Servicios D</v>
          </cell>
        </row>
        <row r="394">
          <cell r="A394">
            <v>7514</v>
          </cell>
          <cell r="B394" t="str">
            <v>Actividades Reguladoras Y Facilitadoras De La Actividad Economica</v>
          </cell>
        </row>
        <row r="395">
          <cell r="A395">
            <v>7515</v>
          </cell>
          <cell r="B395" t="str">
            <v>Actividades Auxiliares De Servicios Para La Administracion Publica En Gfeneral</v>
          </cell>
        </row>
        <row r="396">
          <cell r="A396">
            <v>7521</v>
          </cell>
          <cell r="B396" t="str">
            <v>Relaciones Exteriores</v>
          </cell>
        </row>
        <row r="397">
          <cell r="A397">
            <v>7522</v>
          </cell>
          <cell r="B397" t="str">
            <v>Actividades De Defensa</v>
          </cell>
        </row>
        <row r="398">
          <cell r="A398">
            <v>7523</v>
          </cell>
          <cell r="B398" t="str">
            <v>Actividades De La Justicia</v>
          </cell>
        </row>
        <row r="399">
          <cell r="A399">
            <v>7524</v>
          </cell>
          <cell r="B399" t="str">
            <v>Actividades De La Policia Y Proteccion Civil</v>
          </cell>
        </row>
        <row r="400">
          <cell r="A400">
            <v>7530</v>
          </cell>
          <cell r="B400" t="str">
            <v>Actividades De Seguridad Social De Afiliacion Obligatoria</v>
          </cell>
        </row>
        <row r="401">
          <cell r="A401">
            <v>8011</v>
          </cell>
          <cell r="B401" t="str">
            <v>Eduacion Preescolar</v>
          </cell>
        </row>
        <row r="402">
          <cell r="A402">
            <v>8012</v>
          </cell>
          <cell r="B402" t="str">
            <v>Educacion Basica Primaria</v>
          </cell>
        </row>
        <row r="403">
          <cell r="A403">
            <v>8021</v>
          </cell>
          <cell r="B403" t="str">
            <v>Educacion Basica Secundaria</v>
          </cell>
        </row>
        <row r="404">
          <cell r="A404">
            <v>8022</v>
          </cell>
          <cell r="B404" t="str">
            <v>Educacion Media</v>
          </cell>
        </row>
        <row r="405">
          <cell r="A405">
            <v>8030</v>
          </cell>
          <cell r="B405" t="str">
            <v>Servicio De Educacion Laboral Especial</v>
          </cell>
        </row>
        <row r="406">
          <cell r="A406">
            <v>8041</v>
          </cell>
          <cell r="B406" t="str">
            <v>Establecimientos Que Prestan El Servicio De Educacion Preescolar Y Basica Primaria</v>
          </cell>
        </row>
        <row r="407">
          <cell r="A407">
            <v>8042</v>
          </cell>
          <cell r="B407" t="str">
            <v>Establecimientos Que Prestan El Servicio De Educacion Preescolar Y Basica ( Basica Primaria Y Basica Secundaria)</v>
          </cell>
        </row>
        <row r="408">
          <cell r="A408">
            <v>8043</v>
          </cell>
          <cell r="B408" t="str">
            <v>Establecimientos Que Prestan El Servicio De Educacion Preescolar, Basica (Basica Primaria, Basica Secundaria) Y Media</v>
          </cell>
        </row>
        <row r="409">
          <cell r="A409">
            <v>8044</v>
          </cell>
          <cell r="B409" t="str">
            <v>Establecimientos Que Prestan El Servicio De Educacion (Basica Primaria Y Basica Secundaria)</v>
          </cell>
        </row>
        <row r="410">
          <cell r="A410">
            <v>8045</v>
          </cell>
          <cell r="B410" t="str">
            <v>Establecimientos Que Prestan El Servicio De Educacion (Basica Primaria Y Basica Secundaria) Y Media</v>
          </cell>
        </row>
        <row r="411">
          <cell r="A411">
            <v>8046</v>
          </cell>
          <cell r="B411" t="str">
            <v>Establecimientos Que Prestan El Servicio De Educacion Basica Secundaria Y Media</v>
          </cell>
        </row>
        <row r="412">
          <cell r="A412">
            <v>8050</v>
          </cell>
          <cell r="B412" t="str">
            <v>Educacion Superior</v>
          </cell>
        </row>
        <row r="413">
          <cell r="A413">
            <v>8060</v>
          </cell>
          <cell r="B413" t="str">
            <v>Educacion No Formal</v>
          </cell>
        </row>
        <row r="414">
          <cell r="A414">
            <v>8511</v>
          </cell>
          <cell r="B414" t="str">
            <v>Actividades De Las Instituciones Prestadoras De Servicios De La Salud, Con Internacion</v>
          </cell>
        </row>
        <row r="415">
          <cell r="A415">
            <v>8512</v>
          </cell>
          <cell r="B415" t="str">
            <v>Actividades De La Practica Medica</v>
          </cell>
        </row>
        <row r="416">
          <cell r="A416">
            <v>8513</v>
          </cell>
          <cell r="B416" t="str">
            <v>Actividades De La Practica Odontologica</v>
          </cell>
        </row>
        <row r="417">
          <cell r="A417">
            <v>8514</v>
          </cell>
          <cell r="B417" t="str">
            <v>Actividades De Apoyo Diagnostico</v>
          </cell>
        </row>
        <row r="418">
          <cell r="A418">
            <v>8515</v>
          </cell>
          <cell r="B418" t="str">
            <v>Actividades De Apoyo Terapeutico</v>
          </cell>
        </row>
        <row r="419">
          <cell r="A419">
            <v>8519</v>
          </cell>
          <cell r="B419" t="str">
            <v>Otras Actividades Relacionada Con La Salud Humana</v>
          </cell>
        </row>
        <row r="420">
          <cell r="A420">
            <v>8520</v>
          </cell>
          <cell r="B420" t="str">
            <v>Actividades Veterinarias</v>
          </cell>
        </row>
        <row r="421">
          <cell r="A421">
            <v>8531</v>
          </cell>
          <cell r="B421" t="str">
            <v>Servicios Sociales Con Alojamiento</v>
          </cell>
        </row>
        <row r="422">
          <cell r="A422">
            <v>8532</v>
          </cell>
          <cell r="B422" t="str">
            <v>Servicios Sociales Sin Alojamiento</v>
          </cell>
        </row>
        <row r="423">
          <cell r="A423">
            <v>9000</v>
          </cell>
          <cell r="B423" t="str">
            <v>Eliminacion De Desperdicios Y Aguas Residuales, Saneamiento Y Actividades Similares</v>
          </cell>
        </row>
        <row r="424">
          <cell r="A424">
            <v>9111</v>
          </cell>
          <cell r="B424" t="str">
            <v>Actividades De Organizaciones Empresariales Y De Empleadores</v>
          </cell>
        </row>
        <row r="425">
          <cell r="A425">
            <v>9112</v>
          </cell>
          <cell r="B425" t="str">
            <v>Actividades De Organizaciones Profesionales</v>
          </cell>
        </row>
        <row r="426">
          <cell r="A426">
            <v>9120</v>
          </cell>
          <cell r="B426" t="str">
            <v>Actividades De Sindicatos</v>
          </cell>
        </row>
        <row r="427">
          <cell r="A427">
            <v>9191</v>
          </cell>
          <cell r="B427" t="str">
            <v>Actividades De Organizaciones Religiosas</v>
          </cell>
        </row>
        <row r="428">
          <cell r="A428">
            <v>9192</v>
          </cell>
          <cell r="B428" t="str">
            <v>Actividades De Organizaciones Politicas</v>
          </cell>
        </row>
        <row r="429">
          <cell r="A429">
            <v>9199</v>
          </cell>
          <cell r="B429" t="str">
            <v>Actividades De Otras Organizaciones Ncp</v>
          </cell>
        </row>
        <row r="430">
          <cell r="A430">
            <v>9211</v>
          </cell>
          <cell r="B430" t="str">
            <v>Produccion Y Distribucion De Filmes Y Videocintas</v>
          </cell>
        </row>
        <row r="431">
          <cell r="A431">
            <v>9212</v>
          </cell>
          <cell r="B431" t="str">
            <v>Exhibicion De Filmes Y Videocintas</v>
          </cell>
        </row>
        <row r="432">
          <cell r="A432">
            <v>9213</v>
          </cell>
          <cell r="B432" t="str">
            <v>Actividades De Radio Y Television</v>
          </cell>
        </row>
        <row r="433">
          <cell r="A433">
            <v>9214</v>
          </cell>
          <cell r="B433" t="str">
            <v>Actividades Teatrales Y Musicales Y Otras Actividades Artisticas</v>
          </cell>
        </row>
        <row r="434">
          <cell r="A434">
            <v>9219</v>
          </cell>
          <cell r="B434" t="str">
            <v>Otras Actividades De Entretenimiento Ncp</v>
          </cell>
        </row>
        <row r="435">
          <cell r="A435">
            <v>9220</v>
          </cell>
          <cell r="B435" t="str">
            <v>Actividades De Agencias De Noticias</v>
          </cell>
        </row>
        <row r="436">
          <cell r="A436">
            <v>9231</v>
          </cell>
          <cell r="B436" t="str">
            <v>Actividades De Bibliotecas Y Archivos</v>
          </cell>
        </row>
        <row r="437">
          <cell r="A437">
            <v>9232</v>
          </cell>
          <cell r="B437" t="str">
            <v>Actividades De Museos Y Preservacion De Lugares Y Edificios Historicos</v>
          </cell>
        </row>
        <row r="438">
          <cell r="A438">
            <v>9233</v>
          </cell>
          <cell r="B438" t="str">
            <v>Actividades De Jardines Botanicos Y Zoologicos Y De Parque Nacionales</v>
          </cell>
        </row>
        <row r="439">
          <cell r="A439">
            <v>9241</v>
          </cell>
          <cell r="B439" t="str">
            <v>Actividades Deportivas</v>
          </cell>
        </row>
        <row r="440">
          <cell r="A440">
            <v>9242</v>
          </cell>
          <cell r="B440" t="str">
            <v>Actividades De Juegos De Azar</v>
          </cell>
        </row>
        <row r="441">
          <cell r="A441">
            <v>9249</v>
          </cell>
          <cell r="B441" t="str">
            <v>Otras Actividades De Esparcimiento</v>
          </cell>
        </row>
        <row r="442">
          <cell r="A442">
            <v>9301</v>
          </cell>
          <cell r="B442" t="str">
            <v>Lavado  Y Limpieza  De Prendas De Tela Y De Piel, Incluso La Limpieza En Seco</v>
          </cell>
        </row>
        <row r="443">
          <cell r="A443">
            <v>9302</v>
          </cell>
          <cell r="B443" t="str">
            <v>Peluqueria Y Otros Tratamientos De Belleza</v>
          </cell>
        </row>
        <row r="444">
          <cell r="A444">
            <v>9303</v>
          </cell>
          <cell r="B444" t="str">
            <v>Pompas Funebres Y Actividades Conexas</v>
          </cell>
        </row>
        <row r="445">
          <cell r="A445">
            <v>9309</v>
          </cell>
          <cell r="B445" t="str">
            <v>Otras Actividades De Servicios Ncp</v>
          </cell>
        </row>
        <row r="446">
          <cell r="A446">
            <v>9500</v>
          </cell>
          <cell r="B446" t="str">
            <v>Hogares Privados Con Servicio Domestico</v>
          </cell>
        </row>
        <row r="447">
          <cell r="A447">
            <v>9900</v>
          </cell>
          <cell r="B447" t="str">
            <v>Organizaciones Y Organos Extraterritoriales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coring"/>
      <sheetName val="Info Entrada"/>
      <sheetName val="ParametrosPry"/>
      <sheetName val="Cuadros"/>
      <sheetName val="FEVE"/>
      <sheetName val="AR"/>
      <sheetName val="Posiciones"/>
      <sheetName val="Activos"/>
      <sheetName val="Pasivos"/>
      <sheetName val="Estado de Resultados"/>
      <sheetName val="Indicadores"/>
      <sheetName val="Resumen Cuadros"/>
      <sheetName val="Resumen EEFF"/>
      <sheetName val="Activos (USD)"/>
      <sheetName val="Pasivos (USD)"/>
      <sheetName val="AR (USD)"/>
      <sheetName val="Posiciones (USD)"/>
      <sheetName val="Estado de Resultados (USD)"/>
      <sheetName val="Indicadores (USD)"/>
      <sheetName val="Resumen Cuadros (USD)"/>
      <sheetName val="Datos relevantes"/>
      <sheetName val="Duración"/>
      <sheetName val="Revisión"/>
      <sheetName val="Descripción"/>
      <sheetName val="Datos Financieros Consolidados"/>
      <sheetName val="Graficos con proy"/>
      <sheetName val="Estructura de la Deuda"/>
      <sheetName val="Rating"/>
      <sheetName val="Datos Finan"/>
      <sheetName val="Cash Flow"/>
      <sheetName val="Plan de Negocio"/>
      <sheetName val="Posición"/>
      <sheetName val="Resumen BBDD"/>
      <sheetName val="BBDD Estado Cash Flow"/>
      <sheetName val="Declaración Bienes"/>
      <sheetName val="CIIU"/>
    </sheetNames>
    <sheetDataSet>
      <sheetData sheetId="0">
        <row r="27">
          <cell r="C27">
            <v>39813</v>
          </cell>
          <cell r="D27">
            <v>2243.59</v>
          </cell>
          <cell r="E27" t="e">
            <v>#VALUE!</v>
          </cell>
        </row>
        <row r="28">
          <cell r="C28">
            <v>40178</v>
          </cell>
          <cell r="D28">
            <v>2044.23</v>
          </cell>
          <cell r="E28" t="e">
            <v>#DIV/0!</v>
          </cell>
        </row>
        <row r="29">
          <cell r="C29">
            <v>40543</v>
          </cell>
          <cell r="D29">
            <v>1913.98</v>
          </cell>
          <cell r="E29" t="e">
            <v>#DIV/0!</v>
          </cell>
        </row>
        <row r="30">
          <cell r="C30">
            <v>40574</v>
          </cell>
          <cell r="D30">
            <v>1857.98</v>
          </cell>
          <cell r="E30" t="e">
            <v>#DIV/0!</v>
          </cell>
        </row>
        <row r="31">
          <cell r="C31">
            <v>40602</v>
          </cell>
          <cell r="D31">
            <v>1895.56</v>
          </cell>
          <cell r="E31" t="e">
            <v>#DIV/0!</v>
          </cell>
        </row>
        <row r="32">
          <cell r="C32">
            <v>40633</v>
          </cell>
          <cell r="D32">
            <v>1879.47</v>
          </cell>
          <cell r="E32" t="e">
            <v>#DIV/0!</v>
          </cell>
        </row>
        <row r="33">
          <cell r="C33">
            <v>40663</v>
          </cell>
          <cell r="D33">
            <v>1768.19</v>
          </cell>
          <cell r="E33" t="e">
            <v>#DIV/0!</v>
          </cell>
        </row>
        <row r="34">
          <cell r="C34">
            <v>40694</v>
          </cell>
          <cell r="D34">
            <v>1817.34</v>
          </cell>
          <cell r="E34" t="e">
            <v>#DIV/0!</v>
          </cell>
        </row>
        <row r="35">
          <cell r="C35">
            <v>40724</v>
          </cell>
          <cell r="D35">
            <v>1780.16</v>
          </cell>
          <cell r="E35" t="e">
            <v>#DIV/0!</v>
          </cell>
        </row>
        <row r="36">
          <cell r="C36">
            <v>40755</v>
          </cell>
          <cell r="D36">
            <v>1777.82</v>
          </cell>
          <cell r="E36" t="e">
            <v>#DIV/0!</v>
          </cell>
        </row>
        <row r="37">
          <cell r="C37">
            <v>40786</v>
          </cell>
          <cell r="D37">
            <v>1783.66</v>
          </cell>
          <cell r="E37" t="e">
            <v>#DIV/0!</v>
          </cell>
        </row>
        <row r="38">
          <cell r="C38">
            <v>40816</v>
          </cell>
          <cell r="D38">
            <v>1915.1</v>
          </cell>
          <cell r="E38" t="e">
            <v>#VALUE!</v>
          </cell>
        </row>
        <row r="39">
          <cell r="C39">
            <v>40847</v>
          </cell>
          <cell r="D39">
            <v>1863.06</v>
          </cell>
          <cell r="E39">
            <v>-0.16960763775912724</v>
          </cell>
        </row>
        <row r="40">
          <cell r="C40">
            <v>40877</v>
          </cell>
          <cell r="D40">
            <v>1967.18</v>
          </cell>
          <cell r="E40">
            <v>-3.7691453505721007E-2</v>
          </cell>
        </row>
        <row r="41">
          <cell r="C41">
            <v>40908</v>
          </cell>
          <cell r="D41">
            <v>1942.7</v>
          </cell>
          <cell r="E41">
            <v>1.500538145644148E-2</v>
          </cell>
        </row>
        <row r="42">
          <cell r="C42">
            <v>40939</v>
          </cell>
          <cell r="D42">
            <v>1815.08</v>
          </cell>
          <cell r="E42">
            <v>-2.3089591922410446E-2</v>
          </cell>
        </row>
        <row r="43">
          <cell r="C43">
            <v>40968</v>
          </cell>
          <cell r="D43">
            <v>1767.83</v>
          </cell>
          <cell r="E43">
            <v>-6.7383781046234326E-2</v>
          </cell>
        </row>
        <row r="44">
          <cell r="C44">
            <v>40999</v>
          </cell>
          <cell r="D44">
            <v>1792.07</v>
          </cell>
          <cell r="E44">
            <v>-4.6502471441417059E-2</v>
          </cell>
        </row>
        <row r="45">
          <cell r="C45">
            <v>41029</v>
          </cell>
          <cell r="D45">
            <v>1761.2</v>
          </cell>
          <cell r="E45">
            <v>-3.9531950751898748E-3</v>
          </cell>
        </row>
        <row r="46">
          <cell r="C46">
            <v>41060</v>
          </cell>
          <cell r="D46">
            <v>1827.83</v>
          </cell>
          <cell r="E46">
            <v>5.7721725158748072E-3</v>
          </cell>
        </row>
        <row r="47">
          <cell r="C47">
            <v>41090</v>
          </cell>
          <cell r="D47">
            <v>1784.6</v>
          </cell>
          <cell r="E47">
            <v>2.4941578285095911E-3</v>
          </cell>
        </row>
        <row r="48">
          <cell r="C48">
            <v>41121</v>
          </cell>
          <cell r="D48">
            <v>1789.02</v>
          </cell>
          <cell r="E48">
            <v>6.2998503785536286E-3</v>
          </cell>
        </row>
        <row r="49">
          <cell r="C49">
            <v>41152</v>
          </cell>
          <cell r="D49">
            <v>1830.5</v>
          </cell>
          <cell r="E49">
            <v>2.6260610205980806E-2</v>
          </cell>
        </row>
        <row r="50">
          <cell r="C50">
            <v>41182</v>
          </cell>
          <cell r="D50">
            <v>1800.52</v>
          </cell>
          <cell r="E50">
            <v>-5.9829773902146055E-2</v>
          </cell>
        </row>
        <row r="51">
          <cell r="C51">
            <v>41213</v>
          </cell>
          <cell r="D51">
            <v>1829.89</v>
          </cell>
          <cell r="E51">
            <v>-1.7804042811288889E-2</v>
          </cell>
        </row>
        <row r="52">
          <cell r="C52">
            <v>41243</v>
          </cell>
          <cell r="D52">
            <v>1817.93</v>
          </cell>
          <cell r="E52">
            <v>-7.5870027145456986E-2</v>
          </cell>
        </row>
        <row r="53">
          <cell r="C53">
            <v>41274</v>
          </cell>
          <cell r="D53">
            <v>1768.22998046875</v>
          </cell>
          <cell r="E53">
            <v>-8.9808009230066377E-2</v>
          </cell>
        </row>
        <row r="54">
          <cell r="C54">
            <v>41305</v>
          </cell>
          <cell r="D54">
            <v>1773.24</v>
          </cell>
          <cell r="E54">
            <v>-2.3051325561407765E-2</v>
          </cell>
        </row>
        <row r="55">
          <cell r="C55">
            <v>41333</v>
          </cell>
          <cell r="D55">
            <v>1816.42</v>
          </cell>
          <cell r="E55">
            <v>2.7485674527528259E-2</v>
          </cell>
        </row>
        <row r="56">
          <cell r="C56">
            <v>41364</v>
          </cell>
          <cell r="D56">
            <v>1832.2</v>
          </cell>
          <cell r="E56">
            <v>2.2393098483876273E-2</v>
          </cell>
        </row>
        <row r="57">
          <cell r="C57">
            <v>41394</v>
          </cell>
          <cell r="D57">
            <v>1828.79</v>
          </cell>
          <cell r="E57">
            <v>3.8377242789007449E-2</v>
          </cell>
        </row>
        <row r="58">
          <cell r="C58">
            <v>41425</v>
          </cell>
          <cell r="D58">
            <v>1891.48</v>
          </cell>
          <cell r="E58">
            <v>3.4822713272022021E-2</v>
          </cell>
        </row>
        <row r="59">
          <cell r="C59">
            <v>41455</v>
          </cell>
          <cell r="D59">
            <v>1929</v>
          </cell>
          <cell r="E59">
            <v>8.091449064216083E-2</v>
          </cell>
        </row>
        <row r="60">
          <cell r="C60">
            <v>41486</v>
          </cell>
          <cell r="D60">
            <v>1890.33</v>
          </cell>
          <cell r="E60">
            <v>5.6628768823154596E-2</v>
          </cell>
        </row>
        <row r="61">
          <cell r="C61">
            <v>41517</v>
          </cell>
          <cell r="D61">
            <v>1935.43</v>
          </cell>
          <cell r="E61">
            <v>5.7323135755258159E-2</v>
          </cell>
        </row>
        <row r="62">
          <cell r="C62">
            <v>41547</v>
          </cell>
          <cell r="D62">
            <v>1914.65</v>
          </cell>
          <cell r="E62">
            <v>6.338724368515769E-2</v>
          </cell>
        </row>
        <row r="63">
          <cell r="C63">
            <v>41578</v>
          </cell>
          <cell r="D63">
            <v>1884.06</v>
          </cell>
          <cell r="E63">
            <v>2.9602872303799543E-2</v>
          </cell>
        </row>
        <row r="64">
          <cell r="C64">
            <v>41608</v>
          </cell>
          <cell r="D64">
            <v>1931.88</v>
          </cell>
          <cell r="E64">
            <v>6.268118134361611E-2</v>
          </cell>
        </row>
        <row r="65">
          <cell r="C65">
            <v>41639</v>
          </cell>
          <cell r="D65">
            <v>1926.83</v>
          </cell>
          <cell r="E65">
            <v>8.9694226024380486E-2</v>
          </cell>
        </row>
        <row r="66">
          <cell r="C66">
            <v>41670</v>
          </cell>
          <cell r="D66">
            <v>2008.26</v>
          </cell>
          <cell r="E66">
            <v>0.13253705082222367</v>
          </cell>
        </row>
        <row r="67">
          <cell r="C67">
            <v>41698</v>
          </cell>
          <cell r="D67">
            <v>2054.9</v>
          </cell>
          <cell r="E67">
            <v>0.13129122119333636</v>
          </cell>
        </row>
        <row r="68">
          <cell r="C68">
            <v>41729</v>
          </cell>
          <cell r="D68">
            <v>1965.32</v>
          </cell>
          <cell r="E68">
            <v>7.2655823600043634E-2</v>
          </cell>
        </row>
        <row r="69">
          <cell r="C69">
            <v>41759</v>
          </cell>
          <cell r="D69">
            <v>1935.14</v>
          </cell>
          <cell r="E69">
            <v>5.8153205124700014E-2</v>
          </cell>
        </row>
        <row r="70">
          <cell r="C70">
            <v>41790</v>
          </cell>
          <cell r="D70">
            <v>1900.64</v>
          </cell>
          <cell r="E70">
            <v>4.8427686256264924E-3</v>
          </cell>
        </row>
        <row r="71">
          <cell r="C71">
            <v>41820</v>
          </cell>
          <cell r="D71">
            <v>1881.19</v>
          </cell>
          <cell r="E71">
            <v>-2.478486262312074E-2</v>
          </cell>
        </row>
        <row r="72">
          <cell r="C72">
            <v>41851</v>
          </cell>
          <cell r="D72">
            <v>1872.43</v>
          </cell>
          <cell r="E72">
            <v>-9.4692461104673997E-3</v>
          </cell>
        </row>
        <row r="73">
          <cell r="C73">
            <v>41882</v>
          </cell>
          <cell r="D73">
            <v>1918.62</v>
          </cell>
          <cell r="E73">
            <v>-8.6854084105342233E-3</v>
          </cell>
        </row>
        <row r="74">
          <cell r="C74">
            <v>41912</v>
          </cell>
          <cell r="D74">
            <v>2028.48</v>
          </cell>
          <cell r="E74">
            <v>5.9452119186274244E-2</v>
          </cell>
        </row>
        <row r="75">
          <cell r="C75">
            <v>41943</v>
          </cell>
          <cell r="D75">
            <v>2050.52</v>
          </cell>
          <cell r="E75">
            <v>8.8351751005806722E-2</v>
          </cell>
        </row>
        <row r="76">
          <cell r="C76">
            <v>41973</v>
          </cell>
          <cell r="D76">
            <v>2206.19</v>
          </cell>
          <cell r="E76">
            <v>0.14199122098681083</v>
          </cell>
        </row>
        <row r="77">
          <cell r="C77">
            <v>42004</v>
          </cell>
          <cell r="D77">
            <v>2392.46</v>
          </cell>
          <cell r="E77">
            <v>0.24165598418127199</v>
          </cell>
        </row>
        <row r="78">
          <cell r="C78">
            <v>42035</v>
          </cell>
          <cell r="D78">
            <v>2441.1</v>
          </cell>
          <cell r="E78">
            <v>0.21552986167129751</v>
          </cell>
        </row>
        <row r="79">
          <cell r="C79">
            <v>42063</v>
          </cell>
          <cell r="D79">
            <v>2496.9899999999998</v>
          </cell>
          <cell r="E79">
            <v>0.21513942284296061</v>
          </cell>
        </row>
        <row r="80">
          <cell r="C80">
            <v>42094</v>
          </cell>
          <cell r="D80">
            <v>2576.0500000000002</v>
          </cell>
          <cell r="E80">
            <v>0.31075346508456647</v>
          </cell>
        </row>
        <row r="81">
          <cell r="C81">
            <v>42124</v>
          </cell>
          <cell r="D81">
            <v>2388.06</v>
          </cell>
          <cell r="E81">
            <v>0.2340502495943444</v>
          </cell>
        </row>
        <row r="82">
          <cell r="C82">
            <v>42155</v>
          </cell>
          <cell r="D82">
            <v>2533.79</v>
          </cell>
          <cell r="E82">
            <v>0.33312463170300521</v>
          </cell>
        </row>
        <row r="83">
          <cell r="C83">
            <v>42185</v>
          </cell>
          <cell r="D83">
            <v>2585.11</v>
          </cell>
          <cell r="E83">
            <v>0.37418867844290049</v>
          </cell>
        </row>
        <row r="84">
          <cell r="C84">
            <v>42216</v>
          </cell>
          <cell r="D84">
            <v>2866.04</v>
          </cell>
          <cell r="E84">
            <v>0.53065268127513443</v>
          </cell>
        </row>
        <row r="85">
          <cell r="C85">
            <v>42247</v>
          </cell>
          <cell r="D85">
            <v>3101.1</v>
          </cell>
          <cell r="E85">
            <v>0.6163179785470807</v>
          </cell>
        </row>
        <row r="86">
          <cell r="C86">
            <v>42277</v>
          </cell>
          <cell r="D86">
            <v>3121.94</v>
          </cell>
          <cell r="E86">
            <v>0.53905387285060735</v>
          </cell>
        </row>
        <row r="87">
          <cell r="C87">
            <v>42308</v>
          </cell>
          <cell r="D87">
            <v>2897.83</v>
          </cell>
          <cell r="E87">
            <v>0.41321713516571412</v>
          </cell>
        </row>
        <row r="88">
          <cell r="C88">
            <v>42338</v>
          </cell>
          <cell r="D88">
            <v>3101.1</v>
          </cell>
          <cell r="E88">
            <v>0.40563596063802287</v>
          </cell>
        </row>
        <row r="89">
          <cell r="C89">
            <v>42369</v>
          </cell>
          <cell r="D89">
            <v>3149.47</v>
          </cell>
          <cell r="E89">
            <v>0.31641490348845958</v>
          </cell>
        </row>
        <row r="90">
          <cell r="C90">
            <v>42400</v>
          </cell>
          <cell r="D90">
            <v>3287.31</v>
          </cell>
          <cell r="E90">
            <v>0.34665109991397314</v>
          </cell>
        </row>
        <row r="91">
          <cell r="C91">
            <v>42429</v>
          </cell>
          <cell r="D91">
            <v>0</v>
          </cell>
          <cell r="E91">
            <v>-1</v>
          </cell>
        </row>
        <row r="92">
          <cell r="C92">
            <v>42460</v>
          </cell>
          <cell r="D92">
            <v>0</v>
          </cell>
          <cell r="E92">
            <v>-1</v>
          </cell>
        </row>
        <row r="93">
          <cell r="C93">
            <v>42490</v>
          </cell>
          <cell r="D93">
            <v>0</v>
          </cell>
          <cell r="E93">
            <v>-1</v>
          </cell>
        </row>
        <row r="94">
          <cell r="C94">
            <v>42521</v>
          </cell>
          <cell r="D94">
            <v>0</v>
          </cell>
          <cell r="E94">
            <v>-1</v>
          </cell>
        </row>
        <row r="95">
          <cell r="C95">
            <v>42551</v>
          </cell>
          <cell r="D95">
            <v>0</v>
          </cell>
          <cell r="E95">
            <v>-1</v>
          </cell>
        </row>
        <row r="96">
          <cell r="C96">
            <v>0</v>
          </cell>
          <cell r="D96">
            <v>0</v>
          </cell>
          <cell r="E96">
            <v>0</v>
          </cell>
        </row>
        <row r="97">
          <cell r="C97">
            <v>0</v>
          </cell>
          <cell r="D97">
            <v>0</v>
          </cell>
          <cell r="E97">
            <v>0</v>
          </cell>
        </row>
        <row r="98">
          <cell r="C98">
            <v>0</v>
          </cell>
          <cell r="D98">
            <v>0</v>
          </cell>
          <cell r="E98">
            <v>0</v>
          </cell>
        </row>
        <row r="99">
          <cell r="C99">
            <v>0</v>
          </cell>
          <cell r="D99">
            <v>0</v>
          </cell>
          <cell r="E99">
            <v>0</v>
          </cell>
        </row>
        <row r="100">
          <cell r="C100">
            <v>0</v>
          </cell>
          <cell r="D100">
            <v>0</v>
          </cell>
          <cell r="E100">
            <v>0</v>
          </cell>
        </row>
        <row r="101">
          <cell r="C101">
            <v>0</v>
          </cell>
          <cell r="D101">
            <v>0</v>
          </cell>
          <cell r="E101">
            <v>0</v>
          </cell>
        </row>
        <row r="102">
          <cell r="C102">
            <v>0</v>
          </cell>
          <cell r="D102">
            <v>0</v>
          </cell>
          <cell r="E102">
            <v>0</v>
          </cell>
        </row>
        <row r="103">
          <cell r="C103">
            <v>0</v>
          </cell>
          <cell r="D103">
            <v>0</v>
          </cell>
          <cell r="E103">
            <v>0</v>
          </cell>
        </row>
        <row r="104">
          <cell r="C104">
            <v>0</v>
          </cell>
          <cell r="D104">
            <v>0</v>
          </cell>
          <cell r="E104">
            <v>0</v>
          </cell>
        </row>
        <row r="105">
          <cell r="C105">
            <v>0</v>
          </cell>
          <cell r="D105">
            <v>0</v>
          </cell>
          <cell r="E105">
            <v>0</v>
          </cell>
        </row>
        <row r="106">
          <cell r="C106">
            <v>0</v>
          </cell>
          <cell r="D106">
            <v>0</v>
          </cell>
          <cell r="E106">
            <v>0</v>
          </cell>
        </row>
        <row r="107">
          <cell r="C107">
            <v>0</v>
          </cell>
          <cell r="D107">
            <v>0</v>
          </cell>
          <cell r="E107">
            <v>0</v>
          </cell>
        </row>
        <row r="108">
          <cell r="C108">
            <v>0</v>
          </cell>
          <cell r="D108">
            <v>0</v>
          </cell>
          <cell r="E108">
            <v>0</v>
          </cell>
        </row>
        <row r="109">
          <cell r="C109">
            <v>0</v>
          </cell>
          <cell r="D109">
            <v>0</v>
          </cell>
          <cell r="E109">
            <v>0</v>
          </cell>
        </row>
        <row r="110">
          <cell r="C110">
            <v>0</v>
          </cell>
          <cell r="D110">
            <v>0</v>
          </cell>
          <cell r="E110">
            <v>0</v>
          </cell>
        </row>
        <row r="111">
          <cell r="C111">
            <v>0</v>
          </cell>
          <cell r="D111">
            <v>0</v>
          </cell>
          <cell r="E111">
            <v>0</v>
          </cell>
        </row>
        <row r="112">
          <cell r="C112">
            <v>0</v>
          </cell>
          <cell r="D112">
            <v>0</v>
          </cell>
          <cell r="E112">
            <v>0</v>
          </cell>
        </row>
        <row r="113">
          <cell r="C113">
            <v>0</v>
          </cell>
          <cell r="D113">
            <v>0</v>
          </cell>
          <cell r="E113">
            <v>0</v>
          </cell>
        </row>
        <row r="114">
          <cell r="C114">
            <v>0</v>
          </cell>
          <cell r="D114">
            <v>0</v>
          </cell>
          <cell r="E114">
            <v>0</v>
          </cell>
        </row>
        <row r="115">
          <cell r="C115">
            <v>0</v>
          </cell>
          <cell r="D115">
            <v>0</v>
          </cell>
          <cell r="E115">
            <v>0</v>
          </cell>
        </row>
        <row r="116">
          <cell r="C116">
            <v>0</v>
          </cell>
          <cell r="D116">
            <v>0</v>
          </cell>
          <cell r="E116">
            <v>0</v>
          </cell>
        </row>
        <row r="117">
          <cell r="C117">
            <v>0</v>
          </cell>
          <cell r="D117">
            <v>0</v>
          </cell>
          <cell r="E117">
            <v>0</v>
          </cell>
        </row>
        <row r="118">
          <cell r="C118">
            <v>0</v>
          </cell>
          <cell r="D118">
            <v>0</v>
          </cell>
          <cell r="E118">
            <v>0</v>
          </cell>
        </row>
        <row r="119">
          <cell r="C119">
            <v>0</v>
          </cell>
          <cell r="D119">
            <v>0</v>
          </cell>
          <cell r="E119">
            <v>0</v>
          </cell>
        </row>
        <row r="120">
          <cell r="C120">
            <v>0</v>
          </cell>
          <cell r="D120">
            <v>0</v>
          </cell>
          <cell r="E120">
            <v>0</v>
          </cell>
        </row>
      </sheetData>
      <sheetData sheetId="1"/>
      <sheetData sheetId="2">
        <row r="1">
          <cell r="B1" t="str">
            <v>Año</v>
          </cell>
        </row>
        <row r="5001">
          <cell r="A5001">
            <v>2012</v>
          </cell>
        </row>
        <row r="5002">
          <cell r="A5002">
            <v>2013</v>
          </cell>
        </row>
        <row r="5003">
          <cell r="A5003">
            <v>2014</v>
          </cell>
        </row>
      </sheetData>
      <sheetData sheetId="3"/>
      <sheetData sheetId="4">
        <row r="2">
          <cell r="C2">
            <v>42277</v>
          </cell>
        </row>
      </sheetData>
      <sheetData sheetId="5"/>
      <sheetData sheetId="6">
        <row r="7">
          <cell r="G7">
            <v>0</v>
          </cell>
        </row>
      </sheetData>
      <sheetData sheetId="7">
        <row r="10">
          <cell r="C10">
            <v>0</v>
          </cell>
        </row>
      </sheetData>
      <sheetData sheetId="8"/>
      <sheetData sheetId="9"/>
      <sheetData sheetId="10"/>
      <sheetData sheetId="11"/>
      <sheetData sheetId="12"/>
      <sheetData sheetId="13">
        <row r="137">
          <cell r="A137" t="str">
            <v>SI</v>
          </cell>
        </row>
        <row r="138">
          <cell r="A138" t="str">
            <v>NO</v>
          </cell>
        </row>
      </sheetData>
      <sheetData sheetId="14"/>
      <sheetData sheetId="15"/>
      <sheetData sheetId="16"/>
      <sheetData sheetId="17"/>
      <sheetData sheetId="18"/>
      <sheetData sheetId="19"/>
      <sheetData sheetId="20"/>
      <sheetData sheetId="21"/>
      <sheetData sheetId="22">
        <row r="8">
          <cell r="C8">
            <v>0</v>
          </cell>
          <cell r="G8">
            <v>0</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2">
          <cell r="A2">
            <v>10</v>
          </cell>
          <cell r="B2" t="str">
            <v>Asalariados</v>
          </cell>
          <cell r="C2">
            <v>0</v>
          </cell>
          <cell r="D2">
            <v>0</v>
          </cell>
          <cell r="E2">
            <v>0</v>
          </cell>
          <cell r="F2">
            <v>0</v>
          </cell>
          <cell r="G2">
            <v>0</v>
          </cell>
          <cell r="H2">
            <v>0</v>
          </cell>
          <cell r="I2">
            <v>0</v>
          </cell>
          <cell r="J2">
            <v>0</v>
          </cell>
        </row>
        <row r="3">
          <cell r="A3">
            <v>90</v>
          </cell>
          <cell r="B3" t="str">
            <v>Rentistas De Capital. Solo Para Personas Naturales</v>
          </cell>
          <cell r="C3">
            <v>0</v>
          </cell>
          <cell r="D3">
            <v>0</v>
          </cell>
          <cell r="E3">
            <v>0</v>
          </cell>
          <cell r="F3">
            <v>0</v>
          </cell>
          <cell r="G3">
            <v>0</v>
          </cell>
          <cell r="H3">
            <v>0</v>
          </cell>
          <cell r="I3">
            <v>0</v>
          </cell>
          <cell r="J3">
            <v>0</v>
          </cell>
        </row>
        <row r="4">
          <cell r="A4">
            <v>111</v>
          </cell>
          <cell r="B4" t="str">
            <v>Produccion Especializada Del Cafe</v>
          </cell>
          <cell r="C4">
            <v>0</v>
          </cell>
          <cell r="D4">
            <v>0</v>
          </cell>
          <cell r="E4">
            <v>0</v>
          </cell>
          <cell r="F4">
            <v>0</v>
          </cell>
          <cell r="G4">
            <v>0</v>
          </cell>
          <cell r="H4">
            <v>0</v>
          </cell>
          <cell r="I4">
            <v>0</v>
          </cell>
          <cell r="J4">
            <v>0</v>
          </cell>
        </row>
        <row r="5">
          <cell r="A5">
            <v>112</v>
          </cell>
          <cell r="B5" t="str">
            <v>Produccion Especializada De Flor  De Corte Bajo Cubierta Y Al Aire Libre</v>
          </cell>
          <cell r="C5">
            <v>0</v>
          </cell>
          <cell r="D5">
            <v>0</v>
          </cell>
          <cell r="E5">
            <v>0</v>
          </cell>
          <cell r="F5">
            <v>0</v>
          </cell>
          <cell r="G5">
            <v>0</v>
          </cell>
          <cell r="H5">
            <v>0</v>
          </cell>
          <cell r="I5">
            <v>0</v>
          </cell>
          <cell r="J5">
            <v>0</v>
          </cell>
        </row>
        <row r="6">
          <cell r="A6">
            <v>113</v>
          </cell>
          <cell r="B6" t="str">
            <v>Produccion Especializada De Banano</v>
          </cell>
          <cell r="C6">
            <v>0</v>
          </cell>
          <cell r="D6">
            <v>0</v>
          </cell>
          <cell r="E6">
            <v>0</v>
          </cell>
          <cell r="F6">
            <v>0</v>
          </cell>
          <cell r="G6">
            <v>0</v>
          </cell>
          <cell r="H6">
            <v>0</v>
          </cell>
          <cell r="I6">
            <v>0</v>
          </cell>
          <cell r="J6">
            <v>0</v>
          </cell>
        </row>
        <row r="7">
          <cell r="A7">
            <v>114</v>
          </cell>
          <cell r="B7" t="str">
            <v>Produccion Especializada De Caña De Azucar</v>
          </cell>
          <cell r="C7">
            <v>0</v>
          </cell>
          <cell r="D7">
            <v>0</v>
          </cell>
          <cell r="E7">
            <v>0</v>
          </cell>
          <cell r="F7">
            <v>0</v>
          </cell>
          <cell r="G7">
            <v>0</v>
          </cell>
          <cell r="H7">
            <v>0</v>
          </cell>
          <cell r="I7">
            <v>0</v>
          </cell>
          <cell r="J7">
            <v>0</v>
          </cell>
        </row>
        <row r="8">
          <cell r="A8">
            <v>115</v>
          </cell>
          <cell r="B8" t="str">
            <v>Produccion Especializada De Cereales Y Oleaginosas</v>
          </cell>
          <cell r="C8">
            <v>0</v>
          </cell>
          <cell r="D8">
            <v>0</v>
          </cell>
          <cell r="E8">
            <v>0</v>
          </cell>
          <cell r="F8">
            <v>0</v>
          </cell>
          <cell r="G8">
            <v>0</v>
          </cell>
          <cell r="H8">
            <v>0</v>
          </cell>
          <cell r="I8">
            <v>0</v>
          </cell>
          <cell r="J8">
            <v>0</v>
          </cell>
        </row>
        <row r="9">
          <cell r="A9">
            <v>116</v>
          </cell>
          <cell r="B9" t="str">
            <v>Produccion Especializada De Hortalizas Y Legumbres</v>
          </cell>
          <cell r="C9">
            <v>0</v>
          </cell>
          <cell r="D9">
            <v>0</v>
          </cell>
          <cell r="E9">
            <v>0</v>
          </cell>
          <cell r="F9">
            <v>0</v>
          </cell>
          <cell r="G9">
            <v>0</v>
          </cell>
          <cell r="H9">
            <v>0</v>
          </cell>
          <cell r="I9">
            <v>0</v>
          </cell>
          <cell r="J9">
            <v>0</v>
          </cell>
        </row>
        <row r="10">
          <cell r="A10">
            <v>117</v>
          </cell>
          <cell r="B10" t="str">
            <v>Produccion Especializada De Frutas,Nueces,Plantas Bebestibles Y Especias</v>
          </cell>
          <cell r="C10">
            <v>0</v>
          </cell>
          <cell r="D10">
            <v>0</v>
          </cell>
          <cell r="E10">
            <v>0</v>
          </cell>
          <cell r="F10">
            <v>0</v>
          </cell>
          <cell r="G10">
            <v>0</v>
          </cell>
          <cell r="H10">
            <v>0</v>
          </cell>
          <cell r="I10">
            <v>0</v>
          </cell>
          <cell r="J10">
            <v>0</v>
          </cell>
        </row>
        <row r="11">
          <cell r="A11">
            <v>118</v>
          </cell>
          <cell r="B11" t="str">
            <v>Produccion Agricola Ncp En Unidades Especializadas</v>
          </cell>
          <cell r="C11">
            <v>0</v>
          </cell>
          <cell r="D11">
            <v>0</v>
          </cell>
          <cell r="E11">
            <v>0</v>
          </cell>
          <cell r="F11">
            <v>0</v>
          </cell>
          <cell r="G11">
            <v>0</v>
          </cell>
          <cell r="H11">
            <v>0</v>
          </cell>
          <cell r="I11">
            <v>0</v>
          </cell>
          <cell r="J11">
            <v>0</v>
          </cell>
        </row>
        <row r="12">
          <cell r="A12">
            <v>119</v>
          </cell>
          <cell r="B12" t="str">
            <v>Produccion Agricola En Unidades No Especializadas</v>
          </cell>
          <cell r="C12">
            <v>0</v>
          </cell>
          <cell r="D12">
            <v>0</v>
          </cell>
          <cell r="E12">
            <v>0</v>
          </cell>
          <cell r="F12">
            <v>0</v>
          </cell>
          <cell r="G12">
            <v>0</v>
          </cell>
          <cell r="H12">
            <v>0</v>
          </cell>
          <cell r="I12">
            <v>0</v>
          </cell>
          <cell r="J12">
            <v>0</v>
          </cell>
        </row>
        <row r="13">
          <cell r="A13">
            <v>121</v>
          </cell>
          <cell r="B13" t="str">
            <v>Cria Especializada De Ganado Vacuno</v>
          </cell>
          <cell r="C13">
            <v>0</v>
          </cell>
          <cell r="D13">
            <v>0</v>
          </cell>
          <cell r="E13">
            <v>0</v>
          </cell>
          <cell r="F13">
            <v>0</v>
          </cell>
          <cell r="G13">
            <v>0</v>
          </cell>
          <cell r="H13">
            <v>0</v>
          </cell>
          <cell r="I13">
            <v>0</v>
          </cell>
          <cell r="J13">
            <v>0</v>
          </cell>
        </row>
        <row r="14">
          <cell r="A14">
            <v>122</v>
          </cell>
          <cell r="B14" t="str">
            <v>Cria Especializada  De Ganado Porcino</v>
          </cell>
          <cell r="C14">
            <v>0</v>
          </cell>
          <cell r="D14">
            <v>0</v>
          </cell>
          <cell r="E14">
            <v>0</v>
          </cell>
          <cell r="F14">
            <v>0</v>
          </cell>
          <cell r="G14">
            <v>0</v>
          </cell>
          <cell r="H14">
            <v>0</v>
          </cell>
          <cell r="I14">
            <v>0</v>
          </cell>
          <cell r="J14">
            <v>0</v>
          </cell>
        </row>
        <row r="15">
          <cell r="A15">
            <v>123</v>
          </cell>
          <cell r="B15" t="str">
            <v>Cria Especialiada De Aves De Corral</v>
          </cell>
          <cell r="C15">
            <v>0</v>
          </cell>
          <cell r="D15">
            <v>0</v>
          </cell>
          <cell r="E15">
            <v>0</v>
          </cell>
          <cell r="F15">
            <v>0</v>
          </cell>
          <cell r="G15">
            <v>0</v>
          </cell>
          <cell r="H15">
            <v>0</v>
          </cell>
          <cell r="I15">
            <v>0</v>
          </cell>
          <cell r="J15">
            <v>0</v>
          </cell>
        </row>
        <row r="16">
          <cell r="A16">
            <v>124</v>
          </cell>
          <cell r="B16" t="str">
            <v>Cria Especializada De Ovejas, Cabras, Caballos, Asnos, Mulas Y Burdeganos</v>
          </cell>
          <cell r="C16">
            <v>0</v>
          </cell>
          <cell r="D16">
            <v>0</v>
          </cell>
          <cell r="E16">
            <v>0</v>
          </cell>
          <cell r="F16">
            <v>0</v>
          </cell>
          <cell r="G16">
            <v>0</v>
          </cell>
          <cell r="H16">
            <v>0</v>
          </cell>
          <cell r="I16">
            <v>0</v>
          </cell>
          <cell r="J16">
            <v>0</v>
          </cell>
        </row>
        <row r="17">
          <cell r="A17">
            <v>125</v>
          </cell>
          <cell r="B17" t="str">
            <v>Cria Especializada De Otros Animales Ncp Y  La  Obtencion De Sus Productos</v>
          </cell>
          <cell r="C17">
            <v>0</v>
          </cell>
          <cell r="D17">
            <v>0</v>
          </cell>
          <cell r="E17">
            <v>0</v>
          </cell>
          <cell r="F17">
            <v>0</v>
          </cell>
          <cell r="G17">
            <v>0</v>
          </cell>
          <cell r="H17">
            <v>0</v>
          </cell>
          <cell r="I17">
            <v>0</v>
          </cell>
          <cell r="J17">
            <v>0</v>
          </cell>
        </row>
        <row r="18">
          <cell r="A18">
            <v>129</v>
          </cell>
          <cell r="B18" t="str">
            <v>Actividad Pecuaria No Especializada</v>
          </cell>
          <cell r="C18">
            <v>0</v>
          </cell>
          <cell r="D18">
            <v>0</v>
          </cell>
          <cell r="E18">
            <v>0</v>
          </cell>
          <cell r="F18">
            <v>0</v>
          </cell>
          <cell r="G18">
            <v>0</v>
          </cell>
          <cell r="H18">
            <v>0</v>
          </cell>
          <cell r="I18">
            <v>0</v>
          </cell>
          <cell r="J18">
            <v>0</v>
          </cell>
        </row>
        <row r="19">
          <cell r="A19">
            <v>130</v>
          </cell>
          <cell r="B19" t="str">
            <v>Actividad Mixta (Agricola Y Pecuaria)</v>
          </cell>
          <cell r="C19">
            <v>0</v>
          </cell>
          <cell r="D19">
            <v>0</v>
          </cell>
          <cell r="E19">
            <v>0</v>
          </cell>
          <cell r="F19">
            <v>0</v>
          </cell>
          <cell r="G19">
            <v>0</v>
          </cell>
          <cell r="H19">
            <v>0</v>
          </cell>
          <cell r="I19">
            <v>0</v>
          </cell>
          <cell r="J19">
            <v>0</v>
          </cell>
        </row>
        <row r="20">
          <cell r="A20">
            <v>140</v>
          </cell>
          <cell r="B20" t="str">
            <v>Actividades De Servicios, Agricolas Y Ganaderos, Excepto Las Actividades Veterinarias</v>
          </cell>
          <cell r="C20">
            <v>0</v>
          </cell>
          <cell r="D20">
            <v>0</v>
          </cell>
          <cell r="E20">
            <v>0</v>
          </cell>
          <cell r="F20">
            <v>0</v>
          </cell>
          <cell r="G20">
            <v>0</v>
          </cell>
          <cell r="H20">
            <v>0</v>
          </cell>
          <cell r="I20">
            <v>0</v>
          </cell>
          <cell r="J20">
            <v>0</v>
          </cell>
        </row>
        <row r="21">
          <cell r="A21">
            <v>150</v>
          </cell>
          <cell r="B21" t="str">
            <v>Caza Ordinaria Y Mediante Trampas Y Repoblacion De Animales De Caza, Incluso actividades De Servicios Conexas.</v>
          </cell>
          <cell r="C21">
            <v>0</v>
          </cell>
          <cell r="D21">
            <v>0</v>
          </cell>
          <cell r="E21">
            <v>0</v>
          </cell>
          <cell r="F21">
            <v>0</v>
          </cell>
          <cell r="G21">
            <v>0</v>
          </cell>
          <cell r="H21">
            <v>0</v>
          </cell>
          <cell r="I21">
            <v>0</v>
          </cell>
          <cell r="J21">
            <v>0</v>
          </cell>
        </row>
        <row r="22">
          <cell r="A22">
            <v>201</v>
          </cell>
          <cell r="B22" t="str">
            <v>Silvicultura Y Explotacion De La Madera</v>
          </cell>
          <cell r="C22">
            <v>0</v>
          </cell>
          <cell r="D22">
            <v>0</v>
          </cell>
          <cell r="E22">
            <v>0</v>
          </cell>
          <cell r="F22">
            <v>0</v>
          </cell>
          <cell r="G22">
            <v>0</v>
          </cell>
          <cell r="H22">
            <v>0</v>
          </cell>
          <cell r="I22">
            <v>0</v>
          </cell>
          <cell r="J22">
            <v>0</v>
          </cell>
        </row>
        <row r="23">
          <cell r="A23">
            <v>202</v>
          </cell>
          <cell r="B23" t="str">
            <v>Actividades De Servicios Relacionadas Con La Silvicultura Y La Extraccion De La Madera</v>
          </cell>
          <cell r="C23">
            <v>0</v>
          </cell>
          <cell r="D23">
            <v>0</v>
          </cell>
          <cell r="E23">
            <v>0</v>
          </cell>
          <cell r="F23">
            <v>0</v>
          </cell>
          <cell r="G23">
            <v>0</v>
          </cell>
          <cell r="H23">
            <v>0</v>
          </cell>
          <cell r="I23">
            <v>0</v>
          </cell>
          <cell r="J23">
            <v>0</v>
          </cell>
        </row>
        <row r="24">
          <cell r="A24">
            <v>501</v>
          </cell>
          <cell r="B24" t="str">
            <v>Pesca Explotacion De Ciaderos De Peces Y Granjas Pisicolas. Pesca y cultivo de peces en criaderos y piscicolas</v>
          </cell>
          <cell r="C24">
            <v>0</v>
          </cell>
          <cell r="D24">
            <v>0</v>
          </cell>
          <cell r="E24">
            <v>0</v>
          </cell>
          <cell r="F24">
            <v>0</v>
          </cell>
          <cell r="G24">
            <v>0</v>
          </cell>
          <cell r="H24">
            <v>0</v>
          </cell>
          <cell r="I24">
            <v>0</v>
          </cell>
          <cell r="J24">
            <v>0</v>
          </cell>
        </row>
        <row r="25">
          <cell r="A25">
            <v>502</v>
          </cell>
          <cell r="B25" t="str">
            <v>Actividades De Servicios Relacionados Con La Pesca</v>
          </cell>
          <cell r="C25">
            <v>0</v>
          </cell>
          <cell r="D25">
            <v>0</v>
          </cell>
          <cell r="E25">
            <v>0</v>
          </cell>
          <cell r="F25">
            <v>0</v>
          </cell>
          <cell r="G25">
            <v>0</v>
          </cell>
          <cell r="H25">
            <v>0</v>
          </cell>
          <cell r="I25">
            <v>0</v>
          </cell>
          <cell r="J25">
            <v>0</v>
          </cell>
        </row>
        <row r="26">
          <cell r="A26">
            <v>1010</v>
          </cell>
          <cell r="B26" t="str">
            <v>Extraccion Y Aglomeracion De Hulla ( Carbon De Piedra)</v>
          </cell>
          <cell r="C26">
            <v>0</v>
          </cell>
          <cell r="D26">
            <v>0</v>
          </cell>
          <cell r="E26">
            <v>0</v>
          </cell>
          <cell r="F26">
            <v>0</v>
          </cell>
          <cell r="G26">
            <v>0</v>
          </cell>
          <cell r="H26">
            <v>0</v>
          </cell>
          <cell r="I26">
            <v>0</v>
          </cell>
          <cell r="J26">
            <v>0</v>
          </cell>
        </row>
        <row r="27">
          <cell r="A27">
            <v>1020</v>
          </cell>
          <cell r="B27" t="str">
            <v>Extraccion Y Aglomeracion De Carbon Lignitico</v>
          </cell>
          <cell r="C27">
            <v>0</v>
          </cell>
          <cell r="D27">
            <v>0</v>
          </cell>
          <cell r="E27">
            <v>0</v>
          </cell>
          <cell r="F27">
            <v>0</v>
          </cell>
          <cell r="G27">
            <v>0</v>
          </cell>
          <cell r="H27">
            <v>0</v>
          </cell>
          <cell r="I27">
            <v>0</v>
          </cell>
          <cell r="J27">
            <v>0</v>
          </cell>
        </row>
        <row r="28">
          <cell r="A28">
            <v>1030</v>
          </cell>
          <cell r="B28" t="str">
            <v>Extraccion Y Aglomeracion De Turba</v>
          </cell>
          <cell r="C28">
            <v>0</v>
          </cell>
          <cell r="D28">
            <v>0</v>
          </cell>
          <cell r="E28">
            <v>0</v>
          </cell>
          <cell r="F28">
            <v>0</v>
          </cell>
          <cell r="G28">
            <v>0</v>
          </cell>
          <cell r="H28">
            <v>0</v>
          </cell>
          <cell r="I28">
            <v>0</v>
          </cell>
          <cell r="J28">
            <v>0</v>
          </cell>
        </row>
        <row r="29">
          <cell r="A29">
            <v>1110</v>
          </cell>
          <cell r="B29" t="str">
            <v>Extraccion De Petroleo Crudo Y De Gas Natural</v>
          </cell>
          <cell r="C29">
            <v>0</v>
          </cell>
          <cell r="D29">
            <v>0</v>
          </cell>
          <cell r="E29">
            <v>0</v>
          </cell>
          <cell r="F29">
            <v>0</v>
          </cell>
          <cell r="G29">
            <v>0</v>
          </cell>
          <cell r="H29">
            <v>0</v>
          </cell>
          <cell r="I29">
            <v>0</v>
          </cell>
          <cell r="J29">
            <v>0</v>
          </cell>
        </row>
        <row r="30">
          <cell r="A30">
            <v>1120</v>
          </cell>
          <cell r="B30" t="str">
            <v>Actividades De Servicios Relacionadas Con La Extraccion De Petroleo Y Gas, Excepto Las Actividades De Prospeccion</v>
          </cell>
          <cell r="C30">
            <v>0</v>
          </cell>
          <cell r="D30">
            <v>0</v>
          </cell>
          <cell r="E30">
            <v>0</v>
          </cell>
          <cell r="F30">
            <v>0</v>
          </cell>
          <cell r="G30">
            <v>0</v>
          </cell>
          <cell r="H30">
            <v>0</v>
          </cell>
          <cell r="I30">
            <v>0</v>
          </cell>
          <cell r="J30">
            <v>0</v>
          </cell>
        </row>
        <row r="31">
          <cell r="A31">
            <v>1200</v>
          </cell>
          <cell r="B31" t="str">
            <v>Extraccion De Minerales De Uranio Y De Torio</v>
          </cell>
          <cell r="C31">
            <v>0</v>
          </cell>
          <cell r="D31">
            <v>0</v>
          </cell>
          <cell r="E31">
            <v>0</v>
          </cell>
          <cell r="F31">
            <v>0</v>
          </cell>
          <cell r="G31">
            <v>0</v>
          </cell>
          <cell r="H31">
            <v>0</v>
          </cell>
          <cell r="I31">
            <v>0</v>
          </cell>
          <cell r="J31">
            <v>0</v>
          </cell>
        </row>
        <row r="32">
          <cell r="A32">
            <v>1310</v>
          </cell>
          <cell r="B32" t="str">
            <v>Extraccion Del Mineral De Hierro</v>
          </cell>
          <cell r="C32">
            <v>0</v>
          </cell>
          <cell r="D32">
            <v>0</v>
          </cell>
          <cell r="E32">
            <v>0</v>
          </cell>
          <cell r="F32">
            <v>0</v>
          </cell>
          <cell r="G32">
            <v>0</v>
          </cell>
          <cell r="H32">
            <v>0</v>
          </cell>
          <cell r="I32">
            <v>0</v>
          </cell>
          <cell r="J32">
            <v>0</v>
          </cell>
        </row>
        <row r="33">
          <cell r="A33">
            <v>1320</v>
          </cell>
          <cell r="B33" t="str">
            <v>Extraccion De Metales Preciosos</v>
          </cell>
          <cell r="C33">
            <v>0</v>
          </cell>
          <cell r="D33">
            <v>0</v>
          </cell>
          <cell r="E33">
            <v>0</v>
          </cell>
          <cell r="F33">
            <v>0</v>
          </cell>
          <cell r="G33">
            <v>0</v>
          </cell>
          <cell r="H33">
            <v>0</v>
          </cell>
          <cell r="I33">
            <v>0</v>
          </cell>
          <cell r="J33">
            <v>0</v>
          </cell>
        </row>
        <row r="34">
          <cell r="A34">
            <v>1331</v>
          </cell>
          <cell r="B34" t="str">
            <v>Extraccion De Minerales De Niquel</v>
          </cell>
          <cell r="C34">
            <v>0</v>
          </cell>
          <cell r="D34">
            <v>0</v>
          </cell>
          <cell r="E34">
            <v>0</v>
          </cell>
          <cell r="F34">
            <v>0</v>
          </cell>
          <cell r="G34">
            <v>0</v>
          </cell>
          <cell r="H34">
            <v>0</v>
          </cell>
          <cell r="I34">
            <v>0</v>
          </cell>
          <cell r="J34">
            <v>0</v>
          </cell>
        </row>
        <row r="35">
          <cell r="A35">
            <v>1339</v>
          </cell>
          <cell r="B35" t="str">
            <v>Extraccion De Otros Minerales metaliferos No Ferrosos, Excepto Niquel</v>
          </cell>
          <cell r="C35">
            <v>0</v>
          </cell>
          <cell r="D35">
            <v>0</v>
          </cell>
          <cell r="E35">
            <v>0</v>
          </cell>
          <cell r="F35">
            <v>0</v>
          </cell>
          <cell r="G35">
            <v>0</v>
          </cell>
          <cell r="H35">
            <v>0</v>
          </cell>
          <cell r="I35">
            <v>0</v>
          </cell>
          <cell r="J35">
            <v>0</v>
          </cell>
        </row>
        <row r="36">
          <cell r="A36">
            <v>1411</v>
          </cell>
          <cell r="B36" t="str">
            <v>Extraccion De Piedra, Arena Y Arcillas Comunes</v>
          </cell>
          <cell r="C36">
            <v>0</v>
          </cell>
          <cell r="D36">
            <v>0</v>
          </cell>
          <cell r="E36">
            <v>0</v>
          </cell>
          <cell r="F36">
            <v>0</v>
          </cell>
          <cell r="G36">
            <v>0</v>
          </cell>
          <cell r="H36">
            <v>0</v>
          </cell>
          <cell r="I36">
            <v>0</v>
          </cell>
          <cell r="J36">
            <v>0</v>
          </cell>
        </row>
        <row r="37">
          <cell r="A37">
            <v>1412</v>
          </cell>
          <cell r="B37" t="str">
            <v>Extracccion De Yeso Y Anhidrita</v>
          </cell>
          <cell r="C37">
            <v>0</v>
          </cell>
          <cell r="D37">
            <v>0</v>
          </cell>
          <cell r="E37">
            <v>0</v>
          </cell>
          <cell r="F37">
            <v>0</v>
          </cell>
          <cell r="G37">
            <v>0</v>
          </cell>
          <cell r="H37">
            <v>0</v>
          </cell>
          <cell r="I37">
            <v>0</v>
          </cell>
          <cell r="J37">
            <v>0</v>
          </cell>
        </row>
        <row r="38">
          <cell r="A38">
            <v>1413</v>
          </cell>
          <cell r="B38" t="str">
            <v>Extraccion De Caolin, Arcillas De Uso Industrial Y Bentonitas</v>
          </cell>
          <cell r="C38">
            <v>0</v>
          </cell>
          <cell r="D38">
            <v>0</v>
          </cell>
          <cell r="E38">
            <v>0</v>
          </cell>
          <cell r="F38">
            <v>0</v>
          </cell>
          <cell r="G38">
            <v>0</v>
          </cell>
          <cell r="H38">
            <v>0</v>
          </cell>
          <cell r="I38">
            <v>0</v>
          </cell>
          <cell r="J38">
            <v>0</v>
          </cell>
        </row>
        <row r="39">
          <cell r="A39">
            <v>1414</v>
          </cell>
          <cell r="B39" t="str">
            <v>Extraccion De Arenas Y Gravas Siliceas</v>
          </cell>
          <cell r="C39">
            <v>0</v>
          </cell>
          <cell r="D39">
            <v>0</v>
          </cell>
          <cell r="E39">
            <v>0</v>
          </cell>
          <cell r="F39">
            <v>0</v>
          </cell>
          <cell r="G39">
            <v>0</v>
          </cell>
          <cell r="H39">
            <v>0</v>
          </cell>
          <cell r="I39">
            <v>0</v>
          </cell>
          <cell r="J39">
            <v>0</v>
          </cell>
        </row>
        <row r="40">
          <cell r="A40">
            <v>1415</v>
          </cell>
          <cell r="B40" t="str">
            <v>Extraccion De Caliza Y Dolomita</v>
          </cell>
          <cell r="C40">
            <v>0</v>
          </cell>
          <cell r="D40">
            <v>0</v>
          </cell>
          <cell r="E40">
            <v>0</v>
          </cell>
          <cell r="F40">
            <v>0</v>
          </cell>
          <cell r="G40">
            <v>0</v>
          </cell>
          <cell r="H40">
            <v>0</v>
          </cell>
          <cell r="I40">
            <v>0</v>
          </cell>
          <cell r="J40">
            <v>0</v>
          </cell>
        </row>
        <row r="41">
          <cell r="A41">
            <v>1421</v>
          </cell>
          <cell r="B41" t="str">
            <v>Extraccion De Minerales Para La Fabricacion De Abonos Y Productos Quimicos</v>
          </cell>
          <cell r="C41">
            <v>0</v>
          </cell>
          <cell r="D41">
            <v>0</v>
          </cell>
          <cell r="E41">
            <v>0</v>
          </cell>
          <cell r="F41">
            <v>0</v>
          </cell>
          <cell r="G41">
            <v>0</v>
          </cell>
          <cell r="H41">
            <v>0</v>
          </cell>
          <cell r="I41">
            <v>0</v>
          </cell>
          <cell r="J41">
            <v>0</v>
          </cell>
        </row>
        <row r="42">
          <cell r="A42">
            <v>1422</v>
          </cell>
          <cell r="B42" t="str">
            <v>Extraccion De Halita (Sal)</v>
          </cell>
          <cell r="C42">
            <v>0</v>
          </cell>
          <cell r="D42">
            <v>0</v>
          </cell>
          <cell r="E42">
            <v>0</v>
          </cell>
          <cell r="F42">
            <v>0</v>
          </cell>
          <cell r="G42">
            <v>0</v>
          </cell>
          <cell r="H42">
            <v>0</v>
          </cell>
          <cell r="I42">
            <v>0</v>
          </cell>
          <cell r="J42">
            <v>0</v>
          </cell>
        </row>
        <row r="43">
          <cell r="A43">
            <v>1431</v>
          </cell>
          <cell r="B43" t="str">
            <v>Extraccion De Esmeraldas</v>
          </cell>
          <cell r="C43">
            <v>0</v>
          </cell>
          <cell r="D43">
            <v>0</v>
          </cell>
          <cell r="E43">
            <v>0</v>
          </cell>
          <cell r="F43">
            <v>0</v>
          </cell>
          <cell r="G43">
            <v>0</v>
          </cell>
          <cell r="H43">
            <v>0</v>
          </cell>
          <cell r="I43">
            <v>0</v>
          </cell>
          <cell r="J43">
            <v>0</v>
          </cell>
        </row>
        <row r="44">
          <cell r="A44">
            <v>1432</v>
          </cell>
          <cell r="B44" t="str">
            <v>Extraccion De Otras Piedras Preciosas Y Semipreciosas</v>
          </cell>
          <cell r="C44">
            <v>0</v>
          </cell>
          <cell r="D44">
            <v>0</v>
          </cell>
          <cell r="E44">
            <v>0</v>
          </cell>
          <cell r="F44">
            <v>0</v>
          </cell>
          <cell r="G44">
            <v>0</v>
          </cell>
          <cell r="H44">
            <v>0</v>
          </cell>
          <cell r="I44">
            <v>0</v>
          </cell>
          <cell r="J44">
            <v>0</v>
          </cell>
        </row>
        <row r="45">
          <cell r="A45">
            <v>1490</v>
          </cell>
          <cell r="B45" t="str">
            <v>Extraccion De Otros Minerales No Metalicos Ncp</v>
          </cell>
          <cell r="C45">
            <v>0</v>
          </cell>
          <cell r="D45">
            <v>0</v>
          </cell>
          <cell r="E45">
            <v>0</v>
          </cell>
          <cell r="F45">
            <v>0</v>
          </cell>
          <cell r="G45">
            <v>0</v>
          </cell>
          <cell r="H45">
            <v>0</v>
          </cell>
          <cell r="I45">
            <v>0</v>
          </cell>
          <cell r="J45">
            <v>0</v>
          </cell>
        </row>
        <row r="46">
          <cell r="A46">
            <v>1511</v>
          </cell>
          <cell r="B46" t="str">
            <v>Produccion,Transformacion Y Conservacion De Carne Y De Derivados Carnicos</v>
          </cell>
          <cell r="C46">
            <v>0</v>
          </cell>
          <cell r="D46">
            <v>0</v>
          </cell>
          <cell r="E46">
            <v>0</v>
          </cell>
          <cell r="F46">
            <v>0</v>
          </cell>
          <cell r="G46">
            <v>0</v>
          </cell>
          <cell r="H46">
            <v>0</v>
          </cell>
          <cell r="I46">
            <v>0</v>
          </cell>
          <cell r="J46">
            <v>0</v>
          </cell>
        </row>
        <row r="47">
          <cell r="A47">
            <v>1512</v>
          </cell>
          <cell r="B47" t="str">
            <v>Transformacion Y Conservacion De Pescado Y De Derivados Del Pescado</v>
          </cell>
          <cell r="C47">
            <v>0</v>
          </cell>
          <cell r="D47">
            <v>0</v>
          </cell>
          <cell r="E47">
            <v>0</v>
          </cell>
          <cell r="F47">
            <v>0</v>
          </cell>
          <cell r="G47">
            <v>0</v>
          </cell>
          <cell r="H47">
            <v>0</v>
          </cell>
          <cell r="I47">
            <v>0</v>
          </cell>
          <cell r="J47">
            <v>0</v>
          </cell>
        </row>
        <row r="48">
          <cell r="A48">
            <v>1521</v>
          </cell>
          <cell r="B48" t="str">
            <v>Elaboracion De Alimentos Compuestos Principalmente De Frutas, Legumbres Y Hortalizas</v>
          </cell>
          <cell r="C48">
            <v>0</v>
          </cell>
          <cell r="D48">
            <v>0</v>
          </cell>
          <cell r="E48">
            <v>0</v>
          </cell>
          <cell r="F48">
            <v>0</v>
          </cell>
          <cell r="G48">
            <v>0</v>
          </cell>
          <cell r="H48">
            <v>0</v>
          </cell>
          <cell r="I48">
            <v>0</v>
          </cell>
          <cell r="J48">
            <v>0</v>
          </cell>
        </row>
        <row r="49">
          <cell r="A49">
            <v>1522</v>
          </cell>
          <cell r="B49" t="str">
            <v>Elaboracion De Aceites Y Grasas De Origen Vegetal Y Animal</v>
          </cell>
          <cell r="C49">
            <v>0</v>
          </cell>
          <cell r="D49">
            <v>0</v>
          </cell>
          <cell r="E49">
            <v>0</v>
          </cell>
          <cell r="F49">
            <v>0</v>
          </cell>
          <cell r="G49">
            <v>0</v>
          </cell>
          <cell r="H49">
            <v>0</v>
          </cell>
          <cell r="I49">
            <v>0</v>
          </cell>
          <cell r="J49">
            <v>0</v>
          </cell>
        </row>
        <row r="50">
          <cell r="A50">
            <v>1530</v>
          </cell>
          <cell r="B50" t="str">
            <v>Elaboracion De Productos Lacteos</v>
          </cell>
          <cell r="C50">
            <v>0</v>
          </cell>
          <cell r="D50">
            <v>0</v>
          </cell>
          <cell r="E50">
            <v>0</v>
          </cell>
          <cell r="F50">
            <v>0</v>
          </cell>
          <cell r="G50">
            <v>0</v>
          </cell>
          <cell r="H50">
            <v>0</v>
          </cell>
          <cell r="I50">
            <v>0</v>
          </cell>
          <cell r="J50">
            <v>0</v>
          </cell>
        </row>
        <row r="51">
          <cell r="A51">
            <v>1541</v>
          </cell>
          <cell r="B51" t="str">
            <v>Elaboracion De Productos De Molineria</v>
          </cell>
          <cell r="C51">
            <v>0</v>
          </cell>
          <cell r="D51">
            <v>0</v>
          </cell>
          <cell r="E51">
            <v>0</v>
          </cell>
          <cell r="F51">
            <v>0</v>
          </cell>
          <cell r="G51">
            <v>0</v>
          </cell>
          <cell r="H51">
            <v>0</v>
          </cell>
          <cell r="I51">
            <v>0</v>
          </cell>
          <cell r="J51">
            <v>0</v>
          </cell>
        </row>
        <row r="52">
          <cell r="A52">
            <v>1542</v>
          </cell>
          <cell r="B52" t="str">
            <v>Elaboracion De Almidones Y De Productos Derivados Del Almidon</v>
          </cell>
          <cell r="C52">
            <v>0</v>
          </cell>
          <cell r="D52">
            <v>0</v>
          </cell>
          <cell r="E52">
            <v>0</v>
          </cell>
          <cell r="F52">
            <v>0</v>
          </cell>
          <cell r="G52">
            <v>0</v>
          </cell>
          <cell r="H52">
            <v>0</v>
          </cell>
          <cell r="I52">
            <v>0</v>
          </cell>
          <cell r="J52">
            <v>0</v>
          </cell>
        </row>
        <row r="53">
          <cell r="A53">
            <v>1543</v>
          </cell>
          <cell r="B53" t="str">
            <v>Elaboracion De Alimentos Preparados Para Animales</v>
          </cell>
          <cell r="C53">
            <v>0</v>
          </cell>
          <cell r="D53">
            <v>0</v>
          </cell>
          <cell r="E53">
            <v>0</v>
          </cell>
          <cell r="F53">
            <v>0</v>
          </cell>
          <cell r="G53">
            <v>0</v>
          </cell>
          <cell r="H53">
            <v>0</v>
          </cell>
          <cell r="I53">
            <v>0</v>
          </cell>
          <cell r="J53">
            <v>0</v>
          </cell>
        </row>
        <row r="54">
          <cell r="A54">
            <v>1551</v>
          </cell>
          <cell r="B54" t="str">
            <v>Elaboracion De Productos De Panaderia</v>
          </cell>
          <cell r="C54">
            <v>0</v>
          </cell>
          <cell r="D54">
            <v>0</v>
          </cell>
          <cell r="E54">
            <v>0</v>
          </cell>
          <cell r="F54">
            <v>0</v>
          </cell>
          <cell r="G54">
            <v>0</v>
          </cell>
          <cell r="H54">
            <v>0</v>
          </cell>
          <cell r="I54">
            <v>0</v>
          </cell>
          <cell r="J54">
            <v>0</v>
          </cell>
        </row>
        <row r="55">
          <cell r="A55">
            <v>1552</v>
          </cell>
          <cell r="B55" t="str">
            <v>Elaboracion De Macarrones, Fideos, Alcuzcuz Y Productos Farinaceos Similares</v>
          </cell>
          <cell r="C55">
            <v>0</v>
          </cell>
          <cell r="D55">
            <v>0</v>
          </cell>
          <cell r="E55">
            <v>0</v>
          </cell>
          <cell r="F55">
            <v>0</v>
          </cell>
          <cell r="G55">
            <v>0</v>
          </cell>
          <cell r="H55">
            <v>0</v>
          </cell>
          <cell r="I55">
            <v>0</v>
          </cell>
          <cell r="J55">
            <v>0</v>
          </cell>
        </row>
        <row r="56">
          <cell r="A56">
            <v>1561</v>
          </cell>
          <cell r="B56" t="str">
            <v>Trilla De Cafe</v>
          </cell>
          <cell r="C56">
            <v>0</v>
          </cell>
          <cell r="D56">
            <v>0</v>
          </cell>
          <cell r="E56">
            <v>0</v>
          </cell>
          <cell r="F56">
            <v>0</v>
          </cell>
          <cell r="G56">
            <v>0</v>
          </cell>
          <cell r="H56">
            <v>0</v>
          </cell>
          <cell r="I56">
            <v>0</v>
          </cell>
          <cell r="J56">
            <v>0</v>
          </cell>
        </row>
        <row r="57">
          <cell r="A57">
            <v>1562</v>
          </cell>
          <cell r="B57" t="str">
            <v>Descafeinado</v>
          </cell>
          <cell r="C57">
            <v>0</v>
          </cell>
          <cell r="D57">
            <v>0</v>
          </cell>
          <cell r="E57">
            <v>0</v>
          </cell>
          <cell r="F57">
            <v>0</v>
          </cell>
          <cell r="G57">
            <v>0</v>
          </cell>
          <cell r="H57">
            <v>0</v>
          </cell>
          <cell r="I57">
            <v>0</v>
          </cell>
          <cell r="J57">
            <v>0</v>
          </cell>
        </row>
        <row r="58">
          <cell r="A58">
            <v>1563</v>
          </cell>
          <cell r="B58" t="str">
            <v>Tostion Y Molienda Del Cafe</v>
          </cell>
          <cell r="C58">
            <v>0</v>
          </cell>
          <cell r="D58">
            <v>0</v>
          </cell>
          <cell r="E58">
            <v>0</v>
          </cell>
          <cell r="F58">
            <v>0</v>
          </cell>
          <cell r="G58">
            <v>0</v>
          </cell>
          <cell r="H58">
            <v>0</v>
          </cell>
          <cell r="I58">
            <v>0</v>
          </cell>
          <cell r="J58">
            <v>0</v>
          </cell>
        </row>
        <row r="59">
          <cell r="A59">
            <v>1564</v>
          </cell>
          <cell r="B59" t="str">
            <v>Elaboracion De Otros Derivados Del Cafe</v>
          </cell>
          <cell r="C59">
            <v>0</v>
          </cell>
          <cell r="D59">
            <v>0</v>
          </cell>
          <cell r="E59">
            <v>0</v>
          </cell>
          <cell r="F59">
            <v>0</v>
          </cell>
          <cell r="G59">
            <v>0</v>
          </cell>
          <cell r="H59">
            <v>0</v>
          </cell>
          <cell r="I59">
            <v>0</v>
          </cell>
          <cell r="J59">
            <v>0</v>
          </cell>
        </row>
        <row r="60">
          <cell r="A60">
            <v>1571</v>
          </cell>
          <cell r="B60" t="str">
            <v>Fabricación Y Refinación De Azucar</v>
          </cell>
          <cell r="C60">
            <v>0</v>
          </cell>
          <cell r="D60">
            <v>0</v>
          </cell>
          <cell r="E60">
            <v>0</v>
          </cell>
          <cell r="F60">
            <v>0</v>
          </cell>
          <cell r="G60">
            <v>0</v>
          </cell>
          <cell r="H60">
            <v>0</v>
          </cell>
          <cell r="I60">
            <v>0</v>
          </cell>
          <cell r="J60">
            <v>0</v>
          </cell>
        </row>
        <row r="61">
          <cell r="A61">
            <v>1572</v>
          </cell>
          <cell r="B61" t="str">
            <v>Fabricacion De Panela</v>
          </cell>
          <cell r="C61">
            <v>0</v>
          </cell>
          <cell r="D61">
            <v>0</v>
          </cell>
          <cell r="E61">
            <v>0</v>
          </cell>
          <cell r="F61">
            <v>0</v>
          </cell>
          <cell r="G61">
            <v>0</v>
          </cell>
          <cell r="H61">
            <v>0</v>
          </cell>
          <cell r="I61">
            <v>0</v>
          </cell>
          <cell r="J61">
            <v>0</v>
          </cell>
        </row>
        <row r="62">
          <cell r="A62">
            <v>1581</v>
          </cell>
          <cell r="B62" t="str">
            <v>Elaboracion De Cacao, Chocolate Y Productos De Confiteria</v>
          </cell>
          <cell r="C62">
            <v>0</v>
          </cell>
          <cell r="D62">
            <v>0</v>
          </cell>
          <cell r="E62">
            <v>0</v>
          </cell>
          <cell r="F62">
            <v>0</v>
          </cell>
          <cell r="G62">
            <v>0</v>
          </cell>
          <cell r="H62">
            <v>0</v>
          </cell>
          <cell r="I62">
            <v>0</v>
          </cell>
          <cell r="J62">
            <v>0</v>
          </cell>
        </row>
        <row r="63">
          <cell r="A63">
            <v>1589</v>
          </cell>
          <cell r="B63" t="str">
            <v>Elaboracion De Otros Productos Alimenticios Ncp</v>
          </cell>
          <cell r="C63">
            <v>0</v>
          </cell>
          <cell r="D63">
            <v>0</v>
          </cell>
          <cell r="E63">
            <v>0</v>
          </cell>
          <cell r="F63">
            <v>0</v>
          </cell>
          <cell r="G63">
            <v>0</v>
          </cell>
          <cell r="H63">
            <v>0</v>
          </cell>
          <cell r="I63">
            <v>0</v>
          </cell>
          <cell r="J63">
            <v>0</v>
          </cell>
        </row>
        <row r="64">
          <cell r="A64">
            <v>1591</v>
          </cell>
          <cell r="B64" t="str">
            <v>Destilacion, Rectificacion Y Mezcla De Bebidas Alcoholicas; Produccion De Alcohol Etílico A Partir De Sustancias Fermentadas</v>
          </cell>
          <cell r="C64">
            <v>0</v>
          </cell>
          <cell r="D64">
            <v>0</v>
          </cell>
          <cell r="E64">
            <v>0</v>
          </cell>
          <cell r="F64">
            <v>0</v>
          </cell>
          <cell r="G64">
            <v>0</v>
          </cell>
          <cell r="H64">
            <v>0</v>
          </cell>
          <cell r="I64">
            <v>0</v>
          </cell>
          <cell r="J64">
            <v>0</v>
          </cell>
        </row>
        <row r="65">
          <cell r="A65">
            <v>1592</v>
          </cell>
          <cell r="B65" t="str">
            <v>Elaboracion De Bebidas Fermentadas No Destiladas</v>
          </cell>
          <cell r="C65">
            <v>0</v>
          </cell>
          <cell r="D65">
            <v>0</v>
          </cell>
          <cell r="E65">
            <v>0</v>
          </cell>
          <cell r="F65">
            <v>0</v>
          </cell>
          <cell r="G65">
            <v>0</v>
          </cell>
          <cell r="H65">
            <v>0</v>
          </cell>
          <cell r="I65">
            <v>0</v>
          </cell>
          <cell r="J65">
            <v>0</v>
          </cell>
        </row>
        <row r="66">
          <cell r="A66">
            <v>1593</v>
          </cell>
          <cell r="B66" t="str">
            <v>Produccion De Malta, Elaboracion De Cervezas Y Otras Bebidas Malteadas</v>
          </cell>
          <cell r="C66">
            <v>0</v>
          </cell>
          <cell r="D66">
            <v>0</v>
          </cell>
          <cell r="E66">
            <v>0</v>
          </cell>
          <cell r="F66">
            <v>0</v>
          </cell>
          <cell r="G66">
            <v>0</v>
          </cell>
          <cell r="H66">
            <v>0</v>
          </cell>
          <cell r="I66">
            <v>0</v>
          </cell>
          <cell r="J66">
            <v>0</v>
          </cell>
        </row>
        <row r="67">
          <cell r="A67">
            <v>1594</v>
          </cell>
          <cell r="B67" t="str">
            <v>Elaboracion De Bebidas No Alcoholicas; Produccion De Aguas Minerales</v>
          </cell>
          <cell r="C67">
            <v>0</v>
          </cell>
          <cell r="D67">
            <v>0</v>
          </cell>
          <cell r="E67">
            <v>0</v>
          </cell>
          <cell r="F67">
            <v>0</v>
          </cell>
          <cell r="G67">
            <v>0</v>
          </cell>
          <cell r="H67">
            <v>0</v>
          </cell>
          <cell r="I67">
            <v>0</v>
          </cell>
          <cell r="J67">
            <v>0</v>
          </cell>
        </row>
        <row r="68">
          <cell r="A68">
            <v>1600</v>
          </cell>
          <cell r="B68" t="str">
            <v>Fabricacion De Productos De Tabaco</v>
          </cell>
          <cell r="C68">
            <v>0</v>
          </cell>
          <cell r="D68">
            <v>0</v>
          </cell>
          <cell r="E68">
            <v>0</v>
          </cell>
          <cell r="F68">
            <v>0</v>
          </cell>
          <cell r="G68">
            <v>0</v>
          </cell>
          <cell r="H68">
            <v>0</v>
          </cell>
          <cell r="I68">
            <v>0</v>
          </cell>
          <cell r="J68">
            <v>0</v>
          </cell>
        </row>
        <row r="69">
          <cell r="A69">
            <v>1710</v>
          </cell>
          <cell r="B69" t="str">
            <v>Preparacion E Hilatura De Fibras Textiles</v>
          </cell>
          <cell r="C69">
            <v>0</v>
          </cell>
          <cell r="D69">
            <v>0</v>
          </cell>
          <cell r="E69">
            <v>0</v>
          </cell>
          <cell r="F69">
            <v>0</v>
          </cell>
          <cell r="G69">
            <v>0</v>
          </cell>
          <cell r="H69">
            <v>0</v>
          </cell>
          <cell r="I69">
            <v>0</v>
          </cell>
          <cell r="J69">
            <v>0</v>
          </cell>
        </row>
        <row r="70">
          <cell r="A70">
            <v>1720</v>
          </cell>
          <cell r="B70" t="str">
            <v>Tejedura De Productos Textiles</v>
          </cell>
          <cell r="C70">
            <v>0</v>
          </cell>
          <cell r="D70">
            <v>0</v>
          </cell>
          <cell r="E70">
            <v>0</v>
          </cell>
          <cell r="F70">
            <v>0</v>
          </cell>
          <cell r="G70">
            <v>0</v>
          </cell>
          <cell r="H70">
            <v>0</v>
          </cell>
          <cell r="I70">
            <v>0</v>
          </cell>
          <cell r="J70">
            <v>0</v>
          </cell>
        </row>
        <row r="71">
          <cell r="A71">
            <v>1730</v>
          </cell>
          <cell r="B71" t="str">
            <v>Acabado De Productos Textiles No Producidos En La Misma Unidad De Produccion</v>
          </cell>
          <cell r="C71">
            <v>0</v>
          </cell>
          <cell r="D71">
            <v>0</v>
          </cell>
          <cell r="E71">
            <v>0</v>
          </cell>
          <cell r="F71">
            <v>0</v>
          </cell>
          <cell r="G71">
            <v>0</v>
          </cell>
          <cell r="H71">
            <v>0</v>
          </cell>
          <cell r="I71">
            <v>0</v>
          </cell>
          <cell r="J71">
            <v>0</v>
          </cell>
        </row>
        <row r="72">
          <cell r="A72">
            <v>1741</v>
          </cell>
          <cell r="B72" t="str">
            <v>Confeccion De Articulos Con Materiales Textiles No Producidos En La Misma Unidad, Excepto Prendas De Vestir</v>
          </cell>
          <cell r="C72">
            <v>0</v>
          </cell>
          <cell r="D72">
            <v>0</v>
          </cell>
          <cell r="E72">
            <v>0</v>
          </cell>
          <cell r="F72">
            <v>0</v>
          </cell>
          <cell r="G72">
            <v>0</v>
          </cell>
          <cell r="H72">
            <v>0</v>
          </cell>
          <cell r="I72">
            <v>0</v>
          </cell>
          <cell r="J72">
            <v>0</v>
          </cell>
        </row>
        <row r="73">
          <cell r="A73">
            <v>1742</v>
          </cell>
          <cell r="B73" t="str">
            <v>Fabricacion De Tapices Y Alfombras Para Pisos</v>
          </cell>
          <cell r="C73">
            <v>0</v>
          </cell>
          <cell r="D73">
            <v>0</v>
          </cell>
          <cell r="E73">
            <v>0</v>
          </cell>
          <cell r="F73">
            <v>0</v>
          </cell>
          <cell r="G73">
            <v>0</v>
          </cell>
          <cell r="H73">
            <v>0</v>
          </cell>
          <cell r="I73">
            <v>0</v>
          </cell>
          <cell r="J73">
            <v>0</v>
          </cell>
        </row>
        <row r="74">
          <cell r="A74">
            <v>1743</v>
          </cell>
          <cell r="B74" t="str">
            <v>Fabricacion De Cuerdas, Cordeles, Cables, Bramantes Y Redes</v>
          </cell>
          <cell r="C74">
            <v>0</v>
          </cell>
          <cell r="D74">
            <v>0</v>
          </cell>
          <cell r="E74">
            <v>0</v>
          </cell>
          <cell r="F74">
            <v>0</v>
          </cell>
          <cell r="G74">
            <v>0</v>
          </cell>
          <cell r="H74">
            <v>0</v>
          </cell>
          <cell r="I74">
            <v>0</v>
          </cell>
          <cell r="J74">
            <v>0</v>
          </cell>
        </row>
        <row r="75">
          <cell r="A75">
            <v>1749</v>
          </cell>
          <cell r="B75" t="str">
            <v>Fabricacion De Otros Articulos Textiles Ncp</v>
          </cell>
          <cell r="C75">
            <v>0</v>
          </cell>
          <cell r="D75">
            <v>0</v>
          </cell>
          <cell r="E75">
            <v>0</v>
          </cell>
          <cell r="F75">
            <v>0</v>
          </cell>
          <cell r="G75">
            <v>0</v>
          </cell>
          <cell r="H75">
            <v>0</v>
          </cell>
          <cell r="I75">
            <v>0</v>
          </cell>
          <cell r="J75">
            <v>0</v>
          </cell>
        </row>
        <row r="76">
          <cell r="A76">
            <v>1750</v>
          </cell>
          <cell r="B76" t="str">
            <v>Fabricacion De Tejidos Y Articulos De Punto Y Ganchillo</v>
          </cell>
          <cell r="C76">
            <v>0</v>
          </cell>
          <cell r="D76">
            <v>0</v>
          </cell>
          <cell r="E76">
            <v>0</v>
          </cell>
          <cell r="F76">
            <v>0</v>
          </cell>
          <cell r="G76">
            <v>0</v>
          </cell>
          <cell r="H76">
            <v>0</v>
          </cell>
          <cell r="I76">
            <v>0</v>
          </cell>
          <cell r="J76">
            <v>0</v>
          </cell>
        </row>
        <row r="77">
          <cell r="A77">
            <v>1810</v>
          </cell>
          <cell r="B77" t="str">
            <v>Fabricacion De Prendas De Vestir Excepto Prendas De Piel</v>
          </cell>
          <cell r="C77">
            <v>0</v>
          </cell>
          <cell r="D77">
            <v>0</v>
          </cell>
          <cell r="E77">
            <v>0</v>
          </cell>
          <cell r="F77">
            <v>0</v>
          </cell>
          <cell r="G77">
            <v>0</v>
          </cell>
          <cell r="H77">
            <v>0</v>
          </cell>
          <cell r="I77">
            <v>0</v>
          </cell>
          <cell r="J77">
            <v>0</v>
          </cell>
        </row>
        <row r="78">
          <cell r="A78">
            <v>1820</v>
          </cell>
          <cell r="B78" t="str">
            <v>Preprarado Y Teñido De Pieles; Fabricacion De Articulos De Piel</v>
          </cell>
          <cell r="C78">
            <v>0</v>
          </cell>
          <cell r="D78">
            <v>0</v>
          </cell>
          <cell r="E78">
            <v>0</v>
          </cell>
          <cell r="F78">
            <v>0</v>
          </cell>
          <cell r="G78">
            <v>0</v>
          </cell>
          <cell r="H78">
            <v>0</v>
          </cell>
          <cell r="I78">
            <v>0</v>
          </cell>
          <cell r="J78">
            <v>0</v>
          </cell>
        </row>
        <row r="79">
          <cell r="A79">
            <v>1910</v>
          </cell>
          <cell r="B79" t="str">
            <v>Curtido Y Preparado De Cueros</v>
          </cell>
          <cell r="C79">
            <v>0</v>
          </cell>
          <cell r="D79">
            <v>0</v>
          </cell>
          <cell r="E79">
            <v>0</v>
          </cell>
          <cell r="F79">
            <v>0</v>
          </cell>
          <cell r="G79">
            <v>0</v>
          </cell>
          <cell r="H79">
            <v>0</v>
          </cell>
          <cell r="I79">
            <v>0</v>
          </cell>
          <cell r="J79">
            <v>0</v>
          </cell>
        </row>
        <row r="80">
          <cell r="A80">
            <v>1921</v>
          </cell>
          <cell r="B80" t="str">
            <v>Fabricacion De Calzado De Cuero Y Piel; Con Cualquier Tipo De Suela, Excepto El Calzado Deportivo</v>
          </cell>
          <cell r="C80">
            <v>0</v>
          </cell>
          <cell r="D80">
            <v>0</v>
          </cell>
          <cell r="E80">
            <v>0</v>
          </cell>
          <cell r="F80">
            <v>0</v>
          </cell>
          <cell r="G80">
            <v>0</v>
          </cell>
          <cell r="H80">
            <v>0</v>
          </cell>
          <cell r="I80">
            <v>0</v>
          </cell>
          <cell r="J80">
            <v>0</v>
          </cell>
        </row>
        <row r="81">
          <cell r="A81">
            <v>1922</v>
          </cell>
          <cell r="B81" t="str">
            <v>Fabricacion De Calzado De Materiales Textiles; Con Cualquier Tipo De Suela, Excepto Calzado Deportivo</v>
          </cell>
          <cell r="C81">
            <v>0</v>
          </cell>
          <cell r="D81">
            <v>0</v>
          </cell>
          <cell r="E81">
            <v>0</v>
          </cell>
          <cell r="F81">
            <v>0</v>
          </cell>
          <cell r="G81">
            <v>0</v>
          </cell>
          <cell r="H81">
            <v>0</v>
          </cell>
          <cell r="I81">
            <v>0</v>
          </cell>
          <cell r="J81">
            <v>0</v>
          </cell>
        </row>
        <row r="82">
          <cell r="A82">
            <v>1923</v>
          </cell>
          <cell r="B82" t="str">
            <v>Fabricacion De Calzado De Caucho Excepto El Calzado Deportivo</v>
          </cell>
          <cell r="C82">
            <v>0</v>
          </cell>
          <cell r="D82">
            <v>0</v>
          </cell>
          <cell r="E82">
            <v>0</v>
          </cell>
          <cell r="F82">
            <v>0</v>
          </cell>
          <cell r="G82">
            <v>0</v>
          </cell>
          <cell r="H82">
            <v>0</v>
          </cell>
          <cell r="I82">
            <v>0</v>
          </cell>
          <cell r="J82">
            <v>0</v>
          </cell>
        </row>
        <row r="83">
          <cell r="A83">
            <v>1924</v>
          </cell>
          <cell r="B83" t="str">
            <v>Fabricacion De Calzado Plastico Excepto El Calzado Deportivo</v>
          </cell>
          <cell r="C83">
            <v>0</v>
          </cell>
          <cell r="D83">
            <v>0</v>
          </cell>
          <cell r="E83">
            <v>0</v>
          </cell>
          <cell r="F83">
            <v>0</v>
          </cell>
          <cell r="G83">
            <v>0</v>
          </cell>
          <cell r="H83">
            <v>0</v>
          </cell>
          <cell r="I83">
            <v>0</v>
          </cell>
          <cell r="J83">
            <v>0</v>
          </cell>
        </row>
        <row r="84">
          <cell r="A84">
            <v>1925</v>
          </cell>
          <cell r="B84" t="str">
            <v>Fabricacion De Calzado Deportivo, Excepto El Moldeado</v>
          </cell>
          <cell r="C84">
            <v>0</v>
          </cell>
          <cell r="D84">
            <v>0</v>
          </cell>
          <cell r="E84">
            <v>0</v>
          </cell>
          <cell r="F84">
            <v>0</v>
          </cell>
          <cell r="G84">
            <v>0</v>
          </cell>
          <cell r="H84">
            <v>0</v>
          </cell>
          <cell r="I84">
            <v>0</v>
          </cell>
          <cell r="J84">
            <v>0</v>
          </cell>
        </row>
        <row r="85">
          <cell r="A85">
            <v>1926</v>
          </cell>
          <cell r="B85" t="str">
            <v>Fabricacion De Partes De Calzado</v>
          </cell>
          <cell r="C85">
            <v>0</v>
          </cell>
          <cell r="D85">
            <v>0</v>
          </cell>
          <cell r="E85">
            <v>0</v>
          </cell>
          <cell r="F85">
            <v>0</v>
          </cell>
          <cell r="G85">
            <v>0</v>
          </cell>
          <cell r="H85">
            <v>0</v>
          </cell>
          <cell r="I85">
            <v>0</v>
          </cell>
          <cell r="J85">
            <v>0</v>
          </cell>
        </row>
        <row r="86">
          <cell r="A86">
            <v>1929</v>
          </cell>
          <cell r="B86" t="str">
            <v>Fabricacion De Calzado Ncp</v>
          </cell>
          <cell r="C86">
            <v>0</v>
          </cell>
          <cell r="D86">
            <v>0</v>
          </cell>
          <cell r="E86">
            <v>0</v>
          </cell>
          <cell r="F86">
            <v>0</v>
          </cell>
          <cell r="G86">
            <v>0</v>
          </cell>
          <cell r="H86">
            <v>0</v>
          </cell>
          <cell r="I86">
            <v>0</v>
          </cell>
          <cell r="J86">
            <v>0</v>
          </cell>
        </row>
        <row r="87">
          <cell r="A87">
            <v>1931</v>
          </cell>
          <cell r="B87" t="str">
            <v>Fabricacion De Articulos De Viaje, Bolsos De Mano, Y Articulos Similares elaborados en cuero, fabricacion de articulos de talabaqueria y guernicion</v>
          </cell>
          <cell r="C87">
            <v>0</v>
          </cell>
          <cell r="D87">
            <v>0</v>
          </cell>
          <cell r="E87">
            <v>0</v>
          </cell>
          <cell r="F87">
            <v>0</v>
          </cell>
          <cell r="G87">
            <v>0</v>
          </cell>
          <cell r="H87">
            <v>0</v>
          </cell>
          <cell r="I87">
            <v>0</v>
          </cell>
          <cell r="J87">
            <v>0</v>
          </cell>
        </row>
        <row r="88">
          <cell r="A88">
            <v>1932</v>
          </cell>
          <cell r="B88" t="str">
            <v>Fabircacion De Articulos De Viaje, Bolsos De Mano Y Articulos Similares, Elaborados En Materiales Sinteticos, Plastico E Imitaciones De Cuero</v>
          </cell>
          <cell r="C88">
            <v>0</v>
          </cell>
          <cell r="D88">
            <v>0</v>
          </cell>
          <cell r="E88">
            <v>0</v>
          </cell>
          <cell r="F88">
            <v>0</v>
          </cell>
          <cell r="G88">
            <v>0</v>
          </cell>
          <cell r="H88">
            <v>0</v>
          </cell>
          <cell r="I88">
            <v>0</v>
          </cell>
          <cell r="J88">
            <v>0</v>
          </cell>
        </row>
        <row r="89">
          <cell r="A89">
            <v>1939</v>
          </cell>
          <cell r="B89" t="str">
            <v>Fabricacion De Articulos De Viaje, Bolsos De Mano Y Articulos Similares Elaborados Con Materiales Ncp</v>
          </cell>
          <cell r="C89">
            <v>0</v>
          </cell>
          <cell r="D89">
            <v>0</v>
          </cell>
          <cell r="E89">
            <v>0</v>
          </cell>
          <cell r="F89">
            <v>0</v>
          </cell>
          <cell r="G89">
            <v>0</v>
          </cell>
          <cell r="H89">
            <v>0</v>
          </cell>
          <cell r="I89">
            <v>0</v>
          </cell>
          <cell r="J89">
            <v>0</v>
          </cell>
        </row>
        <row r="90">
          <cell r="A90">
            <v>2010</v>
          </cell>
          <cell r="B90" t="str">
            <v>Aserrado, Acepillado E Impregnacion De La Madera</v>
          </cell>
          <cell r="C90">
            <v>0</v>
          </cell>
          <cell r="D90">
            <v>0</v>
          </cell>
          <cell r="E90">
            <v>0</v>
          </cell>
          <cell r="F90">
            <v>0</v>
          </cell>
          <cell r="G90">
            <v>0</v>
          </cell>
          <cell r="H90">
            <v>0</v>
          </cell>
          <cell r="I90">
            <v>0</v>
          </cell>
          <cell r="J90">
            <v>0</v>
          </cell>
        </row>
        <row r="91">
          <cell r="A91">
            <v>2020</v>
          </cell>
          <cell r="B91" t="str">
            <v>Fabricacion De Hojas De Madera Para Enchapado; Fabricacion De Tableros Contrachapados, Tableros Laminados, Tableros De Particulas Y Otros Tableros</v>
          </cell>
          <cell r="C91">
            <v>0</v>
          </cell>
          <cell r="D91">
            <v>0</v>
          </cell>
          <cell r="E91">
            <v>0</v>
          </cell>
          <cell r="F91">
            <v>0</v>
          </cell>
          <cell r="G91">
            <v>0</v>
          </cell>
          <cell r="H91">
            <v>0</v>
          </cell>
          <cell r="I91">
            <v>0</v>
          </cell>
          <cell r="J91">
            <v>0</v>
          </cell>
        </row>
        <row r="92">
          <cell r="A92">
            <v>2030</v>
          </cell>
          <cell r="B92" t="str">
            <v>Fabricacion De Partes Y Piezas De Carpinteria Para Edificios Y Construccion</v>
          </cell>
          <cell r="C92">
            <v>0</v>
          </cell>
          <cell r="D92">
            <v>0</v>
          </cell>
          <cell r="E92">
            <v>0</v>
          </cell>
          <cell r="F92">
            <v>0</v>
          </cell>
          <cell r="G92">
            <v>0</v>
          </cell>
          <cell r="H92">
            <v>0</v>
          </cell>
          <cell r="I92">
            <v>0</v>
          </cell>
          <cell r="J92">
            <v>0</v>
          </cell>
        </row>
        <row r="93">
          <cell r="A93">
            <v>2040</v>
          </cell>
          <cell r="B93" t="str">
            <v>Fabricacion De Recipientes De Madera</v>
          </cell>
          <cell r="C93">
            <v>0</v>
          </cell>
          <cell r="D93">
            <v>0</v>
          </cell>
          <cell r="E93">
            <v>0</v>
          </cell>
          <cell r="F93">
            <v>0</v>
          </cell>
          <cell r="G93">
            <v>0</v>
          </cell>
          <cell r="H93">
            <v>0</v>
          </cell>
          <cell r="I93">
            <v>0</v>
          </cell>
          <cell r="J93">
            <v>0</v>
          </cell>
        </row>
        <row r="94">
          <cell r="A94">
            <v>2090</v>
          </cell>
          <cell r="B94" t="str">
            <v>Fabricacion De Otros Productos De Madera; Fabricacion De Articulos De Corcho, Cesteria Y Esparteria</v>
          </cell>
          <cell r="C94">
            <v>0</v>
          </cell>
          <cell r="D94">
            <v>0</v>
          </cell>
          <cell r="E94">
            <v>0</v>
          </cell>
          <cell r="F94">
            <v>0</v>
          </cell>
          <cell r="G94">
            <v>0</v>
          </cell>
          <cell r="H94">
            <v>0</v>
          </cell>
          <cell r="I94">
            <v>0</v>
          </cell>
          <cell r="J94">
            <v>0</v>
          </cell>
        </row>
        <row r="95">
          <cell r="A95">
            <v>2101</v>
          </cell>
          <cell r="B95" t="str">
            <v>Fabricacion De Pastas Celulosicas; Papel Y Carton</v>
          </cell>
          <cell r="C95">
            <v>0</v>
          </cell>
          <cell r="D95">
            <v>0</v>
          </cell>
          <cell r="E95">
            <v>0</v>
          </cell>
          <cell r="F95">
            <v>0</v>
          </cell>
          <cell r="G95">
            <v>0</v>
          </cell>
          <cell r="H95">
            <v>0</v>
          </cell>
          <cell r="I95">
            <v>0</v>
          </cell>
          <cell r="J95">
            <v>0</v>
          </cell>
        </row>
        <row r="96">
          <cell r="A96">
            <v>2102</v>
          </cell>
          <cell r="B96" t="str">
            <v>Fabricacion De Papel Y Carton Ondulado, Fabricacion De Envases, Empaques Y De Embalajes De Papel Y Carton</v>
          </cell>
          <cell r="C96">
            <v>0</v>
          </cell>
          <cell r="D96">
            <v>0</v>
          </cell>
          <cell r="E96">
            <v>0</v>
          </cell>
          <cell r="F96">
            <v>0</v>
          </cell>
          <cell r="G96">
            <v>0</v>
          </cell>
          <cell r="H96">
            <v>0</v>
          </cell>
          <cell r="I96">
            <v>0</v>
          </cell>
          <cell r="J96">
            <v>0</v>
          </cell>
        </row>
        <row r="97">
          <cell r="A97">
            <v>2109</v>
          </cell>
          <cell r="B97" t="str">
            <v>Fabricacion De Otros Articulos De Papel Y Carton</v>
          </cell>
          <cell r="C97">
            <v>0</v>
          </cell>
          <cell r="D97">
            <v>0</v>
          </cell>
          <cell r="E97">
            <v>0</v>
          </cell>
          <cell r="F97">
            <v>0</v>
          </cell>
          <cell r="G97">
            <v>0</v>
          </cell>
          <cell r="H97">
            <v>0</v>
          </cell>
          <cell r="I97">
            <v>0</v>
          </cell>
          <cell r="J97">
            <v>0</v>
          </cell>
        </row>
        <row r="98">
          <cell r="A98">
            <v>2211</v>
          </cell>
          <cell r="B98" t="str">
            <v>Ediciion De Libors, Folletos, Partituras Y Otras Publicaciones</v>
          </cell>
          <cell r="C98">
            <v>0</v>
          </cell>
          <cell r="D98">
            <v>0</v>
          </cell>
          <cell r="E98">
            <v>0</v>
          </cell>
          <cell r="F98">
            <v>0</v>
          </cell>
          <cell r="G98">
            <v>0</v>
          </cell>
          <cell r="H98">
            <v>0</v>
          </cell>
          <cell r="I98">
            <v>0</v>
          </cell>
          <cell r="J98">
            <v>0</v>
          </cell>
        </row>
        <row r="99">
          <cell r="A99">
            <v>2212</v>
          </cell>
          <cell r="B99" t="str">
            <v>Edici9On De Periodicos, Rebvistas Y Publicaciones Periodicas</v>
          </cell>
          <cell r="C99">
            <v>0</v>
          </cell>
          <cell r="D99">
            <v>0</v>
          </cell>
          <cell r="E99">
            <v>0</v>
          </cell>
          <cell r="F99">
            <v>0</v>
          </cell>
          <cell r="G99">
            <v>0</v>
          </cell>
          <cell r="H99">
            <v>0</v>
          </cell>
          <cell r="I99">
            <v>0</v>
          </cell>
          <cell r="J99">
            <v>0</v>
          </cell>
        </row>
        <row r="100">
          <cell r="A100">
            <v>2213</v>
          </cell>
          <cell r="B100" t="str">
            <v>Edicion De Materiales Grabados</v>
          </cell>
          <cell r="C100">
            <v>0</v>
          </cell>
          <cell r="D100">
            <v>0</v>
          </cell>
          <cell r="E100">
            <v>0</v>
          </cell>
          <cell r="F100">
            <v>0</v>
          </cell>
          <cell r="G100">
            <v>0</v>
          </cell>
          <cell r="H100">
            <v>0</v>
          </cell>
          <cell r="I100">
            <v>0</v>
          </cell>
          <cell r="J100">
            <v>0</v>
          </cell>
        </row>
        <row r="101">
          <cell r="A101">
            <v>2219</v>
          </cell>
          <cell r="B101" t="str">
            <v>Otros Trabajos De Edición</v>
          </cell>
          <cell r="C101">
            <v>0</v>
          </cell>
          <cell r="D101">
            <v>0</v>
          </cell>
          <cell r="E101">
            <v>0</v>
          </cell>
          <cell r="F101">
            <v>0</v>
          </cell>
          <cell r="G101">
            <v>0</v>
          </cell>
          <cell r="H101">
            <v>0</v>
          </cell>
          <cell r="I101">
            <v>0</v>
          </cell>
          <cell r="J101">
            <v>0</v>
          </cell>
        </row>
        <row r="102">
          <cell r="A102">
            <v>2220</v>
          </cell>
          <cell r="B102" t="str">
            <v>Actividades De Impresion</v>
          </cell>
          <cell r="C102">
            <v>0</v>
          </cell>
          <cell r="D102">
            <v>0</v>
          </cell>
          <cell r="E102">
            <v>0</v>
          </cell>
          <cell r="F102">
            <v>0</v>
          </cell>
          <cell r="G102">
            <v>0</v>
          </cell>
          <cell r="H102">
            <v>0</v>
          </cell>
          <cell r="I102">
            <v>0</v>
          </cell>
          <cell r="J102">
            <v>0</v>
          </cell>
        </row>
        <row r="103">
          <cell r="A103">
            <v>2231</v>
          </cell>
          <cell r="B103" t="str">
            <v>Arte, Diseño Y Composicion</v>
          </cell>
          <cell r="C103">
            <v>0</v>
          </cell>
          <cell r="D103">
            <v>0</v>
          </cell>
          <cell r="E103">
            <v>0</v>
          </cell>
          <cell r="F103">
            <v>0</v>
          </cell>
          <cell r="G103">
            <v>0</v>
          </cell>
          <cell r="H103">
            <v>0</v>
          </cell>
          <cell r="I103">
            <v>0</v>
          </cell>
          <cell r="J103">
            <v>0</v>
          </cell>
        </row>
        <row r="104">
          <cell r="A104">
            <v>2232</v>
          </cell>
          <cell r="B104" t="str">
            <v>Fotomecanica Y Analogos</v>
          </cell>
          <cell r="C104">
            <v>0</v>
          </cell>
          <cell r="D104">
            <v>0</v>
          </cell>
          <cell r="E104">
            <v>0</v>
          </cell>
          <cell r="F104">
            <v>0</v>
          </cell>
          <cell r="G104">
            <v>0</v>
          </cell>
          <cell r="H104">
            <v>0</v>
          </cell>
          <cell r="I104">
            <v>0</v>
          </cell>
          <cell r="J104">
            <v>0</v>
          </cell>
        </row>
        <row r="105">
          <cell r="A105">
            <v>2233</v>
          </cell>
          <cell r="B105" t="str">
            <v>Encuadernacion</v>
          </cell>
          <cell r="C105">
            <v>0</v>
          </cell>
          <cell r="D105">
            <v>0</v>
          </cell>
          <cell r="E105">
            <v>0</v>
          </cell>
          <cell r="F105">
            <v>0</v>
          </cell>
          <cell r="G105">
            <v>0</v>
          </cell>
          <cell r="H105">
            <v>0</v>
          </cell>
          <cell r="I105">
            <v>0</v>
          </cell>
          <cell r="J105">
            <v>0</v>
          </cell>
        </row>
        <row r="106">
          <cell r="A106">
            <v>2234</v>
          </cell>
          <cell r="B106" t="str">
            <v>Acabado Y Recubrimiento</v>
          </cell>
          <cell r="C106">
            <v>0</v>
          </cell>
          <cell r="D106">
            <v>0</v>
          </cell>
          <cell r="E106">
            <v>0</v>
          </cell>
          <cell r="F106">
            <v>0</v>
          </cell>
          <cell r="G106">
            <v>0</v>
          </cell>
          <cell r="H106">
            <v>0</v>
          </cell>
          <cell r="I106">
            <v>0</v>
          </cell>
          <cell r="J106">
            <v>0</v>
          </cell>
        </row>
        <row r="107">
          <cell r="A107">
            <v>2239</v>
          </cell>
          <cell r="B107" t="str">
            <v>Otros Servicios Conexos Ncp</v>
          </cell>
          <cell r="C107">
            <v>0</v>
          </cell>
          <cell r="D107">
            <v>0</v>
          </cell>
          <cell r="E107">
            <v>0</v>
          </cell>
          <cell r="F107">
            <v>0</v>
          </cell>
          <cell r="G107">
            <v>0</v>
          </cell>
          <cell r="H107">
            <v>0</v>
          </cell>
          <cell r="I107">
            <v>0</v>
          </cell>
          <cell r="J107">
            <v>0</v>
          </cell>
        </row>
        <row r="108">
          <cell r="A108">
            <v>2240</v>
          </cell>
          <cell r="B108" t="str">
            <v>Reproduccion De Materiales Grabados</v>
          </cell>
          <cell r="C108">
            <v>0</v>
          </cell>
          <cell r="D108">
            <v>0</v>
          </cell>
          <cell r="E108">
            <v>0</v>
          </cell>
          <cell r="F108">
            <v>0</v>
          </cell>
          <cell r="G108">
            <v>0</v>
          </cell>
          <cell r="H108">
            <v>0</v>
          </cell>
          <cell r="I108">
            <v>0</v>
          </cell>
          <cell r="J108">
            <v>0</v>
          </cell>
        </row>
        <row r="109">
          <cell r="A109">
            <v>2310</v>
          </cell>
          <cell r="B109" t="str">
            <v>Fabricacion De Productos De Hornos De Coque</v>
          </cell>
          <cell r="C109">
            <v>0</v>
          </cell>
          <cell r="D109">
            <v>0</v>
          </cell>
          <cell r="E109">
            <v>0</v>
          </cell>
          <cell r="F109">
            <v>0</v>
          </cell>
          <cell r="G109">
            <v>0</v>
          </cell>
          <cell r="H109">
            <v>0</v>
          </cell>
          <cell r="I109">
            <v>0</v>
          </cell>
          <cell r="J109">
            <v>0</v>
          </cell>
        </row>
        <row r="110">
          <cell r="A110">
            <v>2321</v>
          </cell>
          <cell r="B110" t="str">
            <v>Fabricacion De Productos De La Refinacion Del Petroleo, Elaborados En Refineria</v>
          </cell>
          <cell r="C110">
            <v>0</v>
          </cell>
          <cell r="D110">
            <v>0</v>
          </cell>
          <cell r="E110">
            <v>0</v>
          </cell>
          <cell r="F110">
            <v>0</v>
          </cell>
          <cell r="G110">
            <v>0</v>
          </cell>
          <cell r="H110">
            <v>0</v>
          </cell>
          <cell r="I110">
            <v>0</v>
          </cell>
          <cell r="J110">
            <v>0</v>
          </cell>
        </row>
        <row r="111">
          <cell r="A111">
            <v>2322</v>
          </cell>
          <cell r="B111" t="str">
            <v>Elaboracion De Productos Derivados Del Petroleo, Fuera De Refineria</v>
          </cell>
          <cell r="C111">
            <v>0</v>
          </cell>
          <cell r="D111">
            <v>0</v>
          </cell>
          <cell r="E111">
            <v>0</v>
          </cell>
          <cell r="F111">
            <v>0</v>
          </cell>
          <cell r="G111">
            <v>0</v>
          </cell>
          <cell r="H111">
            <v>0</v>
          </cell>
          <cell r="I111">
            <v>0</v>
          </cell>
          <cell r="J111">
            <v>0</v>
          </cell>
        </row>
        <row r="112">
          <cell r="A112">
            <v>2330</v>
          </cell>
          <cell r="B112" t="str">
            <v>Elaboracion De Combustible Nuclear</v>
          </cell>
          <cell r="C112">
            <v>0</v>
          </cell>
          <cell r="D112">
            <v>0</v>
          </cell>
          <cell r="E112">
            <v>0</v>
          </cell>
          <cell r="F112">
            <v>0</v>
          </cell>
          <cell r="G112">
            <v>0</v>
          </cell>
          <cell r="H112">
            <v>0</v>
          </cell>
          <cell r="I112">
            <v>0</v>
          </cell>
          <cell r="J112">
            <v>0</v>
          </cell>
        </row>
        <row r="113">
          <cell r="A113">
            <v>2411</v>
          </cell>
          <cell r="B113" t="str">
            <v>Fabricacion De Sustancias Quimicas Basicas, Excepto Abonos Y Compuestos Inorganicos Nitrogenados</v>
          </cell>
          <cell r="C113">
            <v>0</v>
          </cell>
          <cell r="D113">
            <v>0</v>
          </cell>
          <cell r="E113">
            <v>0</v>
          </cell>
          <cell r="F113">
            <v>0</v>
          </cell>
          <cell r="G113">
            <v>0</v>
          </cell>
          <cell r="H113">
            <v>0</v>
          </cell>
          <cell r="I113">
            <v>0</v>
          </cell>
          <cell r="J113">
            <v>0</v>
          </cell>
        </row>
        <row r="114">
          <cell r="A114">
            <v>2412</v>
          </cell>
          <cell r="B114" t="str">
            <v>Fabricacion De Abonos Y Compuestos Inorganicos Nitrogenados</v>
          </cell>
          <cell r="C114">
            <v>0</v>
          </cell>
          <cell r="D114">
            <v>0</v>
          </cell>
          <cell r="E114">
            <v>0</v>
          </cell>
          <cell r="F114">
            <v>0</v>
          </cell>
          <cell r="G114">
            <v>0</v>
          </cell>
          <cell r="H114">
            <v>0</v>
          </cell>
          <cell r="I114">
            <v>0</v>
          </cell>
          <cell r="J114">
            <v>0</v>
          </cell>
        </row>
        <row r="115">
          <cell r="A115">
            <v>2413</v>
          </cell>
          <cell r="B115" t="str">
            <v>Fabricacion De Plasticos En Formas Primarias</v>
          </cell>
          <cell r="C115">
            <v>0</v>
          </cell>
          <cell r="D115">
            <v>0</v>
          </cell>
          <cell r="E115">
            <v>0</v>
          </cell>
          <cell r="F115">
            <v>0</v>
          </cell>
          <cell r="G115">
            <v>0</v>
          </cell>
          <cell r="H115">
            <v>0</v>
          </cell>
          <cell r="I115">
            <v>0</v>
          </cell>
          <cell r="J115">
            <v>0</v>
          </cell>
        </row>
        <row r="116">
          <cell r="A116">
            <v>2414</v>
          </cell>
          <cell r="B116" t="str">
            <v>Fabricacion De Caucho Sintetico En Formas Primarias</v>
          </cell>
          <cell r="C116">
            <v>0</v>
          </cell>
          <cell r="D116">
            <v>0</v>
          </cell>
          <cell r="E116">
            <v>0</v>
          </cell>
          <cell r="F116">
            <v>0</v>
          </cell>
          <cell r="G116">
            <v>0</v>
          </cell>
          <cell r="H116">
            <v>0</v>
          </cell>
          <cell r="I116">
            <v>0</v>
          </cell>
          <cell r="J116">
            <v>0</v>
          </cell>
        </row>
        <row r="117">
          <cell r="A117">
            <v>2421</v>
          </cell>
          <cell r="B117" t="str">
            <v>Fabricacion De Plaguicidas Y Otros Productos Quimicos De Uso Agropecuario</v>
          </cell>
          <cell r="C117">
            <v>0</v>
          </cell>
          <cell r="D117">
            <v>0</v>
          </cell>
          <cell r="E117">
            <v>0</v>
          </cell>
          <cell r="F117">
            <v>0</v>
          </cell>
          <cell r="G117">
            <v>0</v>
          </cell>
          <cell r="H117">
            <v>0</v>
          </cell>
          <cell r="I117">
            <v>0</v>
          </cell>
          <cell r="J117">
            <v>0</v>
          </cell>
        </row>
        <row r="118">
          <cell r="A118">
            <v>2422</v>
          </cell>
          <cell r="B118" t="str">
            <v>Fabricacion De Pinturas, Barnices Y Revestimientos Similares, Tintas Para Impresión Y Masillas</v>
          </cell>
          <cell r="C118">
            <v>0</v>
          </cell>
          <cell r="D118">
            <v>0</v>
          </cell>
          <cell r="E118">
            <v>0</v>
          </cell>
          <cell r="F118">
            <v>0</v>
          </cell>
          <cell r="G118">
            <v>0</v>
          </cell>
          <cell r="H118">
            <v>0</v>
          </cell>
          <cell r="I118">
            <v>0</v>
          </cell>
          <cell r="J118">
            <v>0</v>
          </cell>
        </row>
        <row r="119">
          <cell r="A119">
            <v>2423</v>
          </cell>
          <cell r="B119" t="str">
            <v>Fabricacion De Productos Farmaceuticos, Sustancias Quimicas Medicinales Y Productos Botanicos</v>
          </cell>
          <cell r="C119">
            <v>0</v>
          </cell>
          <cell r="D119">
            <v>0</v>
          </cell>
          <cell r="E119">
            <v>0</v>
          </cell>
          <cell r="F119">
            <v>0</v>
          </cell>
          <cell r="G119">
            <v>0</v>
          </cell>
          <cell r="H119">
            <v>0</v>
          </cell>
          <cell r="I119">
            <v>0</v>
          </cell>
          <cell r="J119">
            <v>0</v>
          </cell>
        </row>
        <row r="120">
          <cell r="A120">
            <v>2424</v>
          </cell>
          <cell r="B120" t="str">
            <v>Fabricacion De Jabones Y Detergentes, Preparados Para Limpiar Y Pulir; Perfumes Y Preparados De Tocador</v>
          </cell>
          <cell r="C120">
            <v>0</v>
          </cell>
          <cell r="D120">
            <v>0</v>
          </cell>
          <cell r="E120">
            <v>0</v>
          </cell>
          <cell r="F120">
            <v>0</v>
          </cell>
          <cell r="G120">
            <v>0</v>
          </cell>
          <cell r="H120">
            <v>0</v>
          </cell>
          <cell r="I120">
            <v>0</v>
          </cell>
          <cell r="J120">
            <v>0</v>
          </cell>
        </row>
        <row r="121">
          <cell r="A121">
            <v>2429</v>
          </cell>
          <cell r="B121" t="str">
            <v>Fabricacion De Otros Productos Quimicos Ncp</v>
          </cell>
          <cell r="C121">
            <v>0</v>
          </cell>
          <cell r="D121">
            <v>0</v>
          </cell>
          <cell r="E121">
            <v>0</v>
          </cell>
          <cell r="F121">
            <v>0</v>
          </cell>
          <cell r="G121">
            <v>0</v>
          </cell>
          <cell r="H121">
            <v>0</v>
          </cell>
          <cell r="I121">
            <v>0</v>
          </cell>
          <cell r="J121">
            <v>0</v>
          </cell>
        </row>
        <row r="122">
          <cell r="A122">
            <v>2430</v>
          </cell>
          <cell r="B122" t="str">
            <v>Fabricacion De Fibras Sinteticas Y Artificiales</v>
          </cell>
          <cell r="C122">
            <v>0</v>
          </cell>
          <cell r="D122">
            <v>0</v>
          </cell>
          <cell r="E122">
            <v>0</v>
          </cell>
          <cell r="F122">
            <v>0</v>
          </cell>
          <cell r="G122">
            <v>0</v>
          </cell>
          <cell r="H122">
            <v>0</v>
          </cell>
          <cell r="I122">
            <v>0</v>
          </cell>
          <cell r="J122">
            <v>0</v>
          </cell>
        </row>
        <row r="123">
          <cell r="A123">
            <v>2511</v>
          </cell>
          <cell r="B123" t="str">
            <v>Fabricacion De Llantas Y Neumaticos De Caucho</v>
          </cell>
          <cell r="C123">
            <v>0</v>
          </cell>
          <cell r="D123">
            <v>0</v>
          </cell>
          <cell r="E123">
            <v>0</v>
          </cell>
          <cell r="F123">
            <v>0</v>
          </cell>
          <cell r="G123">
            <v>0</v>
          </cell>
          <cell r="H123">
            <v>0</v>
          </cell>
          <cell r="I123">
            <v>0</v>
          </cell>
          <cell r="J123">
            <v>0</v>
          </cell>
        </row>
        <row r="124">
          <cell r="A124">
            <v>2512</v>
          </cell>
          <cell r="B124" t="str">
            <v>Reencauche De Llantas Usadas</v>
          </cell>
          <cell r="C124">
            <v>0</v>
          </cell>
          <cell r="D124">
            <v>0</v>
          </cell>
          <cell r="E124">
            <v>0</v>
          </cell>
          <cell r="F124">
            <v>0</v>
          </cell>
          <cell r="G124">
            <v>0</v>
          </cell>
          <cell r="H124">
            <v>0</v>
          </cell>
          <cell r="I124">
            <v>0</v>
          </cell>
          <cell r="J124">
            <v>0</v>
          </cell>
        </row>
        <row r="125">
          <cell r="A125">
            <v>2513</v>
          </cell>
          <cell r="B125" t="str">
            <v>Fabricacion De Formas Basicas De Caucho</v>
          </cell>
          <cell r="C125">
            <v>0</v>
          </cell>
          <cell r="D125">
            <v>0</v>
          </cell>
          <cell r="E125">
            <v>0</v>
          </cell>
          <cell r="F125">
            <v>0</v>
          </cell>
          <cell r="G125">
            <v>0</v>
          </cell>
          <cell r="H125">
            <v>0</v>
          </cell>
          <cell r="I125">
            <v>0</v>
          </cell>
          <cell r="J125">
            <v>0</v>
          </cell>
        </row>
        <row r="126">
          <cell r="A126">
            <v>2519</v>
          </cell>
          <cell r="B126" t="str">
            <v>Fabricacion De Otros Productos De Caucho Ncp</v>
          </cell>
          <cell r="C126">
            <v>0</v>
          </cell>
          <cell r="D126">
            <v>0</v>
          </cell>
          <cell r="E126">
            <v>0</v>
          </cell>
          <cell r="F126">
            <v>0</v>
          </cell>
          <cell r="G126">
            <v>0</v>
          </cell>
          <cell r="H126">
            <v>0</v>
          </cell>
          <cell r="I126">
            <v>0</v>
          </cell>
          <cell r="J126">
            <v>0</v>
          </cell>
        </row>
        <row r="127">
          <cell r="A127">
            <v>2521</v>
          </cell>
          <cell r="B127" t="str">
            <v>Fabricacion De Formas Basicas De Plastico</v>
          </cell>
          <cell r="C127">
            <v>0</v>
          </cell>
          <cell r="D127">
            <v>0</v>
          </cell>
          <cell r="E127">
            <v>0</v>
          </cell>
          <cell r="F127">
            <v>0</v>
          </cell>
          <cell r="G127">
            <v>0</v>
          </cell>
          <cell r="H127">
            <v>0</v>
          </cell>
          <cell r="I127">
            <v>0</v>
          </cell>
          <cell r="J127">
            <v>0</v>
          </cell>
        </row>
        <row r="128">
          <cell r="A128">
            <v>2529</v>
          </cell>
          <cell r="B128" t="str">
            <v>Fabricacion De Articulos De Plastico Ncp</v>
          </cell>
          <cell r="C128">
            <v>0</v>
          </cell>
          <cell r="D128">
            <v>0</v>
          </cell>
          <cell r="E128">
            <v>0</v>
          </cell>
          <cell r="F128">
            <v>0</v>
          </cell>
          <cell r="G128">
            <v>0</v>
          </cell>
          <cell r="H128">
            <v>0</v>
          </cell>
          <cell r="I128">
            <v>0</v>
          </cell>
          <cell r="J128">
            <v>0</v>
          </cell>
        </row>
        <row r="129">
          <cell r="A129">
            <v>2610</v>
          </cell>
          <cell r="B129" t="str">
            <v>Fabricacion De Vidrio y De Productos De Vidrio</v>
          </cell>
          <cell r="C129">
            <v>0</v>
          </cell>
          <cell r="D129">
            <v>0</v>
          </cell>
          <cell r="E129">
            <v>0</v>
          </cell>
          <cell r="F129">
            <v>0</v>
          </cell>
          <cell r="G129">
            <v>0</v>
          </cell>
          <cell r="H129">
            <v>0</v>
          </cell>
          <cell r="I129">
            <v>0</v>
          </cell>
          <cell r="J129">
            <v>0</v>
          </cell>
        </row>
        <row r="130">
          <cell r="A130">
            <v>2691</v>
          </cell>
          <cell r="B130" t="str">
            <v>Fabricacion De Productos De Ceramica No Refractaria, Para Uso No Estructural</v>
          </cell>
          <cell r="C130">
            <v>0</v>
          </cell>
          <cell r="D130">
            <v>0</v>
          </cell>
          <cell r="E130">
            <v>0</v>
          </cell>
          <cell r="F130">
            <v>0</v>
          </cell>
          <cell r="G130">
            <v>0</v>
          </cell>
          <cell r="H130">
            <v>0</v>
          </cell>
          <cell r="I130">
            <v>0</v>
          </cell>
          <cell r="J130">
            <v>0</v>
          </cell>
        </row>
        <row r="131">
          <cell r="A131">
            <v>2692</v>
          </cell>
          <cell r="B131" t="str">
            <v>Fabricacion De Productos De Ceramica Refractaria</v>
          </cell>
          <cell r="C131">
            <v>0</v>
          </cell>
          <cell r="D131">
            <v>0</v>
          </cell>
          <cell r="E131">
            <v>0</v>
          </cell>
          <cell r="F131">
            <v>0</v>
          </cell>
          <cell r="G131">
            <v>0</v>
          </cell>
          <cell r="H131">
            <v>0</v>
          </cell>
          <cell r="I131">
            <v>0</v>
          </cell>
          <cell r="J131">
            <v>0</v>
          </cell>
        </row>
        <row r="132">
          <cell r="A132">
            <v>2693</v>
          </cell>
          <cell r="B132" t="str">
            <v>Fabricacion De Productos De Arcilla Y Ceramica No Refractaria, Para Uso Estructural</v>
          </cell>
          <cell r="C132">
            <v>0</v>
          </cell>
          <cell r="D132">
            <v>0</v>
          </cell>
          <cell r="E132">
            <v>0</v>
          </cell>
          <cell r="F132">
            <v>0</v>
          </cell>
          <cell r="G132">
            <v>0</v>
          </cell>
          <cell r="H132">
            <v>0</v>
          </cell>
          <cell r="I132">
            <v>0</v>
          </cell>
          <cell r="J132">
            <v>0</v>
          </cell>
        </row>
        <row r="133">
          <cell r="A133">
            <v>2694</v>
          </cell>
          <cell r="B133" t="str">
            <v>Fabricacion De Cemento, Cal Y Yeso</v>
          </cell>
          <cell r="C133">
            <v>0</v>
          </cell>
          <cell r="D133">
            <v>0</v>
          </cell>
          <cell r="E133">
            <v>0</v>
          </cell>
          <cell r="F133">
            <v>0</v>
          </cell>
          <cell r="G133">
            <v>0</v>
          </cell>
          <cell r="H133">
            <v>0</v>
          </cell>
          <cell r="I133">
            <v>0</v>
          </cell>
          <cell r="J133">
            <v>0</v>
          </cell>
        </row>
        <row r="134">
          <cell r="A134">
            <v>2695</v>
          </cell>
          <cell r="B134" t="str">
            <v>Fabricacion De Articulos De Hormigon, Cemento Y Yeso</v>
          </cell>
          <cell r="C134">
            <v>0</v>
          </cell>
          <cell r="D134">
            <v>0</v>
          </cell>
          <cell r="E134">
            <v>0</v>
          </cell>
          <cell r="F134">
            <v>0</v>
          </cell>
          <cell r="G134">
            <v>0</v>
          </cell>
          <cell r="H134">
            <v>0</v>
          </cell>
          <cell r="I134">
            <v>0</v>
          </cell>
          <cell r="J134">
            <v>0</v>
          </cell>
        </row>
        <row r="135">
          <cell r="A135">
            <v>2696</v>
          </cell>
          <cell r="B135" t="str">
            <v>Corte, Tallado Y Acabado De La Piedra</v>
          </cell>
          <cell r="C135">
            <v>0</v>
          </cell>
          <cell r="D135">
            <v>0</v>
          </cell>
          <cell r="E135">
            <v>0</v>
          </cell>
          <cell r="F135">
            <v>0</v>
          </cell>
          <cell r="G135">
            <v>0</v>
          </cell>
          <cell r="H135">
            <v>0</v>
          </cell>
          <cell r="I135">
            <v>0</v>
          </cell>
          <cell r="J135">
            <v>0</v>
          </cell>
        </row>
        <row r="136">
          <cell r="A136">
            <v>2699</v>
          </cell>
          <cell r="B136" t="str">
            <v>Fabricacion De Otros Productos Minerales No Metalicos Ncp</v>
          </cell>
          <cell r="C136">
            <v>0</v>
          </cell>
          <cell r="D136">
            <v>0</v>
          </cell>
          <cell r="E136">
            <v>0</v>
          </cell>
          <cell r="F136">
            <v>0</v>
          </cell>
          <cell r="G136">
            <v>0</v>
          </cell>
          <cell r="H136">
            <v>0</v>
          </cell>
          <cell r="I136">
            <v>0</v>
          </cell>
          <cell r="J136">
            <v>0</v>
          </cell>
        </row>
        <row r="137">
          <cell r="A137">
            <v>2710</v>
          </cell>
          <cell r="B137" t="str">
            <v>Industrias Basicas De Hierro Y Acero</v>
          </cell>
          <cell r="C137">
            <v>0</v>
          </cell>
          <cell r="D137">
            <v>0</v>
          </cell>
          <cell r="E137">
            <v>0</v>
          </cell>
          <cell r="F137">
            <v>0</v>
          </cell>
          <cell r="G137">
            <v>0</v>
          </cell>
          <cell r="H137">
            <v>0</v>
          </cell>
          <cell r="I137">
            <v>0</v>
          </cell>
          <cell r="J137">
            <v>0</v>
          </cell>
        </row>
        <row r="138">
          <cell r="A138">
            <v>2721</v>
          </cell>
          <cell r="B138" t="str">
            <v>Industrias Basicas De Metales Preciosos</v>
          </cell>
          <cell r="C138">
            <v>0</v>
          </cell>
          <cell r="D138">
            <v>0</v>
          </cell>
          <cell r="E138">
            <v>0</v>
          </cell>
          <cell r="F138">
            <v>0</v>
          </cell>
          <cell r="G138">
            <v>0</v>
          </cell>
          <cell r="H138">
            <v>0</v>
          </cell>
          <cell r="I138">
            <v>0</v>
          </cell>
          <cell r="J138">
            <v>0</v>
          </cell>
        </row>
        <row r="139">
          <cell r="A139">
            <v>2729</v>
          </cell>
          <cell r="B139" t="str">
            <v>Industrias Basicas De Otros Metales No Ferrosos</v>
          </cell>
          <cell r="C139">
            <v>0</v>
          </cell>
          <cell r="D139">
            <v>0</v>
          </cell>
          <cell r="E139">
            <v>0</v>
          </cell>
          <cell r="F139">
            <v>0</v>
          </cell>
          <cell r="G139">
            <v>0</v>
          </cell>
          <cell r="H139">
            <v>0</v>
          </cell>
          <cell r="I139">
            <v>0</v>
          </cell>
          <cell r="J139">
            <v>0</v>
          </cell>
        </row>
        <row r="140">
          <cell r="A140">
            <v>2731</v>
          </cell>
          <cell r="B140" t="str">
            <v>Fundicion De Hierro Y De Acero</v>
          </cell>
          <cell r="C140">
            <v>0</v>
          </cell>
          <cell r="D140">
            <v>0</v>
          </cell>
          <cell r="E140">
            <v>0</v>
          </cell>
          <cell r="F140">
            <v>0</v>
          </cell>
          <cell r="G140">
            <v>0</v>
          </cell>
          <cell r="H140">
            <v>0</v>
          </cell>
          <cell r="I140">
            <v>0</v>
          </cell>
          <cell r="J140">
            <v>0</v>
          </cell>
        </row>
        <row r="141">
          <cell r="A141">
            <v>2732</v>
          </cell>
          <cell r="B141" t="str">
            <v>Fundicion De Metales No Ferrosos</v>
          </cell>
          <cell r="C141">
            <v>0</v>
          </cell>
          <cell r="D141">
            <v>0</v>
          </cell>
          <cell r="E141">
            <v>0</v>
          </cell>
          <cell r="F141">
            <v>0</v>
          </cell>
          <cell r="G141">
            <v>0</v>
          </cell>
          <cell r="H141">
            <v>0</v>
          </cell>
          <cell r="I141">
            <v>0</v>
          </cell>
          <cell r="J141">
            <v>0</v>
          </cell>
        </row>
        <row r="142">
          <cell r="A142">
            <v>2811</v>
          </cell>
          <cell r="B142" t="str">
            <v>Fabricacion De Productos Metalicos Para Uso Estructural</v>
          </cell>
          <cell r="C142">
            <v>0</v>
          </cell>
          <cell r="D142">
            <v>0</v>
          </cell>
          <cell r="E142">
            <v>0</v>
          </cell>
          <cell r="F142">
            <v>0</v>
          </cell>
          <cell r="G142">
            <v>0</v>
          </cell>
          <cell r="H142">
            <v>0</v>
          </cell>
          <cell r="I142">
            <v>0</v>
          </cell>
          <cell r="J142">
            <v>0</v>
          </cell>
        </row>
        <row r="143">
          <cell r="A143">
            <v>2812</v>
          </cell>
          <cell r="B143" t="str">
            <v>Fabricacion De Tanques, Depositos Y Recipientes De Metal</v>
          </cell>
          <cell r="C143">
            <v>0</v>
          </cell>
          <cell r="D143">
            <v>0</v>
          </cell>
          <cell r="E143">
            <v>0</v>
          </cell>
          <cell r="F143">
            <v>0</v>
          </cell>
          <cell r="G143">
            <v>0</v>
          </cell>
          <cell r="H143">
            <v>0</v>
          </cell>
          <cell r="I143">
            <v>0</v>
          </cell>
          <cell r="J143">
            <v>0</v>
          </cell>
        </row>
        <row r="144">
          <cell r="A144">
            <v>2813</v>
          </cell>
          <cell r="B144" t="str">
            <v>Fabricacion De Generadores De Vapor, Excepto Calderas De Agua Caliente Para Calefaccion Central</v>
          </cell>
          <cell r="C144">
            <v>0</v>
          </cell>
          <cell r="D144">
            <v>0</v>
          </cell>
          <cell r="E144">
            <v>0</v>
          </cell>
          <cell r="F144">
            <v>0</v>
          </cell>
          <cell r="G144">
            <v>0</v>
          </cell>
          <cell r="H144">
            <v>0</v>
          </cell>
          <cell r="I144">
            <v>0</v>
          </cell>
          <cell r="J144">
            <v>0</v>
          </cell>
        </row>
        <row r="145">
          <cell r="A145">
            <v>2891</v>
          </cell>
          <cell r="B145" t="str">
            <v>Forja, Prensado, Estampado Y Laminado De Metal; Pulvimetalurgia</v>
          </cell>
          <cell r="C145">
            <v>0</v>
          </cell>
          <cell r="D145">
            <v>0</v>
          </cell>
          <cell r="E145">
            <v>0</v>
          </cell>
          <cell r="F145">
            <v>0</v>
          </cell>
          <cell r="G145">
            <v>0</v>
          </cell>
          <cell r="H145">
            <v>0</v>
          </cell>
          <cell r="I145">
            <v>0</v>
          </cell>
          <cell r="J145">
            <v>0</v>
          </cell>
        </row>
        <row r="146">
          <cell r="A146">
            <v>2892</v>
          </cell>
          <cell r="B146" t="str">
            <v>Tratamiento Y Revestimiento De Metales; Trabajos De Ingenieria Mecanica En General Realizados A Cambio De Una Retribucion O Por Contrata</v>
          </cell>
          <cell r="C146">
            <v>0</v>
          </cell>
          <cell r="D146">
            <v>0</v>
          </cell>
          <cell r="E146">
            <v>0</v>
          </cell>
          <cell r="F146">
            <v>0</v>
          </cell>
          <cell r="G146">
            <v>0</v>
          </cell>
          <cell r="H146">
            <v>0</v>
          </cell>
          <cell r="I146">
            <v>0</v>
          </cell>
          <cell r="J146">
            <v>0</v>
          </cell>
        </row>
        <row r="147">
          <cell r="A147">
            <v>2893</v>
          </cell>
          <cell r="B147" t="str">
            <v>Fabricacion De Articulos De Cuchilleria, Herramientas De Mano Y Articulos De Ferreteria</v>
          </cell>
          <cell r="C147">
            <v>0</v>
          </cell>
          <cell r="D147">
            <v>0</v>
          </cell>
          <cell r="E147">
            <v>0</v>
          </cell>
          <cell r="F147">
            <v>0</v>
          </cell>
          <cell r="G147">
            <v>0</v>
          </cell>
          <cell r="H147">
            <v>0</v>
          </cell>
          <cell r="I147">
            <v>0</v>
          </cell>
          <cell r="J147">
            <v>0</v>
          </cell>
        </row>
        <row r="148">
          <cell r="A148">
            <v>2899</v>
          </cell>
          <cell r="B148" t="str">
            <v>Fabricacion De Otros Productos Elaborados De Metal Ncp</v>
          </cell>
          <cell r="C148">
            <v>0</v>
          </cell>
          <cell r="D148">
            <v>0</v>
          </cell>
          <cell r="E148">
            <v>0</v>
          </cell>
          <cell r="F148">
            <v>0</v>
          </cell>
          <cell r="G148">
            <v>0</v>
          </cell>
          <cell r="H148">
            <v>0</v>
          </cell>
          <cell r="I148">
            <v>0</v>
          </cell>
          <cell r="J148">
            <v>0</v>
          </cell>
        </row>
        <row r="149">
          <cell r="A149">
            <v>2911</v>
          </cell>
          <cell r="B149" t="str">
            <v>Fabricacion De Motores Y Turbinas, Excepto Motores Para Aeronaves, Vehiculos Automotores Y Motocicletas</v>
          </cell>
          <cell r="C149">
            <v>0</v>
          </cell>
          <cell r="D149">
            <v>0</v>
          </cell>
          <cell r="E149">
            <v>0</v>
          </cell>
          <cell r="F149">
            <v>0</v>
          </cell>
          <cell r="G149">
            <v>0</v>
          </cell>
          <cell r="H149">
            <v>0</v>
          </cell>
          <cell r="I149">
            <v>0</v>
          </cell>
          <cell r="J149">
            <v>0</v>
          </cell>
        </row>
        <row r="150">
          <cell r="A150">
            <v>2912</v>
          </cell>
          <cell r="B150" t="str">
            <v>Fabricacion De Bombas, Compresores, Grifos Y Valvulas</v>
          </cell>
          <cell r="C150">
            <v>0</v>
          </cell>
          <cell r="D150">
            <v>0</v>
          </cell>
          <cell r="E150">
            <v>0</v>
          </cell>
          <cell r="F150">
            <v>0</v>
          </cell>
          <cell r="G150">
            <v>0</v>
          </cell>
          <cell r="H150">
            <v>0</v>
          </cell>
          <cell r="I150">
            <v>0</v>
          </cell>
          <cell r="J150">
            <v>0</v>
          </cell>
        </row>
        <row r="151">
          <cell r="A151">
            <v>2913</v>
          </cell>
          <cell r="B151" t="str">
            <v>Fabricacion De Cojinetes, Engranajes, Trenes De Engranajes Y Piezas De Transmision</v>
          </cell>
          <cell r="C151">
            <v>0</v>
          </cell>
          <cell r="D151">
            <v>0</v>
          </cell>
          <cell r="E151">
            <v>0</v>
          </cell>
          <cell r="F151">
            <v>0</v>
          </cell>
          <cell r="G151">
            <v>0</v>
          </cell>
          <cell r="H151">
            <v>0</v>
          </cell>
          <cell r="I151">
            <v>0</v>
          </cell>
          <cell r="J151">
            <v>0</v>
          </cell>
        </row>
        <row r="152">
          <cell r="A152">
            <v>2914</v>
          </cell>
          <cell r="B152" t="str">
            <v>Fabricacion De Hornos, Hogares Y Quemadores Industriales</v>
          </cell>
          <cell r="C152">
            <v>0</v>
          </cell>
          <cell r="D152">
            <v>0</v>
          </cell>
          <cell r="E152">
            <v>0</v>
          </cell>
          <cell r="F152">
            <v>0</v>
          </cell>
          <cell r="G152">
            <v>0</v>
          </cell>
          <cell r="H152">
            <v>0</v>
          </cell>
          <cell r="I152">
            <v>0</v>
          </cell>
          <cell r="J152">
            <v>0</v>
          </cell>
        </row>
        <row r="153">
          <cell r="A153">
            <v>2915</v>
          </cell>
          <cell r="B153" t="str">
            <v>Fabricacion De Equipo De Elevación Y Manipulacion</v>
          </cell>
          <cell r="C153">
            <v>0</v>
          </cell>
          <cell r="D153">
            <v>0</v>
          </cell>
          <cell r="E153">
            <v>0</v>
          </cell>
          <cell r="F153">
            <v>0</v>
          </cell>
          <cell r="G153">
            <v>0</v>
          </cell>
          <cell r="H153">
            <v>0</v>
          </cell>
          <cell r="I153">
            <v>0</v>
          </cell>
          <cell r="J153">
            <v>0</v>
          </cell>
        </row>
        <row r="154">
          <cell r="A154">
            <v>2919</v>
          </cell>
          <cell r="B154" t="str">
            <v>Fabricacion De Otros Tipos De Maquinaria De Uso General Ncp</v>
          </cell>
          <cell r="C154">
            <v>0</v>
          </cell>
          <cell r="D154">
            <v>0</v>
          </cell>
          <cell r="E154">
            <v>0</v>
          </cell>
          <cell r="F154">
            <v>0</v>
          </cell>
          <cell r="G154">
            <v>0</v>
          </cell>
          <cell r="H154">
            <v>0</v>
          </cell>
          <cell r="I154">
            <v>0</v>
          </cell>
          <cell r="J154">
            <v>0</v>
          </cell>
        </row>
        <row r="155">
          <cell r="A155">
            <v>2921</v>
          </cell>
          <cell r="B155" t="str">
            <v>Fabricacion De Maquinaria Agropecuaria Y Forestal</v>
          </cell>
          <cell r="C155">
            <v>0</v>
          </cell>
          <cell r="D155">
            <v>0</v>
          </cell>
          <cell r="E155">
            <v>0</v>
          </cell>
          <cell r="F155">
            <v>0</v>
          </cell>
          <cell r="G155">
            <v>0</v>
          </cell>
          <cell r="H155">
            <v>0</v>
          </cell>
          <cell r="I155">
            <v>0</v>
          </cell>
          <cell r="J155">
            <v>0</v>
          </cell>
        </row>
        <row r="156">
          <cell r="A156">
            <v>2922</v>
          </cell>
          <cell r="B156" t="str">
            <v>Fabricacion De Maquinas Herramienta</v>
          </cell>
          <cell r="C156">
            <v>0</v>
          </cell>
          <cell r="D156">
            <v>0</v>
          </cell>
          <cell r="E156">
            <v>0</v>
          </cell>
          <cell r="F156">
            <v>0</v>
          </cell>
          <cell r="G156">
            <v>0</v>
          </cell>
          <cell r="H156">
            <v>0</v>
          </cell>
          <cell r="I156">
            <v>0</v>
          </cell>
          <cell r="J156">
            <v>0</v>
          </cell>
        </row>
        <row r="157">
          <cell r="A157">
            <v>2923</v>
          </cell>
          <cell r="B157" t="str">
            <v>Fabricacion De Maquinaria Para La Metalurgia</v>
          </cell>
          <cell r="C157">
            <v>0</v>
          </cell>
          <cell r="D157">
            <v>0</v>
          </cell>
          <cell r="E157">
            <v>0</v>
          </cell>
          <cell r="F157">
            <v>0</v>
          </cell>
          <cell r="G157">
            <v>0</v>
          </cell>
          <cell r="H157">
            <v>0</v>
          </cell>
          <cell r="I157">
            <v>0</v>
          </cell>
          <cell r="J157">
            <v>0</v>
          </cell>
        </row>
        <row r="158">
          <cell r="A158">
            <v>2924</v>
          </cell>
          <cell r="B158" t="str">
            <v>Fabricacion De Maquinaria Para La Explotacion De Minas Y Canteras Y Para La Construccion</v>
          </cell>
          <cell r="C158">
            <v>0</v>
          </cell>
          <cell r="D158">
            <v>0</v>
          </cell>
          <cell r="E158">
            <v>0</v>
          </cell>
          <cell r="F158">
            <v>0</v>
          </cell>
          <cell r="G158">
            <v>0</v>
          </cell>
          <cell r="H158">
            <v>0</v>
          </cell>
          <cell r="I158">
            <v>0</v>
          </cell>
          <cell r="J158">
            <v>0</v>
          </cell>
        </row>
        <row r="159">
          <cell r="A159">
            <v>2925</v>
          </cell>
          <cell r="B159" t="str">
            <v>Fabricacion De Maquinaria Para La Elaboracion De Alimentos, Bebidas Y Tabaco</v>
          </cell>
          <cell r="C159">
            <v>0</v>
          </cell>
          <cell r="D159">
            <v>0</v>
          </cell>
          <cell r="E159">
            <v>0</v>
          </cell>
          <cell r="F159">
            <v>0</v>
          </cell>
          <cell r="G159">
            <v>0</v>
          </cell>
          <cell r="H159">
            <v>0</v>
          </cell>
          <cell r="I159">
            <v>0</v>
          </cell>
          <cell r="J159">
            <v>0</v>
          </cell>
        </row>
        <row r="160">
          <cell r="A160">
            <v>2926</v>
          </cell>
          <cell r="B160" t="str">
            <v>Fabricacion De Maquinaria Para La Elaboracion De Productos Textiles, Prendas De Vestir Y Cueros</v>
          </cell>
          <cell r="C160">
            <v>0</v>
          </cell>
          <cell r="D160">
            <v>0</v>
          </cell>
          <cell r="E160">
            <v>0</v>
          </cell>
          <cell r="F160">
            <v>0</v>
          </cell>
          <cell r="G160">
            <v>0</v>
          </cell>
          <cell r="H160">
            <v>0</v>
          </cell>
          <cell r="I160">
            <v>0</v>
          </cell>
          <cell r="J160">
            <v>0</v>
          </cell>
        </row>
        <row r="161">
          <cell r="A161">
            <v>2927</v>
          </cell>
          <cell r="B161" t="str">
            <v>Fabricacion De Armas Y Municiones</v>
          </cell>
          <cell r="C161">
            <v>0</v>
          </cell>
          <cell r="D161">
            <v>0</v>
          </cell>
          <cell r="E161">
            <v>0</v>
          </cell>
          <cell r="F161">
            <v>0</v>
          </cell>
          <cell r="G161">
            <v>0</v>
          </cell>
          <cell r="H161">
            <v>0</v>
          </cell>
          <cell r="I161">
            <v>0</v>
          </cell>
          <cell r="J161">
            <v>0</v>
          </cell>
        </row>
        <row r="162">
          <cell r="A162">
            <v>2929</v>
          </cell>
          <cell r="B162" t="str">
            <v>Fabricacion De Otros Tipos De Maquinaria De Uso Especial Ncp</v>
          </cell>
          <cell r="C162">
            <v>0</v>
          </cell>
          <cell r="D162">
            <v>0</v>
          </cell>
          <cell r="E162">
            <v>0</v>
          </cell>
          <cell r="F162">
            <v>0</v>
          </cell>
          <cell r="G162">
            <v>0</v>
          </cell>
          <cell r="H162">
            <v>0</v>
          </cell>
          <cell r="I162">
            <v>0</v>
          </cell>
          <cell r="J162">
            <v>0</v>
          </cell>
        </row>
        <row r="163">
          <cell r="A163">
            <v>2930</v>
          </cell>
          <cell r="B163" t="str">
            <v>Fabricaion De Aparatos De Uso Domestico Ncp</v>
          </cell>
          <cell r="C163">
            <v>0</v>
          </cell>
          <cell r="D163">
            <v>0</v>
          </cell>
          <cell r="E163">
            <v>0</v>
          </cell>
          <cell r="F163">
            <v>0</v>
          </cell>
          <cell r="G163">
            <v>0</v>
          </cell>
          <cell r="H163">
            <v>0</v>
          </cell>
          <cell r="I163">
            <v>0</v>
          </cell>
          <cell r="J163">
            <v>0</v>
          </cell>
        </row>
        <row r="164">
          <cell r="A164">
            <v>3000</v>
          </cell>
          <cell r="B164" t="str">
            <v>Fabricacion De Maquinaria De Oficina, Contabilidad E Informatica</v>
          </cell>
          <cell r="C164">
            <v>0</v>
          </cell>
          <cell r="D164">
            <v>0</v>
          </cell>
          <cell r="E164">
            <v>0</v>
          </cell>
          <cell r="F164">
            <v>0</v>
          </cell>
          <cell r="G164">
            <v>0</v>
          </cell>
          <cell r="H164">
            <v>0</v>
          </cell>
          <cell r="I164">
            <v>0</v>
          </cell>
          <cell r="J164">
            <v>0</v>
          </cell>
        </row>
        <row r="165">
          <cell r="A165">
            <v>3110</v>
          </cell>
          <cell r="B165" t="str">
            <v>Fabricacion De Motores, Generadores Y Transformadores</v>
          </cell>
          <cell r="C165">
            <v>0</v>
          </cell>
          <cell r="D165">
            <v>0</v>
          </cell>
          <cell r="E165">
            <v>0</v>
          </cell>
          <cell r="F165">
            <v>0</v>
          </cell>
          <cell r="G165">
            <v>0</v>
          </cell>
          <cell r="H165">
            <v>0</v>
          </cell>
          <cell r="I165">
            <v>0</v>
          </cell>
          <cell r="J165">
            <v>0</v>
          </cell>
        </row>
        <row r="166">
          <cell r="A166">
            <v>3120</v>
          </cell>
          <cell r="B166" t="str">
            <v>Fabricacion De Aparatos De Distribucion Y Control De La Energía Electrica</v>
          </cell>
          <cell r="C166">
            <v>0</v>
          </cell>
          <cell r="D166">
            <v>0</v>
          </cell>
          <cell r="E166">
            <v>0</v>
          </cell>
          <cell r="F166">
            <v>0</v>
          </cell>
          <cell r="G166">
            <v>0</v>
          </cell>
          <cell r="H166">
            <v>0</v>
          </cell>
          <cell r="I166">
            <v>0</v>
          </cell>
          <cell r="J166">
            <v>0</v>
          </cell>
        </row>
        <row r="167">
          <cell r="A167">
            <v>3130</v>
          </cell>
          <cell r="B167" t="str">
            <v>Fabricacion De Hilos Y Cables Aislados</v>
          </cell>
          <cell r="C167">
            <v>0</v>
          </cell>
          <cell r="D167">
            <v>0</v>
          </cell>
          <cell r="E167">
            <v>0</v>
          </cell>
          <cell r="F167">
            <v>0</v>
          </cell>
          <cell r="G167">
            <v>0</v>
          </cell>
          <cell r="H167">
            <v>0</v>
          </cell>
          <cell r="I167">
            <v>0</v>
          </cell>
          <cell r="J167">
            <v>0</v>
          </cell>
        </row>
        <row r="168">
          <cell r="A168">
            <v>3140</v>
          </cell>
          <cell r="B168" t="str">
            <v>Fabricacion De Acumuladoresy De Pilas Electricas</v>
          </cell>
          <cell r="C168">
            <v>0</v>
          </cell>
          <cell r="D168">
            <v>0</v>
          </cell>
          <cell r="E168">
            <v>0</v>
          </cell>
          <cell r="F168">
            <v>0</v>
          </cell>
          <cell r="G168">
            <v>0</v>
          </cell>
          <cell r="H168">
            <v>0</v>
          </cell>
          <cell r="I168">
            <v>0</v>
          </cell>
          <cell r="J168">
            <v>0</v>
          </cell>
        </row>
        <row r="169">
          <cell r="A169">
            <v>3150</v>
          </cell>
          <cell r="B169" t="str">
            <v>Fabricacion De Lamparas Electricas Y Equipo De Iluminacion</v>
          </cell>
          <cell r="C169">
            <v>0</v>
          </cell>
          <cell r="D169">
            <v>0</v>
          </cell>
          <cell r="E169">
            <v>0</v>
          </cell>
          <cell r="F169">
            <v>0</v>
          </cell>
          <cell r="G169">
            <v>0</v>
          </cell>
          <cell r="H169">
            <v>0</v>
          </cell>
          <cell r="I169">
            <v>0</v>
          </cell>
          <cell r="J169">
            <v>0</v>
          </cell>
        </row>
        <row r="170">
          <cell r="A170">
            <v>3190</v>
          </cell>
          <cell r="B170" t="str">
            <v>Fabricacion De Otros Tipos De Equipo Electrico Ncp</v>
          </cell>
          <cell r="C170">
            <v>0</v>
          </cell>
          <cell r="D170">
            <v>0</v>
          </cell>
          <cell r="E170">
            <v>0</v>
          </cell>
          <cell r="F170">
            <v>0</v>
          </cell>
          <cell r="G170">
            <v>0</v>
          </cell>
          <cell r="H170">
            <v>0</v>
          </cell>
          <cell r="I170">
            <v>0</v>
          </cell>
          <cell r="J170">
            <v>0</v>
          </cell>
        </row>
        <row r="171">
          <cell r="A171">
            <v>3210</v>
          </cell>
          <cell r="B171" t="str">
            <v>Fabricacion De Tubos Y Valvulas Electronicas Y De Otros Componentes Electronicos</v>
          </cell>
          <cell r="C171">
            <v>0</v>
          </cell>
          <cell r="D171">
            <v>0</v>
          </cell>
          <cell r="E171">
            <v>0</v>
          </cell>
          <cell r="F171">
            <v>0</v>
          </cell>
          <cell r="G171">
            <v>0</v>
          </cell>
          <cell r="H171">
            <v>0</v>
          </cell>
          <cell r="I171">
            <v>0</v>
          </cell>
          <cell r="J171">
            <v>0</v>
          </cell>
        </row>
        <row r="172">
          <cell r="A172">
            <v>3220</v>
          </cell>
          <cell r="B172" t="str">
            <v>Fabricacion De Transmisores De Radio Y Television Y De Aparatos Para Telefonia Y Telegrafia</v>
          </cell>
          <cell r="C172">
            <v>0</v>
          </cell>
          <cell r="D172">
            <v>0</v>
          </cell>
          <cell r="E172">
            <v>0</v>
          </cell>
          <cell r="F172">
            <v>0</v>
          </cell>
          <cell r="G172">
            <v>0</v>
          </cell>
          <cell r="H172">
            <v>0</v>
          </cell>
          <cell r="I172">
            <v>0</v>
          </cell>
          <cell r="J172">
            <v>0</v>
          </cell>
        </row>
        <row r="173">
          <cell r="A173">
            <v>3230</v>
          </cell>
          <cell r="B173" t="str">
            <v>Fabricacion De Receptores De Radio Y Television, De Aparatos De Grabacion De Reproduccion Del Sonido O Imagen, Y De Productos Conexos</v>
          </cell>
          <cell r="C173">
            <v>0</v>
          </cell>
          <cell r="D173">
            <v>0</v>
          </cell>
          <cell r="E173">
            <v>0</v>
          </cell>
          <cell r="F173">
            <v>0</v>
          </cell>
          <cell r="G173">
            <v>0</v>
          </cell>
          <cell r="H173">
            <v>0</v>
          </cell>
          <cell r="I173">
            <v>0</v>
          </cell>
          <cell r="J173">
            <v>0</v>
          </cell>
        </row>
        <row r="174">
          <cell r="A174">
            <v>3311</v>
          </cell>
          <cell r="B174" t="str">
            <v>Fabricacion De Equipo Medico Y Quirurgico Y De Aparatos Ortesicos Y Protesicos</v>
          </cell>
          <cell r="C174">
            <v>0</v>
          </cell>
          <cell r="D174">
            <v>0</v>
          </cell>
          <cell r="E174">
            <v>0</v>
          </cell>
          <cell r="F174">
            <v>0</v>
          </cell>
          <cell r="G174">
            <v>0</v>
          </cell>
          <cell r="H174">
            <v>0</v>
          </cell>
          <cell r="I174">
            <v>0</v>
          </cell>
          <cell r="J174">
            <v>0</v>
          </cell>
        </row>
        <row r="175">
          <cell r="A175">
            <v>3312</v>
          </cell>
          <cell r="B175" t="str">
            <v>Fabricacion De Instrumentos Y Aparatos Para Medir, Verificar, Ensayar, Navegar Y Otros Fines, Excepto Equipo De Control De Procesos Industriales</v>
          </cell>
          <cell r="C175">
            <v>0</v>
          </cell>
          <cell r="D175">
            <v>0</v>
          </cell>
          <cell r="E175">
            <v>0</v>
          </cell>
          <cell r="F175">
            <v>0</v>
          </cell>
          <cell r="G175">
            <v>0</v>
          </cell>
          <cell r="H175">
            <v>0</v>
          </cell>
          <cell r="I175">
            <v>0</v>
          </cell>
          <cell r="J175">
            <v>0</v>
          </cell>
        </row>
        <row r="176">
          <cell r="A176">
            <v>3313</v>
          </cell>
          <cell r="B176" t="str">
            <v>Fabricacion De Equipo De Control De Procesos Industriales</v>
          </cell>
          <cell r="C176">
            <v>0</v>
          </cell>
          <cell r="D176">
            <v>0</v>
          </cell>
          <cell r="E176">
            <v>0</v>
          </cell>
          <cell r="F176">
            <v>0</v>
          </cell>
          <cell r="G176">
            <v>0</v>
          </cell>
          <cell r="H176">
            <v>0</v>
          </cell>
          <cell r="I176">
            <v>0</v>
          </cell>
          <cell r="J176">
            <v>0</v>
          </cell>
        </row>
        <row r="177">
          <cell r="A177">
            <v>3320</v>
          </cell>
          <cell r="B177" t="str">
            <v>Fabricacion De Instrumentos Opticos Y De Equipo Fotografico</v>
          </cell>
          <cell r="C177">
            <v>0</v>
          </cell>
          <cell r="D177">
            <v>0</v>
          </cell>
          <cell r="E177">
            <v>0</v>
          </cell>
          <cell r="F177">
            <v>0</v>
          </cell>
          <cell r="G177">
            <v>0</v>
          </cell>
          <cell r="H177">
            <v>0</v>
          </cell>
          <cell r="I177">
            <v>0</v>
          </cell>
          <cell r="J177">
            <v>0</v>
          </cell>
        </row>
        <row r="178">
          <cell r="A178">
            <v>3330</v>
          </cell>
          <cell r="B178" t="str">
            <v>Fabricacion De Relojes</v>
          </cell>
          <cell r="C178">
            <v>0</v>
          </cell>
          <cell r="D178">
            <v>0</v>
          </cell>
          <cell r="E178">
            <v>0</v>
          </cell>
          <cell r="F178">
            <v>0</v>
          </cell>
          <cell r="G178">
            <v>0</v>
          </cell>
          <cell r="H178">
            <v>0</v>
          </cell>
          <cell r="I178">
            <v>0</v>
          </cell>
          <cell r="J178">
            <v>0</v>
          </cell>
        </row>
        <row r="179">
          <cell r="A179">
            <v>3410</v>
          </cell>
          <cell r="B179" t="str">
            <v>Fabricacion De Vehiculos Automotores Y Sus Motores</v>
          </cell>
          <cell r="C179">
            <v>0</v>
          </cell>
          <cell r="D179">
            <v>0</v>
          </cell>
          <cell r="E179">
            <v>0</v>
          </cell>
          <cell r="F179">
            <v>0</v>
          </cell>
          <cell r="G179">
            <v>0</v>
          </cell>
          <cell r="H179">
            <v>0</v>
          </cell>
          <cell r="I179">
            <v>0</v>
          </cell>
          <cell r="J179">
            <v>0</v>
          </cell>
        </row>
        <row r="180">
          <cell r="A180">
            <v>3420</v>
          </cell>
          <cell r="B180" t="str">
            <v>Fabricacion De Carrocerias Para Vehiculos Automotores; Fabricacion De Remolques Y Semiremolques</v>
          </cell>
          <cell r="C180">
            <v>0</v>
          </cell>
          <cell r="D180">
            <v>0</v>
          </cell>
          <cell r="E180">
            <v>0</v>
          </cell>
          <cell r="F180">
            <v>0</v>
          </cell>
          <cell r="G180">
            <v>0</v>
          </cell>
          <cell r="H180">
            <v>0</v>
          </cell>
          <cell r="I180">
            <v>0</v>
          </cell>
          <cell r="J180">
            <v>0</v>
          </cell>
        </row>
        <row r="181">
          <cell r="A181">
            <v>3430</v>
          </cell>
          <cell r="B181" t="str">
            <v>Fabricacion De Partes, Piezas Y Accesorios(Autopartes) Para Vehiculos Automotores Y Para Sus Motores</v>
          </cell>
          <cell r="C181">
            <v>0</v>
          </cell>
          <cell r="D181">
            <v>0</v>
          </cell>
          <cell r="E181">
            <v>0</v>
          </cell>
          <cell r="F181">
            <v>0</v>
          </cell>
          <cell r="G181">
            <v>0</v>
          </cell>
          <cell r="H181">
            <v>0</v>
          </cell>
          <cell r="I181">
            <v>0</v>
          </cell>
          <cell r="J181">
            <v>0</v>
          </cell>
        </row>
        <row r="182">
          <cell r="A182">
            <v>3511</v>
          </cell>
          <cell r="B182" t="str">
            <v>Construccion Y Reparacion De Buques</v>
          </cell>
          <cell r="C182">
            <v>0</v>
          </cell>
          <cell r="D182">
            <v>0</v>
          </cell>
          <cell r="E182">
            <v>0</v>
          </cell>
          <cell r="F182">
            <v>0</v>
          </cell>
          <cell r="G182">
            <v>0</v>
          </cell>
          <cell r="H182">
            <v>0</v>
          </cell>
          <cell r="I182">
            <v>0</v>
          </cell>
          <cell r="J182">
            <v>0</v>
          </cell>
        </row>
        <row r="183">
          <cell r="A183">
            <v>3512</v>
          </cell>
          <cell r="B183" t="str">
            <v>Construccion Y Reparacion De Embarcaciones De Recreo Y De Deporte</v>
          </cell>
          <cell r="C183">
            <v>0</v>
          </cell>
          <cell r="D183">
            <v>0</v>
          </cell>
          <cell r="E183">
            <v>0</v>
          </cell>
          <cell r="F183">
            <v>0</v>
          </cell>
          <cell r="G183">
            <v>0</v>
          </cell>
          <cell r="H183">
            <v>0</v>
          </cell>
          <cell r="I183">
            <v>0</v>
          </cell>
          <cell r="J183">
            <v>0</v>
          </cell>
        </row>
        <row r="184">
          <cell r="A184">
            <v>3520</v>
          </cell>
          <cell r="B184" t="str">
            <v>Fabricacion De Locomotoras Y De Material Rodante Para Ferrocarriles Y Tranvias</v>
          </cell>
          <cell r="C184">
            <v>0</v>
          </cell>
          <cell r="D184">
            <v>0</v>
          </cell>
          <cell r="E184">
            <v>0</v>
          </cell>
          <cell r="F184">
            <v>0</v>
          </cell>
          <cell r="G184">
            <v>0</v>
          </cell>
          <cell r="H184">
            <v>0</v>
          </cell>
          <cell r="I184">
            <v>0</v>
          </cell>
          <cell r="J184">
            <v>0</v>
          </cell>
        </row>
        <row r="185">
          <cell r="A185">
            <v>3530</v>
          </cell>
          <cell r="B185" t="str">
            <v>Fabricacion De Aeronaves Y De Naves Espaciales</v>
          </cell>
          <cell r="C185">
            <v>0</v>
          </cell>
          <cell r="D185">
            <v>0</v>
          </cell>
          <cell r="E185">
            <v>0</v>
          </cell>
          <cell r="F185">
            <v>0</v>
          </cell>
          <cell r="G185">
            <v>0</v>
          </cell>
          <cell r="H185">
            <v>0</v>
          </cell>
          <cell r="I185">
            <v>0</v>
          </cell>
          <cell r="J185">
            <v>0</v>
          </cell>
        </row>
        <row r="186">
          <cell r="A186">
            <v>3591</v>
          </cell>
          <cell r="B186" t="str">
            <v>Fabricaion De Motocicletas</v>
          </cell>
          <cell r="C186">
            <v>0</v>
          </cell>
          <cell r="D186">
            <v>0</v>
          </cell>
          <cell r="E186">
            <v>0</v>
          </cell>
          <cell r="F186">
            <v>0</v>
          </cell>
          <cell r="G186">
            <v>0</v>
          </cell>
          <cell r="H186">
            <v>0</v>
          </cell>
          <cell r="I186">
            <v>0</v>
          </cell>
          <cell r="J186">
            <v>0</v>
          </cell>
        </row>
        <row r="187">
          <cell r="A187">
            <v>3592</v>
          </cell>
          <cell r="B187" t="str">
            <v>Fabricacion De Bicicletas Y De Sillones De Ruedas Para Discapacitados</v>
          </cell>
          <cell r="C187">
            <v>0</v>
          </cell>
          <cell r="D187">
            <v>0</v>
          </cell>
          <cell r="E187">
            <v>0</v>
          </cell>
          <cell r="F187">
            <v>0</v>
          </cell>
          <cell r="G187">
            <v>0</v>
          </cell>
          <cell r="H187">
            <v>0</v>
          </cell>
          <cell r="I187">
            <v>0</v>
          </cell>
          <cell r="J187">
            <v>0</v>
          </cell>
        </row>
        <row r="188">
          <cell r="A188">
            <v>3599</v>
          </cell>
          <cell r="B188" t="str">
            <v>Fabricacion De Otros Tipos De Equipo De Transporte Ncp</v>
          </cell>
          <cell r="C188">
            <v>0</v>
          </cell>
          <cell r="D188">
            <v>0</v>
          </cell>
          <cell r="E188">
            <v>0</v>
          </cell>
          <cell r="F188">
            <v>0</v>
          </cell>
          <cell r="G188">
            <v>0</v>
          </cell>
          <cell r="H188">
            <v>0</v>
          </cell>
          <cell r="I188">
            <v>0</v>
          </cell>
          <cell r="J188">
            <v>0</v>
          </cell>
        </row>
        <row r="189">
          <cell r="A189">
            <v>3611</v>
          </cell>
          <cell r="B189" t="str">
            <v>Fabricacion De Muebles Para El Hogar</v>
          </cell>
          <cell r="C189">
            <v>0</v>
          </cell>
          <cell r="D189">
            <v>0</v>
          </cell>
          <cell r="E189">
            <v>0</v>
          </cell>
          <cell r="F189">
            <v>0</v>
          </cell>
          <cell r="G189">
            <v>0</v>
          </cell>
          <cell r="H189">
            <v>0</v>
          </cell>
          <cell r="I189">
            <v>0</v>
          </cell>
          <cell r="J189">
            <v>0</v>
          </cell>
        </row>
        <row r="190">
          <cell r="A190">
            <v>3612</v>
          </cell>
          <cell r="B190" t="str">
            <v>Fabricaion De Muebles Para Oficina</v>
          </cell>
          <cell r="C190">
            <v>0</v>
          </cell>
          <cell r="D190">
            <v>0</v>
          </cell>
          <cell r="E190">
            <v>0</v>
          </cell>
          <cell r="F190">
            <v>0</v>
          </cell>
          <cell r="G190">
            <v>0</v>
          </cell>
          <cell r="H190">
            <v>0</v>
          </cell>
          <cell r="I190">
            <v>0</v>
          </cell>
          <cell r="J190">
            <v>0</v>
          </cell>
        </row>
        <row r="191">
          <cell r="A191">
            <v>3613</v>
          </cell>
          <cell r="B191" t="str">
            <v>Fabricacion De Muebles Para Comercio Y Servicios</v>
          </cell>
          <cell r="C191">
            <v>0</v>
          </cell>
          <cell r="D191">
            <v>0</v>
          </cell>
          <cell r="E191">
            <v>0</v>
          </cell>
          <cell r="F191">
            <v>0</v>
          </cell>
          <cell r="G191">
            <v>0</v>
          </cell>
          <cell r="H191">
            <v>0</v>
          </cell>
          <cell r="I191">
            <v>0</v>
          </cell>
          <cell r="J191">
            <v>0</v>
          </cell>
        </row>
        <row r="192">
          <cell r="A192">
            <v>3614</v>
          </cell>
          <cell r="B192" t="str">
            <v>Fabricacion De Colchones Y Somieres</v>
          </cell>
          <cell r="C192">
            <v>0</v>
          </cell>
          <cell r="D192">
            <v>0</v>
          </cell>
          <cell r="E192">
            <v>0</v>
          </cell>
          <cell r="F192">
            <v>0</v>
          </cell>
          <cell r="G192">
            <v>0</v>
          </cell>
          <cell r="H192">
            <v>0</v>
          </cell>
          <cell r="I192">
            <v>0</v>
          </cell>
          <cell r="J192">
            <v>0</v>
          </cell>
        </row>
        <row r="193">
          <cell r="A193">
            <v>3619</v>
          </cell>
          <cell r="B193" t="str">
            <v>Fabricacion De Otros Muebles Ncp</v>
          </cell>
          <cell r="C193">
            <v>0</v>
          </cell>
          <cell r="D193">
            <v>0</v>
          </cell>
          <cell r="E193">
            <v>0</v>
          </cell>
          <cell r="F193">
            <v>0</v>
          </cell>
          <cell r="G193">
            <v>0</v>
          </cell>
          <cell r="H193">
            <v>0</v>
          </cell>
          <cell r="I193">
            <v>0</v>
          </cell>
          <cell r="J193">
            <v>0</v>
          </cell>
        </row>
        <row r="194">
          <cell r="A194">
            <v>3691</v>
          </cell>
          <cell r="B194" t="str">
            <v>Fabricacion De Joyas Y De Articulos Conexos</v>
          </cell>
          <cell r="C194">
            <v>0</v>
          </cell>
          <cell r="D194">
            <v>0</v>
          </cell>
          <cell r="E194">
            <v>0</v>
          </cell>
          <cell r="F194">
            <v>0</v>
          </cell>
          <cell r="G194">
            <v>0</v>
          </cell>
          <cell r="H194">
            <v>0</v>
          </cell>
          <cell r="I194">
            <v>0</v>
          </cell>
          <cell r="J194">
            <v>0</v>
          </cell>
        </row>
        <row r="195">
          <cell r="A195">
            <v>3692</v>
          </cell>
          <cell r="B195" t="str">
            <v>Fabricacion De Instrumentos Musicales</v>
          </cell>
          <cell r="C195">
            <v>0</v>
          </cell>
          <cell r="D195">
            <v>0</v>
          </cell>
          <cell r="E195">
            <v>0</v>
          </cell>
          <cell r="F195">
            <v>0</v>
          </cell>
          <cell r="G195">
            <v>0</v>
          </cell>
          <cell r="H195">
            <v>0</v>
          </cell>
          <cell r="I195">
            <v>0</v>
          </cell>
          <cell r="J195">
            <v>0</v>
          </cell>
        </row>
        <row r="196">
          <cell r="A196">
            <v>3693</v>
          </cell>
          <cell r="B196" t="str">
            <v>Fabricacion De Articulos Deportivos</v>
          </cell>
          <cell r="C196">
            <v>0</v>
          </cell>
          <cell r="D196">
            <v>0</v>
          </cell>
          <cell r="E196">
            <v>0</v>
          </cell>
          <cell r="F196">
            <v>0</v>
          </cell>
          <cell r="G196">
            <v>0</v>
          </cell>
          <cell r="H196">
            <v>0</v>
          </cell>
          <cell r="I196">
            <v>0</v>
          </cell>
          <cell r="J196">
            <v>0</v>
          </cell>
        </row>
        <row r="197">
          <cell r="A197">
            <v>3694</v>
          </cell>
          <cell r="B197" t="str">
            <v>Fabricacion De Juegos Y Juguetes</v>
          </cell>
          <cell r="C197">
            <v>0</v>
          </cell>
          <cell r="D197">
            <v>0</v>
          </cell>
          <cell r="E197">
            <v>0</v>
          </cell>
          <cell r="F197">
            <v>0</v>
          </cell>
          <cell r="G197">
            <v>0</v>
          </cell>
          <cell r="H197">
            <v>0</v>
          </cell>
          <cell r="I197">
            <v>0</v>
          </cell>
          <cell r="J197">
            <v>0</v>
          </cell>
        </row>
        <row r="198">
          <cell r="A198">
            <v>3699</v>
          </cell>
          <cell r="B198" t="str">
            <v>Otras Industrias Manufactureras Ncp</v>
          </cell>
          <cell r="C198">
            <v>0</v>
          </cell>
          <cell r="D198">
            <v>0</v>
          </cell>
          <cell r="E198">
            <v>0</v>
          </cell>
          <cell r="F198">
            <v>0</v>
          </cell>
          <cell r="G198">
            <v>0</v>
          </cell>
          <cell r="H198">
            <v>0</v>
          </cell>
          <cell r="I198">
            <v>0</v>
          </cell>
          <cell r="J198">
            <v>0</v>
          </cell>
        </row>
        <row r="199">
          <cell r="A199">
            <v>3710</v>
          </cell>
          <cell r="B199" t="str">
            <v>Reciclaje De Desperdicios Y De Desechos Metalicos</v>
          </cell>
          <cell r="C199">
            <v>0</v>
          </cell>
          <cell r="D199">
            <v>0</v>
          </cell>
          <cell r="E199">
            <v>0</v>
          </cell>
          <cell r="F199">
            <v>0</v>
          </cell>
          <cell r="G199">
            <v>0</v>
          </cell>
          <cell r="H199">
            <v>0</v>
          </cell>
          <cell r="I199">
            <v>0</v>
          </cell>
          <cell r="J199">
            <v>0</v>
          </cell>
        </row>
        <row r="200">
          <cell r="A200">
            <v>3720</v>
          </cell>
          <cell r="B200" t="str">
            <v>Reciclaje De Desperdicios Y Desechos No Metalicos</v>
          </cell>
          <cell r="C200">
            <v>0</v>
          </cell>
          <cell r="D200">
            <v>0</v>
          </cell>
          <cell r="E200">
            <v>0</v>
          </cell>
          <cell r="F200">
            <v>0</v>
          </cell>
          <cell r="G200">
            <v>0</v>
          </cell>
          <cell r="H200">
            <v>0</v>
          </cell>
          <cell r="I200">
            <v>0</v>
          </cell>
          <cell r="J200">
            <v>0</v>
          </cell>
        </row>
        <row r="201">
          <cell r="A201">
            <v>4010</v>
          </cell>
          <cell r="B201" t="str">
            <v>Generacion, Captacion Y Distrivbucion De Energia Electrica</v>
          </cell>
          <cell r="C201">
            <v>0</v>
          </cell>
          <cell r="D201">
            <v>0</v>
          </cell>
          <cell r="E201">
            <v>0</v>
          </cell>
          <cell r="F201">
            <v>0</v>
          </cell>
          <cell r="G201">
            <v>0</v>
          </cell>
          <cell r="H201">
            <v>0</v>
          </cell>
          <cell r="I201">
            <v>0</v>
          </cell>
          <cell r="J201">
            <v>0</v>
          </cell>
        </row>
        <row r="202">
          <cell r="A202">
            <v>4020</v>
          </cell>
          <cell r="B202" t="str">
            <v>Fabricacion De Gas; Distribucion De Combustibles Gaseosos Por Tuberias</v>
          </cell>
          <cell r="C202">
            <v>0</v>
          </cell>
          <cell r="D202">
            <v>0</v>
          </cell>
          <cell r="E202">
            <v>0</v>
          </cell>
          <cell r="F202">
            <v>0</v>
          </cell>
          <cell r="G202">
            <v>0</v>
          </cell>
          <cell r="H202">
            <v>0</v>
          </cell>
          <cell r="I202">
            <v>0</v>
          </cell>
          <cell r="J202">
            <v>0</v>
          </cell>
        </row>
        <row r="203">
          <cell r="A203">
            <v>4030</v>
          </cell>
          <cell r="B203" t="str">
            <v>Suministro De Vapor Y Agua Caliente</v>
          </cell>
          <cell r="C203">
            <v>0</v>
          </cell>
          <cell r="D203">
            <v>0</v>
          </cell>
          <cell r="E203">
            <v>0</v>
          </cell>
          <cell r="F203">
            <v>0</v>
          </cell>
          <cell r="G203">
            <v>0</v>
          </cell>
          <cell r="H203">
            <v>0</v>
          </cell>
          <cell r="I203">
            <v>0</v>
          </cell>
          <cell r="J203">
            <v>0</v>
          </cell>
        </row>
        <row r="204">
          <cell r="A204">
            <v>4100</v>
          </cell>
          <cell r="B204" t="str">
            <v>Captacion, Depuracion Y Distribucion De Agua</v>
          </cell>
          <cell r="C204">
            <v>0</v>
          </cell>
          <cell r="D204">
            <v>0</v>
          </cell>
          <cell r="E204">
            <v>0</v>
          </cell>
          <cell r="F204">
            <v>0</v>
          </cell>
          <cell r="G204">
            <v>0</v>
          </cell>
          <cell r="H204">
            <v>0</v>
          </cell>
          <cell r="I204">
            <v>0</v>
          </cell>
          <cell r="J204">
            <v>0</v>
          </cell>
        </row>
        <row r="205">
          <cell r="A205">
            <v>4511</v>
          </cell>
          <cell r="B205" t="str">
            <v>Trabajos De Demolicion Y Preparacion De Terrenos Para La Construccion De Edificaciones</v>
          </cell>
          <cell r="C205">
            <v>0</v>
          </cell>
          <cell r="D205">
            <v>0</v>
          </cell>
          <cell r="E205">
            <v>0</v>
          </cell>
          <cell r="F205">
            <v>0</v>
          </cell>
          <cell r="G205">
            <v>0</v>
          </cell>
          <cell r="H205">
            <v>0</v>
          </cell>
          <cell r="I205">
            <v>0</v>
          </cell>
          <cell r="J205">
            <v>0</v>
          </cell>
        </row>
        <row r="206">
          <cell r="A206">
            <v>4512</v>
          </cell>
          <cell r="B206" t="str">
            <v>Trabajos De Preparacion De Terrenos Para Obras Civiles</v>
          </cell>
          <cell r="C206">
            <v>0</v>
          </cell>
          <cell r="D206">
            <v>0</v>
          </cell>
          <cell r="E206">
            <v>0</v>
          </cell>
          <cell r="F206">
            <v>0</v>
          </cell>
          <cell r="G206">
            <v>0</v>
          </cell>
          <cell r="H206">
            <v>0</v>
          </cell>
          <cell r="I206">
            <v>0</v>
          </cell>
          <cell r="J206">
            <v>0</v>
          </cell>
        </row>
        <row r="207">
          <cell r="A207">
            <v>4521</v>
          </cell>
          <cell r="B207" t="str">
            <v>Construccion De Edificaciones Para Uso Residencial</v>
          </cell>
          <cell r="C207">
            <v>0</v>
          </cell>
          <cell r="D207">
            <v>0</v>
          </cell>
          <cell r="E207">
            <v>0</v>
          </cell>
          <cell r="F207">
            <v>0</v>
          </cell>
          <cell r="G207">
            <v>0</v>
          </cell>
          <cell r="H207">
            <v>0</v>
          </cell>
          <cell r="I207">
            <v>0</v>
          </cell>
          <cell r="J207">
            <v>0</v>
          </cell>
        </row>
        <row r="208">
          <cell r="A208">
            <v>4522</v>
          </cell>
          <cell r="B208" t="str">
            <v>Construccion De Edificaciones Para Uso No Residencial</v>
          </cell>
          <cell r="C208">
            <v>0</v>
          </cell>
          <cell r="D208">
            <v>0</v>
          </cell>
          <cell r="E208">
            <v>0</v>
          </cell>
          <cell r="F208">
            <v>0</v>
          </cell>
          <cell r="G208">
            <v>0</v>
          </cell>
          <cell r="H208">
            <v>0</v>
          </cell>
          <cell r="I208">
            <v>0</v>
          </cell>
          <cell r="J208">
            <v>0</v>
          </cell>
        </row>
        <row r="209">
          <cell r="A209">
            <v>4530</v>
          </cell>
          <cell r="B209" t="str">
            <v>Construccion De Obras De Ingenieria Civil</v>
          </cell>
          <cell r="C209">
            <v>0</v>
          </cell>
          <cell r="D209">
            <v>0</v>
          </cell>
          <cell r="E209">
            <v>0</v>
          </cell>
          <cell r="F209">
            <v>0</v>
          </cell>
          <cell r="G209">
            <v>0</v>
          </cell>
          <cell r="H209">
            <v>0</v>
          </cell>
          <cell r="I209">
            <v>0</v>
          </cell>
          <cell r="J209">
            <v>0</v>
          </cell>
        </row>
        <row r="210">
          <cell r="A210">
            <v>4541</v>
          </cell>
          <cell r="B210" t="str">
            <v>Instalaciones Hidraulicas Y Trabajos Conexos</v>
          </cell>
          <cell r="C210">
            <v>0</v>
          </cell>
          <cell r="D210">
            <v>0</v>
          </cell>
          <cell r="E210">
            <v>0</v>
          </cell>
          <cell r="F210">
            <v>0</v>
          </cell>
          <cell r="G210">
            <v>0</v>
          </cell>
          <cell r="H210">
            <v>0</v>
          </cell>
          <cell r="I210">
            <v>0</v>
          </cell>
          <cell r="J210">
            <v>0</v>
          </cell>
        </row>
        <row r="211">
          <cell r="A211">
            <v>4542</v>
          </cell>
          <cell r="B211" t="str">
            <v>Trabajos De Electricidad</v>
          </cell>
          <cell r="C211">
            <v>0</v>
          </cell>
          <cell r="D211">
            <v>0</v>
          </cell>
          <cell r="E211">
            <v>0</v>
          </cell>
          <cell r="F211">
            <v>0</v>
          </cell>
          <cell r="G211">
            <v>0</v>
          </cell>
          <cell r="H211">
            <v>0</v>
          </cell>
          <cell r="I211">
            <v>0</v>
          </cell>
          <cell r="J211">
            <v>0</v>
          </cell>
        </row>
        <row r="212">
          <cell r="A212">
            <v>4543</v>
          </cell>
          <cell r="B212" t="str">
            <v>Trabajos De Instalacion De Equipos</v>
          </cell>
          <cell r="C212">
            <v>0</v>
          </cell>
          <cell r="D212">
            <v>0</v>
          </cell>
          <cell r="E212">
            <v>0</v>
          </cell>
          <cell r="F212">
            <v>0</v>
          </cell>
          <cell r="G212">
            <v>0</v>
          </cell>
          <cell r="H212">
            <v>0</v>
          </cell>
          <cell r="I212">
            <v>0</v>
          </cell>
          <cell r="J212">
            <v>0</v>
          </cell>
        </row>
        <row r="213">
          <cell r="A213">
            <v>4549</v>
          </cell>
          <cell r="B213" t="str">
            <v>Otros Trabajos De Acondicionamiento</v>
          </cell>
          <cell r="C213">
            <v>0</v>
          </cell>
          <cell r="D213">
            <v>0</v>
          </cell>
          <cell r="E213">
            <v>0</v>
          </cell>
          <cell r="F213">
            <v>0</v>
          </cell>
          <cell r="G213">
            <v>0</v>
          </cell>
          <cell r="H213">
            <v>0</v>
          </cell>
          <cell r="I213">
            <v>0</v>
          </cell>
          <cell r="J213">
            <v>0</v>
          </cell>
        </row>
        <row r="214">
          <cell r="A214">
            <v>4551</v>
          </cell>
          <cell r="B214" t="str">
            <v>Ornamentacion E Instalacion De Vidrios Y Ventanas</v>
          </cell>
          <cell r="C214">
            <v>0</v>
          </cell>
          <cell r="D214">
            <v>0</v>
          </cell>
          <cell r="E214">
            <v>0</v>
          </cell>
          <cell r="F214">
            <v>0</v>
          </cell>
          <cell r="G214">
            <v>0</v>
          </cell>
          <cell r="H214">
            <v>0</v>
          </cell>
          <cell r="I214">
            <v>0</v>
          </cell>
          <cell r="J214">
            <v>0</v>
          </cell>
        </row>
        <row r="215">
          <cell r="A215">
            <v>4552</v>
          </cell>
          <cell r="B215" t="str">
            <v>Trabajos De Pintura Y Terminacion De Muros Y Pisos</v>
          </cell>
          <cell r="C215">
            <v>0</v>
          </cell>
          <cell r="D215">
            <v>0</v>
          </cell>
          <cell r="E215">
            <v>0</v>
          </cell>
          <cell r="F215">
            <v>0</v>
          </cell>
          <cell r="G215">
            <v>0</v>
          </cell>
          <cell r="H215">
            <v>0</v>
          </cell>
          <cell r="I215">
            <v>0</v>
          </cell>
          <cell r="J215">
            <v>0</v>
          </cell>
        </row>
        <row r="216">
          <cell r="A216">
            <v>4559</v>
          </cell>
          <cell r="B216" t="str">
            <v>Otros Trabajos De Terminacion Y Acabado</v>
          </cell>
          <cell r="C216">
            <v>0</v>
          </cell>
          <cell r="D216">
            <v>0</v>
          </cell>
          <cell r="E216">
            <v>0</v>
          </cell>
          <cell r="F216">
            <v>0</v>
          </cell>
          <cell r="G216">
            <v>0</v>
          </cell>
          <cell r="H216">
            <v>0</v>
          </cell>
          <cell r="I216">
            <v>0</v>
          </cell>
          <cell r="J216">
            <v>0</v>
          </cell>
        </row>
        <row r="217">
          <cell r="A217">
            <v>4560</v>
          </cell>
          <cell r="B217" t="str">
            <v>Alquiler De Equipo Para Construccion Y Demolicion Dotado De Operarios</v>
          </cell>
          <cell r="C217">
            <v>0</v>
          </cell>
          <cell r="D217">
            <v>0</v>
          </cell>
          <cell r="E217">
            <v>0</v>
          </cell>
          <cell r="F217">
            <v>0</v>
          </cell>
          <cell r="G217">
            <v>0</v>
          </cell>
          <cell r="H217">
            <v>0</v>
          </cell>
          <cell r="I217">
            <v>0</v>
          </cell>
          <cell r="J217">
            <v>0</v>
          </cell>
        </row>
        <row r="218">
          <cell r="A218">
            <v>5011</v>
          </cell>
          <cell r="B218" t="str">
            <v>Comercio De Vehiculos Automotores Nuevos</v>
          </cell>
          <cell r="C218">
            <v>0</v>
          </cell>
          <cell r="D218">
            <v>0</v>
          </cell>
          <cell r="E218">
            <v>0</v>
          </cell>
          <cell r="F218">
            <v>0</v>
          </cell>
          <cell r="G218">
            <v>0</v>
          </cell>
          <cell r="H218">
            <v>0</v>
          </cell>
          <cell r="I218">
            <v>0</v>
          </cell>
          <cell r="J218">
            <v>0</v>
          </cell>
        </row>
        <row r="219">
          <cell r="A219">
            <v>5012</v>
          </cell>
          <cell r="B219" t="str">
            <v>Comercio De Vehiculos Automotores Usados</v>
          </cell>
          <cell r="C219">
            <v>0</v>
          </cell>
          <cell r="D219">
            <v>0</v>
          </cell>
          <cell r="E219">
            <v>0</v>
          </cell>
          <cell r="F219">
            <v>0</v>
          </cell>
          <cell r="G219">
            <v>0</v>
          </cell>
          <cell r="H219">
            <v>0</v>
          </cell>
          <cell r="I219">
            <v>0</v>
          </cell>
          <cell r="J219">
            <v>0</v>
          </cell>
        </row>
        <row r="220">
          <cell r="A220">
            <v>5020</v>
          </cell>
          <cell r="B220" t="str">
            <v>Mantenimiento Y Reparacion De Vehiculos Automotores</v>
          </cell>
          <cell r="C220">
            <v>0</v>
          </cell>
          <cell r="D220">
            <v>0</v>
          </cell>
          <cell r="E220">
            <v>0</v>
          </cell>
          <cell r="F220">
            <v>0</v>
          </cell>
          <cell r="G220">
            <v>0</v>
          </cell>
          <cell r="H220">
            <v>0</v>
          </cell>
          <cell r="I220">
            <v>0</v>
          </cell>
          <cell r="J220">
            <v>0</v>
          </cell>
        </row>
        <row r="221">
          <cell r="A221">
            <v>5030</v>
          </cell>
          <cell r="B221" t="str">
            <v>Comercio De Partes, Piezas (Autopartes) Y Accesorios (Lujos) Para Vehiculos Automotores</v>
          </cell>
          <cell r="C221">
            <v>0</v>
          </cell>
          <cell r="D221">
            <v>0</v>
          </cell>
          <cell r="E221">
            <v>0</v>
          </cell>
          <cell r="F221">
            <v>0</v>
          </cell>
          <cell r="G221">
            <v>0</v>
          </cell>
          <cell r="H221">
            <v>0</v>
          </cell>
          <cell r="I221">
            <v>0</v>
          </cell>
          <cell r="J221">
            <v>0</v>
          </cell>
        </row>
        <row r="222">
          <cell r="A222">
            <v>5040</v>
          </cell>
          <cell r="B222" t="str">
            <v>Comercio, Mantenimiento Y Reparacion De Motocicletas Y De Sus Partes, Piezas Y Accesorios</v>
          </cell>
          <cell r="C222">
            <v>0</v>
          </cell>
          <cell r="D222">
            <v>0</v>
          </cell>
          <cell r="E222">
            <v>0</v>
          </cell>
          <cell r="F222">
            <v>0</v>
          </cell>
          <cell r="G222">
            <v>0</v>
          </cell>
          <cell r="H222">
            <v>0</v>
          </cell>
          <cell r="I222">
            <v>0</v>
          </cell>
          <cell r="J222">
            <v>0</v>
          </cell>
        </row>
        <row r="223">
          <cell r="A223">
            <v>5051</v>
          </cell>
          <cell r="B223" t="str">
            <v>Comercio Al Por Menor De Combustible Para Automotores</v>
          </cell>
          <cell r="C223">
            <v>0</v>
          </cell>
          <cell r="D223">
            <v>0</v>
          </cell>
          <cell r="E223">
            <v>0</v>
          </cell>
          <cell r="F223">
            <v>0</v>
          </cell>
          <cell r="G223">
            <v>0</v>
          </cell>
          <cell r="H223">
            <v>0</v>
          </cell>
          <cell r="I223">
            <v>0</v>
          </cell>
          <cell r="J223">
            <v>0</v>
          </cell>
        </row>
        <row r="224">
          <cell r="A224">
            <v>5052</v>
          </cell>
          <cell r="B224" t="str">
            <v>Comercio Al Por Menor De Lubricantes (Aceites, Grasas), Aditivos Y Productos De Limpieza Para Vehiculos Automotores</v>
          </cell>
          <cell r="C224">
            <v>0</v>
          </cell>
          <cell r="D224">
            <v>0</v>
          </cell>
          <cell r="E224">
            <v>0</v>
          </cell>
          <cell r="F224">
            <v>0</v>
          </cell>
          <cell r="G224">
            <v>0</v>
          </cell>
          <cell r="H224">
            <v>0</v>
          </cell>
          <cell r="I224">
            <v>0</v>
          </cell>
          <cell r="J224">
            <v>0</v>
          </cell>
        </row>
        <row r="225">
          <cell r="A225">
            <v>5111</v>
          </cell>
          <cell r="B225" t="str">
            <v>Comercio Al Por Mayor A Cambio  De Una Retribucion O Por Contrata De Productos Agricolas (Excepto Cafe), Silvicolas Y De Animales Vivos Y Sus Produ</v>
          </cell>
          <cell r="C225">
            <v>0</v>
          </cell>
          <cell r="D225">
            <v>0</v>
          </cell>
          <cell r="E225">
            <v>0</v>
          </cell>
          <cell r="F225">
            <v>0</v>
          </cell>
          <cell r="G225">
            <v>0</v>
          </cell>
          <cell r="H225">
            <v>0</v>
          </cell>
          <cell r="I225">
            <v>0</v>
          </cell>
          <cell r="J225">
            <v>0</v>
          </cell>
        </row>
        <row r="226">
          <cell r="A226">
            <v>5112</v>
          </cell>
          <cell r="B226" t="str">
            <v>Comercio Al Por Mayor A Cambio De Una Retribucion O Por Contrata De Cafe Pergamino</v>
          </cell>
          <cell r="C226">
            <v>0</v>
          </cell>
          <cell r="D226">
            <v>0</v>
          </cell>
          <cell r="E226">
            <v>0</v>
          </cell>
          <cell r="F226">
            <v>0</v>
          </cell>
          <cell r="G226">
            <v>0</v>
          </cell>
          <cell r="H226">
            <v>0</v>
          </cell>
          <cell r="I226">
            <v>0</v>
          </cell>
          <cell r="J226">
            <v>0</v>
          </cell>
        </row>
        <row r="227">
          <cell r="A227">
            <v>5113</v>
          </cell>
          <cell r="B227" t="str">
            <v>Comercio Al Por Mayor A Cambio De Una Retribucion O Por Contrata De Productos Manufacturados</v>
          </cell>
          <cell r="C227">
            <v>0</v>
          </cell>
          <cell r="D227">
            <v>0</v>
          </cell>
          <cell r="E227">
            <v>0</v>
          </cell>
          <cell r="F227">
            <v>0</v>
          </cell>
          <cell r="G227">
            <v>0</v>
          </cell>
          <cell r="H227">
            <v>0</v>
          </cell>
          <cell r="I227">
            <v>0</v>
          </cell>
          <cell r="J227">
            <v>0</v>
          </cell>
        </row>
        <row r="228">
          <cell r="A228">
            <v>5119</v>
          </cell>
          <cell r="B228" t="str">
            <v>Comercio Al Por Mayor A Cambio De Uhna Retribucion O Por Contrata De Productos Ncp</v>
          </cell>
          <cell r="C228">
            <v>0</v>
          </cell>
          <cell r="D228">
            <v>0</v>
          </cell>
          <cell r="E228">
            <v>0</v>
          </cell>
          <cell r="F228">
            <v>0</v>
          </cell>
          <cell r="G228">
            <v>0</v>
          </cell>
          <cell r="H228">
            <v>0</v>
          </cell>
          <cell r="I228">
            <v>0</v>
          </cell>
          <cell r="J228">
            <v>0</v>
          </cell>
        </row>
        <row r="229">
          <cell r="A229">
            <v>5121</v>
          </cell>
          <cell r="B229" t="str">
            <v>Comercio Al Por Mayor De Materias Primas, Productos Agricolas, Excepto Cafe Y Flores</v>
          </cell>
          <cell r="C229">
            <v>0</v>
          </cell>
          <cell r="D229">
            <v>0</v>
          </cell>
          <cell r="E229">
            <v>0</v>
          </cell>
          <cell r="F229">
            <v>0</v>
          </cell>
          <cell r="G229">
            <v>0</v>
          </cell>
          <cell r="H229">
            <v>0</v>
          </cell>
          <cell r="I229">
            <v>0</v>
          </cell>
          <cell r="J229">
            <v>0</v>
          </cell>
        </row>
        <row r="230">
          <cell r="A230">
            <v>5122</v>
          </cell>
          <cell r="B230" t="str">
            <v>Comercio Al Por Mayor De Cafe Pergamino</v>
          </cell>
          <cell r="C230">
            <v>0</v>
          </cell>
          <cell r="D230">
            <v>0</v>
          </cell>
          <cell r="E230">
            <v>0</v>
          </cell>
          <cell r="F230">
            <v>0</v>
          </cell>
          <cell r="G230">
            <v>0</v>
          </cell>
          <cell r="H230">
            <v>0</v>
          </cell>
          <cell r="I230">
            <v>0</v>
          </cell>
          <cell r="J230">
            <v>0</v>
          </cell>
        </row>
        <row r="231">
          <cell r="A231">
            <v>5123</v>
          </cell>
          <cell r="B231" t="str">
            <v>Comercio Al Por Mayor De Flores Y Plantas Ornamentales</v>
          </cell>
          <cell r="C231">
            <v>0</v>
          </cell>
          <cell r="D231">
            <v>0</v>
          </cell>
          <cell r="E231">
            <v>0</v>
          </cell>
          <cell r="F231">
            <v>0</v>
          </cell>
          <cell r="G231">
            <v>0</v>
          </cell>
          <cell r="H231">
            <v>0</v>
          </cell>
          <cell r="I231">
            <v>0</v>
          </cell>
          <cell r="J231">
            <v>0</v>
          </cell>
        </row>
        <row r="232">
          <cell r="A232">
            <v>5124</v>
          </cell>
          <cell r="B232" t="str">
            <v>Comercio Al Por Mayor De Materias Primas Pecuarias, Animales Vivos</v>
          </cell>
          <cell r="C232">
            <v>0</v>
          </cell>
          <cell r="D232">
            <v>0</v>
          </cell>
          <cell r="E232">
            <v>0</v>
          </cell>
          <cell r="F232">
            <v>0</v>
          </cell>
          <cell r="G232">
            <v>0</v>
          </cell>
          <cell r="H232">
            <v>0</v>
          </cell>
          <cell r="I232">
            <v>0</v>
          </cell>
          <cell r="J232">
            <v>0</v>
          </cell>
        </row>
        <row r="233">
          <cell r="A233">
            <v>5125</v>
          </cell>
          <cell r="B233" t="str">
            <v>Comercio Al Por Mayor De Productos Alimenticios, Excepto Cafe Trillado</v>
          </cell>
          <cell r="C233">
            <v>0</v>
          </cell>
          <cell r="D233">
            <v>0</v>
          </cell>
          <cell r="E233">
            <v>0</v>
          </cell>
          <cell r="F233">
            <v>0</v>
          </cell>
          <cell r="G233">
            <v>0</v>
          </cell>
          <cell r="H233">
            <v>0</v>
          </cell>
          <cell r="I233">
            <v>0</v>
          </cell>
          <cell r="J233">
            <v>0</v>
          </cell>
        </row>
        <row r="234">
          <cell r="A234">
            <v>5126</v>
          </cell>
          <cell r="B234" t="str">
            <v>Comercio Al Por Mayor De Cafe Trillado</v>
          </cell>
          <cell r="C234">
            <v>0</v>
          </cell>
          <cell r="D234">
            <v>0</v>
          </cell>
          <cell r="E234">
            <v>0</v>
          </cell>
          <cell r="F234">
            <v>0</v>
          </cell>
          <cell r="G234">
            <v>0</v>
          </cell>
          <cell r="H234">
            <v>0</v>
          </cell>
          <cell r="I234">
            <v>0</v>
          </cell>
          <cell r="J234">
            <v>0</v>
          </cell>
        </row>
        <row r="235">
          <cell r="A235">
            <v>5127</v>
          </cell>
          <cell r="B235" t="str">
            <v>Comercio Al Por Mayor De Bebidas Y Productos Del Tabaco</v>
          </cell>
          <cell r="C235">
            <v>0</v>
          </cell>
          <cell r="D235">
            <v>0</v>
          </cell>
          <cell r="E235">
            <v>0</v>
          </cell>
          <cell r="F235">
            <v>0</v>
          </cell>
          <cell r="G235">
            <v>0</v>
          </cell>
          <cell r="H235">
            <v>0</v>
          </cell>
          <cell r="I235">
            <v>0</v>
          </cell>
          <cell r="J235">
            <v>0</v>
          </cell>
        </row>
        <row r="236">
          <cell r="A236">
            <v>5131</v>
          </cell>
          <cell r="B236" t="str">
            <v>Comercio al por mayor de productos textiles, productos confeccionados para uso domestico</v>
          </cell>
          <cell r="C236">
            <v>0</v>
          </cell>
          <cell r="D236">
            <v>0</v>
          </cell>
          <cell r="E236">
            <v>0</v>
          </cell>
          <cell r="F236">
            <v>0</v>
          </cell>
          <cell r="G236">
            <v>0</v>
          </cell>
          <cell r="H236">
            <v>0</v>
          </cell>
          <cell r="I236">
            <v>0</v>
          </cell>
          <cell r="J236">
            <v>0</v>
          </cell>
        </row>
        <row r="237">
          <cell r="A237">
            <v>5132</v>
          </cell>
          <cell r="B237" t="str">
            <v>Comercio Al Por Mayor De Prendas De Vestir, Accesorios De Prendas De Vestir Y Articulos Elaborados En Piel</v>
          </cell>
          <cell r="C237">
            <v>0</v>
          </cell>
          <cell r="D237">
            <v>0</v>
          </cell>
          <cell r="E237">
            <v>0</v>
          </cell>
          <cell r="F237">
            <v>0</v>
          </cell>
          <cell r="G237">
            <v>0</v>
          </cell>
          <cell r="H237">
            <v>0</v>
          </cell>
          <cell r="I237">
            <v>0</v>
          </cell>
          <cell r="J237">
            <v>0</v>
          </cell>
        </row>
        <row r="238">
          <cell r="A238">
            <v>5133</v>
          </cell>
          <cell r="B238" t="str">
            <v>Comercio Al Por Mayor De Calzado</v>
          </cell>
          <cell r="C238">
            <v>0</v>
          </cell>
          <cell r="D238">
            <v>0</v>
          </cell>
          <cell r="E238">
            <v>0</v>
          </cell>
          <cell r="F238">
            <v>0</v>
          </cell>
          <cell r="G238">
            <v>0</v>
          </cell>
          <cell r="H238">
            <v>0</v>
          </cell>
          <cell r="I238">
            <v>0</v>
          </cell>
          <cell r="J238">
            <v>0</v>
          </cell>
        </row>
        <row r="239">
          <cell r="A239">
            <v>5134</v>
          </cell>
          <cell r="B239" t="str">
            <v>Comercio Al Por Mayor De Aparatos, Articulos Y Equipos De Uso Domestico</v>
          </cell>
          <cell r="C239">
            <v>0</v>
          </cell>
          <cell r="D239">
            <v>0</v>
          </cell>
          <cell r="E239">
            <v>0</v>
          </cell>
          <cell r="F239">
            <v>0</v>
          </cell>
          <cell r="G239">
            <v>0</v>
          </cell>
          <cell r="H239">
            <v>0</v>
          </cell>
          <cell r="I239">
            <v>0</v>
          </cell>
          <cell r="J239">
            <v>0</v>
          </cell>
        </row>
        <row r="240">
          <cell r="A240">
            <v>5135</v>
          </cell>
          <cell r="B240" t="str">
            <v>Comercio Al Por Mayor De Productos Farmaceuticos, Medicinales, Cosmeticos Y De Tocador</v>
          </cell>
          <cell r="C240">
            <v>0</v>
          </cell>
          <cell r="D240">
            <v>0</v>
          </cell>
          <cell r="E240">
            <v>0</v>
          </cell>
          <cell r="F240">
            <v>0</v>
          </cell>
          <cell r="G240">
            <v>0</v>
          </cell>
          <cell r="H240">
            <v>0</v>
          </cell>
          <cell r="I240">
            <v>0</v>
          </cell>
          <cell r="J240">
            <v>0</v>
          </cell>
        </row>
        <row r="241">
          <cell r="A241">
            <v>5136</v>
          </cell>
          <cell r="B241" t="str">
            <v>Comercio Al Por Mayor De Equipos medicos, Quirurgicos Y De Aparatos Ortesicos Y Protesicos</v>
          </cell>
          <cell r="C241">
            <v>0</v>
          </cell>
          <cell r="D241">
            <v>0</v>
          </cell>
          <cell r="E241">
            <v>0</v>
          </cell>
          <cell r="F241">
            <v>0</v>
          </cell>
          <cell r="G241">
            <v>0</v>
          </cell>
          <cell r="H241">
            <v>0</v>
          </cell>
          <cell r="I241">
            <v>0</v>
          </cell>
          <cell r="J241">
            <v>0</v>
          </cell>
        </row>
        <row r="242">
          <cell r="A242">
            <v>5137</v>
          </cell>
          <cell r="B242" t="str">
            <v>Comercio Al Por Mayor De Papel Y Carton; Productos De Papel Y Carton</v>
          </cell>
          <cell r="C242">
            <v>0</v>
          </cell>
          <cell r="D242">
            <v>0</v>
          </cell>
          <cell r="E242">
            <v>0</v>
          </cell>
          <cell r="F242">
            <v>0</v>
          </cell>
          <cell r="G242">
            <v>0</v>
          </cell>
          <cell r="H242">
            <v>0</v>
          </cell>
          <cell r="I242">
            <v>0</v>
          </cell>
          <cell r="J242">
            <v>0</v>
          </cell>
        </row>
        <row r="243">
          <cell r="A243">
            <v>5139</v>
          </cell>
          <cell r="B243" t="str">
            <v>Comercio Al Por Mayor De Otros Productos De Consumo Ncp</v>
          </cell>
          <cell r="C243">
            <v>0</v>
          </cell>
          <cell r="D243">
            <v>0</v>
          </cell>
          <cell r="E243">
            <v>0</v>
          </cell>
          <cell r="F243">
            <v>0</v>
          </cell>
          <cell r="G243">
            <v>0</v>
          </cell>
          <cell r="H243">
            <v>0</v>
          </cell>
          <cell r="I243">
            <v>0</v>
          </cell>
          <cell r="J243">
            <v>0</v>
          </cell>
        </row>
        <row r="244">
          <cell r="A244">
            <v>5141</v>
          </cell>
          <cell r="B244" t="str">
            <v>Comercio Al Por Mayor De Materiales De Construccion, Ferreteria Y Vidrio</v>
          </cell>
          <cell r="C244">
            <v>0</v>
          </cell>
          <cell r="D244">
            <v>0</v>
          </cell>
          <cell r="E244">
            <v>0</v>
          </cell>
          <cell r="F244">
            <v>0</v>
          </cell>
          <cell r="G244">
            <v>0</v>
          </cell>
          <cell r="H244">
            <v>0</v>
          </cell>
          <cell r="I244">
            <v>0</v>
          </cell>
          <cell r="J244">
            <v>0</v>
          </cell>
        </row>
        <row r="245">
          <cell r="A245">
            <v>5142</v>
          </cell>
          <cell r="B245" t="str">
            <v>Comercio Al Por Mayor De Pinturas Y Productos Conexos</v>
          </cell>
          <cell r="C245">
            <v>0</v>
          </cell>
          <cell r="D245">
            <v>0</v>
          </cell>
          <cell r="E245">
            <v>0</v>
          </cell>
          <cell r="F245">
            <v>0</v>
          </cell>
          <cell r="G245">
            <v>0</v>
          </cell>
          <cell r="H245">
            <v>0</v>
          </cell>
          <cell r="I245">
            <v>0</v>
          </cell>
          <cell r="J245">
            <v>0</v>
          </cell>
        </row>
        <row r="246">
          <cell r="A246">
            <v>5151</v>
          </cell>
          <cell r="B246" t="str">
            <v>Comercio Al Por Mayor De Combustibles Solidos, Liquidos, Gaseosos Y Productos Conexos</v>
          </cell>
          <cell r="C246">
            <v>0</v>
          </cell>
          <cell r="D246">
            <v>0</v>
          </cell>
          <cell r="E246">
            <v>0</v>
          </cell>
          <cell r="F246">
            <v>0</v>
          </cell>
          <cell r="G246">
            <v>0</v>
          </cell>
          <cell r="H246">
            <v>0</v>
          </cell>
          <cell r="I246">
            <v>0</v>
          </cell>
          <cell r="J246">
            <v>0</v>
          </cell>
        </row>
        <row r="247">
          <cell r="A247">
            <v>5152</v>
          </cell>
          <cell r="B247" t="str">
            <v>Comercio Al Por Mayor De Metales Y Minerales Metaliferos En Formas Primarias</v>
          </cell>
          <cell r="C247">
            <v>0</v>
          </cell>
          <cell r="D247">
            <v>0</v>
          </cell>
          <cell r="E247">
            <v>0</v>
          </cell>
          <cell r="F247">
            <v>0</v>
          </cell>
          <cell r="G247">
            <v>0</v>
          </cell>
          <cell r="H247">
            <v>0</v>
          </cell>
          <cell r="I247">
            <v>0</v>
          </cell>
          <cell r="J247">
            <v>0</v>
          </cell>
        </row>
        <row r="248">
          <cell r="A248">
            <v>5153</v>
          </cell>
          <cell r="B248" t="str">
            <v>Comercio Al Por Mayor De Productos Quimicos Basicos, Plasticos Y Caucho En Formas Primarias Y Productos Quimicos De Uso Agropecuario</v>
          </cell>
          <cell r="C248">
            <v>0</v>
          </cell>
          <cell r="D248">
            <v>0</v>
          </cell>
          <cell r="E248">
            <v>0</v>
          </cell>
          <cell r="F248">
            <v>0</v>
          </cell>
          <cell r="G248">
            <v>0</v>
          </cell>
          <cell r="H248">
            <v>0</v>
          </cell>
          <cell r="I248">
            <v>0</v>
          </cell>
          <cell r="J248">
            <v>0</v>
          </cell>
        </row>
        <row r="249">
          <cell r="A249">
            <v>5154</v>
          </cell>
          <cell r="B249" t="str">
            <v>Comercio Al Por Mayor De Fibras Textiles</v>
          </cell>
          <cell r="C249">
            <v>0</v>
          </cell>
          <cell r="D249">
            <v>0</v>
          </cell>
          <cell r="E249">
            <v>0</v>
          </cell>
          <cell r="F249">
            <v>0</v>
          </cell>
          <cell r="G249">
            <v>0</v>
          </cell>
          <cell r="H249">
            <v>0</v>
          </cell>
          <cell r="I249">
            <v>0</v>
          </cell>
          <cell r="J249">
            <v>0</v>
          </cell>
        </row>
        <row r="250">
          <cell r="A250">
            <v>5155</v>
          </cell>
          <cell r="B250" t="str">
            <v>Comercio Al Por Mayor De Desperdicios O Desechos Industriales Y Material Para Reciclaje</v>
          </cell>
          <cell r="C250">
            <v>0</v>
          </cell>
          <cell r="D250">
            <v>0</v>
          </cell>
          <cell r="E250">
            <v>0</v>
          </cell>
          <cell r="F250">
            <v>0</v>
          </cell>
          <cell r="G250">
            <v>0</v>
          </cell>
          <cell r="H250">
            <v>0</v>
          </cell>
          <cell r="I250">
            <v>0</v>
          </cell>
          <cell r="J250">
            <v>0</v>
          </cell>
        </row>
        <row r="251">
          <cell r="A251">
            <v>5159</v>
          </cell>
          <cell r="B251" t="str">
            <v>Comercio Al Por Mayor De Otros Productos Intermedios Ncp</v>
          </cell>
          <cell r="C251">
            <v>0</v>
          </cell>
          <cell r="D251">
            <v>0</v>
          </cell>
          <cell r="E251">
            <v>0</v>
          </cell>
          <cell r="F251">
            <v>0</v>
          </cell>
          <cell r="G251">
            <v>0</v>
          </cell>
          <cell r="H251">
            <v>0</v>
          </cell>
          <cell r="I251">
            <v>0</v>
          </cell>
          <cell r="J251">
            <v>0</v>
          </cell>
        </row>
        <row r="252">
          <cell r="A252">
            <v>5161</v>
          </cell>
          <cell r="B252" t="str">
            <v>Comercio Al Por Mayor De Maquinaria Y Equipo Para La Agricultura , Mineria, Construccion Y La Industria</v>
          </cell>
          <cell r="C252">
            <v>0</v>
          </cell>
          <cell r="D252">
            <v>0</v>
          </cell>
          <cell r="E252">
            <v>0</v>
          </cell>
          <cell r="F252">
            <v>0</v>
          </cell>
          <cell r="G252">
            <v>0</v>
          </cell>
          <cell r="H252">
            <v>0</v>
          </cell>
          <cell r="I252">
            <v>0</v>
          </cell>
          <cell r="J252">
            <v>0</v>
          </cell>
        </row>
        <row r="253">
          <cell r="A253">
            <v>5162</v>
          </cell>
          <cell r="B253" t="str">
            <v>Comercio Al Por Mayor De Equipo De Transporte, Excepto Vehiculos Automotores Y Motocicletas</v>
          </cell>
          <cell r="C253">
            <v>0</v>
          </cell>
          <cell r="D253">
            <v>0</v>
          </cell>
          <cell r="E253">
            <v>0</v>
          </cell>
          <cell r="F253">
            <v>0</v>
          </cell>
          <cell r="G253">
            <v>0</v>
          </cell>
          <cell r="H253">
            <v>0</v>
          </cell>
          <cell r="I253">
            <v>0</v>
          </cell>
          <cell r="J253">
            <v>0</v>
          </cell>
        </row>
        <row r="254">
          <cell r="A254">
            <v>5163</v>
          </cell>
          <cell r="B254" t="str">
            <v>Comercio Al Por Mayor De Maquinaria Para Oficina, Contabilidad E Informatica</v>
          </cell>
          <cell r="C254">
            <v>0</v>
          </cell>
          <cell r="D254">
            <v>0</v>
          </cell>
          <cell r="E254">
            <v>0</v>
          </cell>
          <cell r="F254">
            <v>0</v>
          </cell>
          <cell r="G254">
            <v>0</v>
          </cell>
          <cell r="H254">
            <v>0</v>
          </cell>
          <cell r="I254">
            <v>0</v>
          </cell>
          <cell r="J254">
            <v>0</v>
          </cell>
        </row>
        <row r="255">
          <cell r="A255">
            <v>5169</v>
          </cell>
          <cell r="B255" t="str">
            <v>Comercio Al Por Mayor De Maquinaria Y Equipo Ncp</v>
          </cell>
          <cell r="C255">
            <v>0</v>
          </cell>
          <cell r="D255">
            <v>0</v>
          </cell>
          <cell r="E255">
            <v>0</v>
          </cell>
          <cell r="F255">
            <v>0</v>
          </cell>
          <cell r="G255">
            <v>0</v>
          </cell>
          <cell r="H255">
            <v>0</v>
          </cell>
          <cell r="I255">
            <v>0</v>
          </cell>
          <cell r="J255">
            <v>0</v>
          </cell>
        </row>
        <row r="256">
          <cell r="A256">
            <v>5170</v>
          </cell>
          <cell r="B256" t="str">
            <v>Mantenimiento Y Reparacion De Maquinaria Y Equipo</v>
          </cell>
          <cell r="C256">
            <v>0</v>
          </cell>
          <cell r="D256">
            <v>0</v>
          </cell>
          <cell r="E256">
            <v>0</v>
          </cell>
          <cell r="F256">
            <v>0</v>
          </cell>
          <cell r="G256">
            <v>0</v>
          </cell>
          <cell r="H256">
            <v>0</v>
          </cell>
          <cell r="I256">
            <v>0</v>
          </cell>
          <cell r="J256">
            <v>0</v>
          </cell>
        </row>
        <row r="257">
          <cell r="A257">
            <v>5190</v>
          </cell>
          <cell r="B257" t="str">
            <v>Comercio Al Por Mayor De Productos Diversos Ncp</v>
          </cell>
          <cell r="C257">
            <v>0</v>
          </cell>
          <cell r="D257">
            <v>0</v>
          </cell>
          <cell r="E257">
            <v>0</v>
          </cell>
          <cell r="F257">
            <v>0</v>
          </cell>
          <cell r="G257">
            <v>0</v>
          </cell>
          <cell r="H257">
            <v>0</v>
          </cell>
          <cell r="I257">
            <v>0</v>
          </cell>
          <cell r="J257">
            <v>0</v>
          </cell>
        </row>
        <row r="258">
          <cell r="A258">
            <v>5211</v>
          </cell>
          <cell r="B258" t="str">
            <v>Comercio Al Por Menor, En Establecimientos No Especializados, Con Surtido Compuesto Principalmente De Alimentos (Vivieres En General), Bebidas Y Ta</v>
          </cell>
          <cell r="C258">
            <v>0</v>
          </cell>
          <cell r="D258">
            <v>0</v>
          </cell>
          <cell r="E258">
            <v>0</v>
          </cell>
          <cell r="F258">
            <v>0</v>
          </cell>
          <cell r="G258">
            <v>0</v>
          </cell>
          <cell r="H258">
            <v>0</v>
          </cell>
          <cell r="I258">
            <v>0</v>
          </cell>
          <cell r="J258">
            <v>0</v>
          </cell>
        </row>
        <row r="259">
          <cell r="A259">
            <v>5219</v>
          </cell>
          <cell r="B259" t="str">
            <v>Comercio Al Por Menor En Establecimientos No Especializados Con Surtido Compuesto Principalmente Por Productos Diferentes De Alimentos (Viveres En</v>
          </cell>
          <cell r="C259">
            <v>0</v>
          </cell>
          <cell r="D259">
            <v>0</v>
          </cell>
          <cell r="E259">
            <v>0</v>
          </cell>
          <cell r="F259">
            <v>0</v>
          </cell>
          <cell r="G259">
            <v>0</v>
          </cell>
          <cell r="H259">
            <v>0</v>
          </cell>
          <cell r="I259">
            <v>0</v>
          </cell>
          <cell r="J259">
            <v>0</v>
          </cell>
        </row>
        <row r="260">
          <cell r="A260">
            <v>5221</v>
          </cell>
          <cell r="B260" t="str">
            <v>Comercio Al Por Menor De Frutas Y Verduras, En Establecimientos Especializados</v>
          </cell>
          <cell r="C260">
            <v>0</v>
          </cell>
          <cell r="D260">
            <v>0</v>
          </cell>
          <cell r="E260">
            <v>0</v>
          </cell>
          <cell r="F260">
            <v>0</v>
          </cell>
          <cell r="G260">
            <v>0</v>
          </cell>
          <cell r="H260">
            <v>0</v>
          </cell>
          <cell r="I260">
            <v>0</v>
          </cell>
          <cell r="J260">
            <v>0</v>
          </cell>
        </row>
        <row r="261">
          <cell r="A261">
            <v>5222</v>
          </cell>
          <cell r="B261" t="str">
            <v>Comercio Al Por Menor De Leche, Productos Lacteos Y Huevos En Establecimientos Especializados</v>
          </cell>
          <cell r="C261">
            <v>0</v>
          </cell>
          <cell r="D261">
            <v>0</v>
          </cell>
          <cell r="E261">
            <v>0</v>
          </cell>
          <cell r="F261">
            <v>0</v>
          </cell>
          <cell r="G261">
            <v>0</v>
          </cell>
          <cell r="H261">
            <v>0</v>
          </cell>
          <cell r="I261">
            <v>0</v>
          </cell>
          <cell r="J261">
            <v>0</v>
          </cell>
        </row>
        <row r="262">
          <cell r="A262">
            <v>5223</v>
          </cell>
          <cell r="B262" t="str">
            <v>Comercio Al Por Menor De Carnes (Incluye Aves De Corral), Productos Carnicos, Pescados Y Productos De Mar, En Establecimientos Especializados</v>
          </cell>
          <cell r="C262">
            <v>0</v>
          </cell>
          <cell r="D262">
            <v>0</v>
          </cell>
          <cell r="E262">
            <v>0</v>
          </cell>
          <cell r="F262">
            <v>0</v>
          </cell>
          <cell r="G262">
            <v>0</v>
          </cell>
          <cell r="H262">
            <v>0</v>
          </cell>
          <cell r="I262">
            <v>0</v>
          </cell>
          <cell r="J262">
            <v>0</v>
          </cell>
        </row>
        <row r="263">
          <cell r="A263">
            <v>5224</v>
          </cell>
          <cell r="B263" t="str">
            <v>Comercio Al Por Menor De Productos De Confiteria En Establecimientos Especializados</v>
          </cell>
          <cell r="C263">
            <v>0</v>
          </cell>
          <cell r="D263">
            <v>0</v>
          </cell>
          <cell r="E263">
            <v>0</v>
          </cell>
          <cell r="F263">
            <v>0</v>
          </cell>
          <cell r="G263">
            <v>0</v>
          </cell>
          <cell r="H263">
            <v>0</v>
          </cell>
          <cell r="I263">
            <v>0</v>
          </cell>
          <cell r="J263">
            <v>0</v>
          </cell>
        </row>
        <row r="264">
          <cell r="A264">
            <v>5225</v>
          </cell>
          <cell r="B264" t="str">
            <v>Comercio Al Por Menor De Bebidas Y Productos Del Tabaco En Establecimientos Especializados</v>
          </cell>
          <cell r="C264">
            <v>0</v>
          </cell>
          <cell r="D264">
            <v>0</v>
          </cell>
          <cell r="E264">
            <v>0</v>
          </cell>
          <cell r="F264">
            <v>0</v>
          </cell>
          <cell r="G264">
            <v>0</v>
          </cell>
          <cell r="H264">
            <v>0</v>
          </cell>
          <cell r="I264">
            <v>0</v>
          </cell>
          <cell r="J264">
            <v>0</v>
          </cell>
        </row>
        <row r="265">
          <cell r="A265">
            <v>5229</v>
          </cell>
          <cell r="B265" t="str">
            <v>Comercio Al Por Menor De Otros Productos Alimenticios Ncp, En Establecimientos Especializados</v>
          </cell>
          <cell r="C265">
            <v>0</v>
          </cell>
          <cell r="D265">
            <v>0</v>
          </cell>
          <cell r="E265">
            <v>0</v>
          </cell>
          <cell r="F265">
            <v>0</v>
          </cell>
          <cell r="G265">
            <v>0</v>
          </cell>
          <cell r="H265">
            <v>0</v>
          </cell>
          <cell r="I265">
            <v>0</v>
          </cell>
          <cell r="J265">
            <v>0</v>
          </cell>
        </row>
        <row r="266">
          <cell r="A266">
            <v>5231</v>
          </cell>
          <cell r="B266" t="str">
            <v>Comercio Al Por Menor De Productos Farmaceuticos, Medicinales Y Odontologicos; Articulos De Perfumeria, Cosmeticos Y De Tocador En Establecimientos</v>
          </cell>
          <cell r="C266">
            <v>0</v>
          </cell>
          <cell r="D266">
            <v>0</v>
          </cell>
          <cell r="E266">
            <v>0</v>
          </cell>
          <cell r="F266">
            <v>0</v>
          </cell>
          <cell r="G266">
            <v>0</v>
          </cell>
          <cell r="H266">
            <v>0</v>
          </cell>
          <cell r="I266">
            <v>0</v>
          </cell>
          <cell r="J266">
            <v>0</v>
          </cell>
        </row>
        <row r="267">
          <cell r="A267">
            <v>5232</v>
          </cell>
          <cell r="B267" t="str">
            <v>Comercio Al Por Menor De Productos Textiles En Establecimientos Especializados</v>
          </cell>
          <cell r="C267">
            <v>0</v>
          </cell>
          <cell r="D267">
            <v>0</v>
          </cell>
          <cell r="E267">
            <v>0</v>
          </cell>
          <cell r="F267">
            <v>0</v>
          </cell>
          <cell r="G267">
            <v>0</v>
          </cell>
          <cell r="H267">
            <v>0</v>
          </cell>
          <cell r="I267">
            <v>0</v>
          </cell>
          <cell r="J267">
            <v>0</v>
          </cell>
        </row>
        <row r="268">
          <cell r="A268">
            <v>5233</v>
          </cell>
          <cell r="B268" t="str">
            <v>Comercio Al Por Menor De Prendas De Vestir Y Sus Accesorios (Incluye Articulos De Piel), En Establecimientos Especializados</v>
          </cell>
          <cell r="C268">
            <v>0</v>
          </cell>
          <cell r="D268">
            <v>0</v>
          </cell>
          <cell r="E268">
            <v>0</v>
          </cell>
          <cell r="F268">
            <v>0</v>
          </cell>
          <cell r="G268">
            <v>0</v>
          </cell>
          <cell r="H268">
            <v>0</v>
          </cell>
          <cell r="I268">
            <v>0</v>
          </cell>
          <cell r="J268">
            <v>0</v>
          </cell>
        </row>
        <row r="269">
          <cell r="A269">
            <v>5234</v>
          </cell>
          <cell r="B269" t="str">
            <v>Comercio Al Por Menor De Todo Tipo De Calzado, Articulos De Cuero Y Sucedaneos Del Cuero, En Establecimientos Especializados</v>
          </cell>
          <cell r="C269">
            <v>0</v>
          </cell>
          <cell r="D269">
            <v>0</v>
          </cell>
          <cell r="E269">
            <v>0</v>
          </cell>
          <cell r="F269">
            <v>0</v>
          </cell>
          <cell r="G269">
            <v>0</v>
          </cell>
          <cell r="H269">
            <v>0</v>
          </cell>
          <cell r="I269">
            <v>0</v>
          </cell>
          <cell r="J269">
            <v>0</v>
          </cell>
        </row>
        <row r="270">
          <cell r="A270">
            <v>5235</v>
          </cell>
          <cell r="B270" t="str">
            <v>Comercio Al Por Menor De Electrodomesticos, En Establecimientos Especializados</v>
          </cell>
          <cell r="C270">
            <v>0</v>
          </cell>
          <cell r="D270">
            <v>0</v>
          </cell>
          <cell r="E270">
            <v>0</v>
          </cell>
          <cell r="F270">
            <v>0</v>
          </cell>
          <cell r="G270">
            <v>0</v>
          </cell>
          <cell r="H270">
            <v>0</v>
          </cell>
          <cell r="I270">
            <v>0</v>
          </cell>
          <cell r="J270">
            <v>0</v>
          </cell>
        </row>
        <row r="271">
          <cell r="A271">
            <v>5236</v>
          </cell>
          <cell r="B271" t="str">
            <v>Comercio Al Por Menor De Muebles Para El Hogar, En Establecimientos Especializados</v>
          </cell>
          <cell r="C271">
            <v>0</v>
          </cell>
          <cell r="D271">
            <v>0</v>
          </cell>
          <cell r="E271">
            <v>0</v>
          </cell>
          <cell r="F271">
            <v>0</v>
          </cell>
          <cell r="G271">
            <v>0</v>
          </cell>
          <cell r="H271">
            <v>0</v>
          </cell>
          <cell r="I271">
            <v>0</v>
          </cell>
          <cell r="J271">
            <v>0</v>
          </cell>
        </row>
        <row r="272">
          <cell r="A272">
            <v>5237</v>
          </cell>
          <cell r="B272" t="str">
            <v>Comercio Al Por Menor De Equipos Y Articulos De Uso Domestico Diferentes De Electrodomesticos Y Muebles Para El Hogar En Establecimientos Especiali</v>
          </cell>
          <cell r="C272">
            <v>0</v>
          </cell>
          <cell r="D272">
            <v>0</v>
          </cell>
          <cell r="E272">
            <v>0</v>
          </cell>
          <cell r="F272">
            <v>0</v>
          </cell>
          <cell r="G272">
            <v>0</v>
          </cell>
          <cell r="H272">
            <v>0</v>
          </cell>
          <cell r="I272">
            <v>0</v>
          </cell>
          <cell r="J272">
            <v>0</v>
          </cell>
        </row>
        <row r="273">
          <cell r="A273">
            <v>5239</v>
          </cell>
          <cell r="B273" t="str">
            <v>Comercio Al Por Menor De Productos Diversos Ncp, En Establecimientos Especializados</v>
          </cell>
          <cell r="C273">
            <v>0</v>
          </cell>
          <cell r="D273">
            <v>0</v>
          </cell>
          <cell r="E273">
            <v>0</v>
          </cell>
          <cell r="F273">
            <v>0</v>
          </cell>
          <cell r="G273">
            <v>0</v>
          </cell>
          <cell r="H273">
            <v>0</v>
          </cell>
          <cell r="I273">
            <v>0</v>
          </cell>
          <cell r="J273">
            <v>0</v>
          </cell>
        </row>
        <row r="274">
          <cell r="A274">
            <v>5241</v>
          </cell>
          <cell r="B274" t="str">
            <v>Comercio Al Por Menor De Articulos De Ferreteria, Cerrajeria Y Productos De Vidrio, Excepto Pinturas En Establecimientos Especializados</v>
          </cell>
          <cell r="C274">
            <v>0</v>
          </cell>
          <cell r="D274">
            <v>0</v>
          </cell>
          <cell r="E274">
            <v>0</v>
          </cell>
          <cell r="F274">
            <v>0</v>
          </cell>
          <cell r="G274">
            <v>0</v>
          </cell>
          <cell r="H274">
            <v>0</v>
          </cell>
          <cell r="I274">
            <v>0</v>
          </cell>
          <cell r="J274">
            <v>0</v>
          </cell>
        </row>
        <row r="275">
          <cell r="A275">
            <v>5242</v>
          </cell>
          <cell r="B275" t="str">
            <v>Comercio Al Por Menor Pinturas En Establecimientos Especializados</v>
          </cell>
          <cell r="C275">
            <v>0</v>
          </cell>
          <cell r="D275">
            <v>0</v>
          </cell>
          <cell r="E275">
            <v>0</v>
          </cell>
          <cell r="F275">
            <v>0</v>
          </cell>
          <cell r="G275">
            <v>0</v>
          </cell>
          <cell r="H275">
            <v>0</v>
          </cell>
          <cell r="I275">
            <v>0</v>
          </cell>
          <cell r="J275">
            <v>0</v>
          </cell>
        </row>
        <row r="276">
          <cell r="A276">
            <v>5243</v>
          </cell>
          <cell r="B276" t="str">
            <v>Comercio Al Por Menor De Muebles Para Oficina, Maquinaria Y Equipo De Oficina, Computadores Y Programas De Computador, En Establecimientos Especial</v>
          </cell>
          <cell r="C276">
            <v>0</v>
          </cell>
          <cell r="D276">
            <v>0</v>
          </cell>
          <cell r="E276">
            <v>0</v>
          </cell>
          <cell r="F276">
            <v>0</v>
          </cell>
          <cell r="G276">
            <v>0</v>
          </cell>
          <cell r="H276">
            <v>0</v>
          </cell>
          <cell r="I276">
            <v>0</v>
          </cell>
          <cell r="J276">
            <v>0</v>
          </cell>
        </row>
        <row r="277">
          <cell r="A277">
            <v>5244</v>
          </cell>
          <cell r="B277" t="str">
            <v>Comercio Al Por Menor De Libros, Periodicos, Materiales Y Articulos De Papeleria Y Escritorio, En Establecimientos Especializados</v>
          </cell>
          <cell r="C277">
            <v>0</v>
          </cell>
          <cell r="D277">
            <v>0</v>
          </cell>
          <cell r="E277">
            <v>0</v>
          </cell>
          <cell r="F277">
            <v>0</v>
          </cell>
          <cell r="G277">
            <v>0</v>
          </cell>
          <cell r="H277">
            <v>0</v>
          </cell>
          <cell r="I277">
            <v>0</v>
          </cell>
          <cell r="J277">
            <v>0</v>
          </cell>
        </row>
        <row r="278">
          <cell r="A278">
            <v>5245</v>
          </cell>
          <cell r="B278" t="str">
            <v>Comercio Al Por Menor De Equipo Fotografico, En Establecimientos Especializados</v>
          </cell>
          <cell r="C278">
            <v>0</v>
          </cell>
          <cell r="D278">
            <v>0</v>
          </cell>
          <cell r="E278">
            <v>0</v>
          </cell>
          <cell r="F278">
            <v>0</v>
          </cell>
          <cell r="G278">
            <v>0</v>
          </cell>
          <cell r="H278">
            <v>0</v>
          </cell>
          <cell r="I278">
            <v>0</v>
          </cell>
          <cell r="J278">
            <v>0</v>
          </cell>
        </row>
        <row r="279">
          <cell r="A279">
            <v>5246</v>
          </cell>
          <cell r="B279" t="str">
            <v>Comercio Al Por Menor De Equipo Optico Y De Precisión, En Establecimientos Especializados</v>
          </cell>
          <cell r="C279">
            <v>0</v>
          </cell>
          <cell r="D279">
            <v>0</v>
          </cell>
          <cell r="E279">
            <v>0</v>
          </cell>
          <cell r="F279">
            <v>0</v>
          </cell>
          <cell r="G279">
            <v>0</v>
          </cell>
          <cell r="H279">
            <v>0</v>
          </cell>
          <cell r="I279">
            <v>0</v>
          </cell>
          <cell r="J279">
            <v>0</v>
          </cell>
        </row>
        <row r="280">
          <cell r="A280">
            <v>5249</v>
          </cell>
          <cell r="B280" t="str">
            <v>Comercio Al Por Menor De Otros Nuevos Productos De Consumo Ncp En Establecimientos Especializados</v>
          </cell>
          <cell r="C280">
            <v>0</v>
          </cell>
          <cell r="D280">
            <v>0</v>
          </cell>
          <cell r="E280">
            <v>0</v>
          </cell>
          <cell r="F280">
            <v>0</v>
          </cell>
          <cell r="G280">
            <v>0</v>
          </cell>
          <cell r="H280">
            <v>0</v>
          </cell>
          <cell r="I280">
            <v>0</v>
          </cell>
          <cell r="J280">
            <v>0</v>
          </cell>
        </row>
        <row r="281">
          <cell r="A281">
            <v>5251</v>
          </cell>
          <cell r="B281" t="str">
            <v>Comercio Al Por Menor De Articulos Usados En Establecimientos Especializados</v>
          </cell>
          <cell r="C281">
            <v>0</v>
          </cell>
          <cell r="D281">
            <v>0</v>
          </cell>
          <cell r="E281">
            <v>0</v>
          </cell>
          <cell r="F281">
            <v>0</v>
          </cell>
          <cell r="G281">
            <v>0</v>
          </cell>
          <cell r="H281">
            <v>0</v>
          </cell>
          <cell r="I281">
            <v>0</v>
          </cell>
          <cell r="J281">
            <v>0</v>
          </cell>
        </row>
        <row r="282">
          <cell r="A282">
            <v>5252</v>
          </cell>
          <cell r="B282" t="str">
            <v>Actividades Comerciales De Las Casas De Empeño O Compraventas</v>
          </cell>
          <cell r="C282">
            <v>0</v>
          </cell>
          <cell r="D282">
            <v>0</v>
          </cell>
          <cell r="E282">
            <v>0</v>
          </cell>
          <cell r="F282">
            <v>0</v>
          </cell>
          <cell r="G282">
            <v>0</v>
          </cell>
          <cell r="H282">
            <v>0</v>
          </cell>
          <cell r="I282">
            <v>0</v>
          </cell>
          <cell r="J282">
            <v>0</v>
          </cell>
        </row>
        <row r="283">
          <cell r="A283">
            <v>5261</v>
          </cell>
          <cell r="B283" t="str">
            <v>Comercio Al Por Menor A Traves De Casas De Venta Por Correo</v>
          </cell>
          <cell r="C283">
            <v>0</v>
          </cell>
          <cell r="D283">
            <v>0</v>
          </cell>
          <cell r="E283">
            <v>0</v>
          </cell>
          <cell r="F283">
            <v>0</v>
          </cell>
          <cell r="G283">
            <v>0</v>
          </cell>
          <cell r="H283">
            <v>0</v>
          </cell>
          <cell r="I283">
            <v>0</v>
          </cell>
          <cell r="J283">
            <v>0</v>
          </cell>
        </row>
        <row r="284">
          <cell r="A284">
            <v>5262</v>
          </cell>
          <cell r="B284" t="str">
            <v>Comercio Al Por Menor En Puestos Moviles</v>
          </cell>
          <cell r="C284">
            <v>0</v>
          </cell>
          <cell r="D284">
            <v>0</v>
          </cell>
          <cell r="E284">
            <v>0</v>
          </cell>
          <cell r="F284">
            <v>0</v>
          </cell>
          <cell r="G284">
            <v>0</v>
          </cell>
          <cell r="H284">
            <v>0</v>
          </cell>
          <cell r="I284">
            <v>0</v>
          </cell>
          <cell r="J284">
            <v>0</v>
          </cell>
        </row>
        <row r="285">
          <cell r="A285">
            <v>5269</v>
          </cell>
          <cell r="B285" t="str">
            <v>Otros Tipos De Comercio Al Por Menor No Realizado En Establecimientos</v>
          </cell>
          <cell r="C285">
            <v>0</v>
          </cell>
          <cell r="D285">
            <v>0</v>
          </cell>
          <cell r="E285">
            <v>0</v>
          </cell>
          <cell r="F285">
            <v>0</v>
          </cell>
          <cell r="G285">
            <v>0</v>
          </cell>
          <cell r="H285">
            <v>0</v>
          </cell>
          <cell r="I285">
            <v>0</v>
          </cell>
          <cell r="J285">
            <v>0</v>
          </cell>
        </row>
        <row r="286">
          <cell r="A286">
            <v>5271</v>
          </cell>
          <cell r="B286" t="str">
            <v>Reparacion De Efectos Personales</v>
          </cell>
          <cell r="C286">
            <v>0</v>
          </cell>
          <cell r="D286">
            <v>0</v>
          </cell>
          <cell r="E286">
            <v>0</v>
          </cell>
          <cell r="F286">
            <v>0</v>
          </cell>
          <cell r="G286">
            <v>0</v>
          </cell>
          <cell r="H286">
            <v>0</v>
          </cell>
          <cell r="I286">
            <v>0</v>
          </cell>
          <cell r="J286">
            <v>0</v>
          </cell>
        </row>
        <row r="287">
          <cell r="A287">
            <v>5272</v>
          </cell>
          <cell r="B287" t="str">
            <v>Reparacion De Enseres Domesticos</v>
          </cell>
          <cell r="C287">
            <v>0</v>
          </cell>
          <cell r="D287">
            <v>0</v>
          </cell>
          <cell r="E287">
            <v>0</v>
          </cell>
          <cell r="F287">
            <v>0</v>
          </cell>
          <cell r="G287">
            <v>0</v>
          </cell>
          <cell r="H287">
            <v>0</v>
          </cell>
          <cell r="I287">
            <v>0</v>
          </cell>
          <cell r="J287">
            <v>0</v>
          </cell>
        </row>
        <row r="288">
          <cell r="A288">
            <v>5511</v>
          </cell>
          <cell r="B288" t="str">
            <v>Alojamiento En "Hoteles", "Hostales" Y "Apartahoteles"</v>
          </cell>
          <cell r="C288">
            <v>0</v>
          </cell>
          <cell r="D288">
            <v>0</v>
          </cell>
          <cell r="E288">
            <v>0</v>
          </cell>
          <cell r="F288">
            <v>0</v>
          </cell>
          <cell r="G288">
            <v>0</v>
          </cell>
          <cell r="H288">
            <v>0</v>
          </cell>
          <cell r="I288">
            <v>0</v>
          </cell>
          <cell r="J288">
            <v>0</v>
          </cell>
        </row>
        <row r="289">
          <cell r="A289">
            <v>5512</v>
          </cell>
          <cell r="B289" t="str">
            <v>Alojamiento En "Residencias,"Moteles", Y "Amoblados"</v>
          </cell>
          <cell r="C289">
            <v>0</v>
          </cell>
          <cell r="D289">
            <v>0</v>
          </cell>
          <cell r="E289">
            <v>0</v>
          </cell>
          <cell r="F289">
            <v>0</v>
          </cell>
          <cell r="G289">
            <v>0</v>
          </cell>
          <cell r="H289">
            <v>0</v>
          </cell>
          <cell r="I289">
            <v>0</v>
          </cell>
          <cell r="J289">
            <v>0</v>
          </cell>
        </row>
        <row r="290">
          <cell r="A290">
            <v>5513</v>
          </cell>
          <cell r="B290" t="str">
            <v>Alojamientos En "Centros Vacacionales" Y "Zonas De Camping"</v>
          </cell>
          <cell r="C290">
            <v>0</v>
          </cell>
          <cell r="D290">
            <v>0</v>
          </cell>
          <cell r="E290">
            <v>0</v>
          </cell>
          <cell r="F290">
            <v>0</v>
          </cell>
          <cell r="G290">
            <v>0</v>
          </cell>
          <cell r="H290">
            <v>0</v>
          </cell>
          <cell r="I290">
            <v>0</v>
          </cell>
          <cell r="J290">
            <v>0</v>
          </cell>
        </row>
        <row r="291">
          <cell r="A291">
            <v>5519</v>
          </cell>
          <cell r="B291" t="str">
            <v>Otros Tipos De Alojamiento Ncp</v>
          </cell>
          <cell r="C291">
            <v>0</v>
          </cell>
          <cell r="D291">
            <v>0</v>
          </cell>
          <cell r="E291">
            <v>0</v>
          </cell>
          <cell r="F291">
            <v>0</v>
          </cell>
          <cell r="G291">
            <v>0</v>
          </cell>
          <cell r="H291">
            <v>0</v>
          </cell>
          <cell r="I291">
            <v>0</v>
          </cell>
          <cell r="J291">
            <v>0</v>
          </cell>
        </row>
        <row r="292">
          <cell r="A292">
            <v>5521</v>
          </cell>
          <cell r="B292" t="str">
            <v>Expendio A La Mesa De Comidas Preparadas, En Restaurantes</v>
          </cell>
          <cell r="C292">
            <v>0</v>
          </cell>
          <cell r="D292">
            <v>0</v>
          </cell>
          <cell r="E292">
            <v>0</v>
          </cell>
          <cell r="F292">
            <v>0</v>
          </cell>
          <cell r="G292">
            <v>0</v>
          </cell>
          <cell r="H292">
            <v>0</v>
          </cell>
          <cell r="I292">
            <v>0</v>
          </cell>
          <cell r="J292">
            <v>0</v>
          </cell>
        </row>
        <row r="293">
          <cell r="A293">
            <v>5522</v>
          </cell>
          <cell r="B293" t="str">
            <v>Expendio, A La Mesa, De Comidas Preparadas En Cafeterias</v>
          </cell>
          <cell r="C293">
            <v>0</v>
          </cell>
          <cell r="D293">
            <v>0</v>
          </cell>
          <cell r="E293">
            <v>0</v>
          </cell>
          <cell r="F293">
            <v>0</v>
          </cell>
          <cell r="G293">
            <v>0</v>
          </cell>
          <cell r="H293">
            <v>0</v>
          </cell>
          <cell r="I293">
            <v>0</v>
          </cell>
          <cell r="J293">
            <v>0</v>
          </cell>
        </row>
        <row r="294">
          <cell r="A294">
            <v>5523</v>
          </cell>
          <cell r="B294" t="str">
            <v>Expendio, Por Autoservicio, De Comidas Preparadas En Restaurantes</v>
          </cell>
          <cell r="C294">
            <v>0</v>
          </cell>
          <cell r="D294">
            <v>0</v>
          </cell>
          <cell r="E294">
            <v>0</v>
          </cell>
          <cell r="F294">
            <v>0</v>
          </cell>
          <cell r="G294">
            <v>0</v>
          </cell>
          <cell r="H294">
            <v>0</v>
          </cell>
          <cell r="I294">
            <v>0</v>
          </cell>
          <cell r="J294">
            <v>0</v>
          </cell>
        </row>
        <row r="295">
          <cell r="A295">
            <v>5524</v>
          </cell>
          <cell r="B295" t="str">
            <v>Expendio, Por Autoservicio De Comidas Preparadas En Cafeterias</v>
          </cell>
          <cell r="C295">
            <v>0</v>
          </cell>
          <cell r="D295">
            <v>0</v>
          </cell>
          <cell r="E295">
            <v>0</v>
          </cell>
          <cell r="F295">
            <v>0</v>
          </cell>
          <cell r="G295">
            <v>0</v>
          </cell>
          <cell r="H295">
            <v>0</v>
          </cell>
          <cell r="I295">
            <v>0</v>
          </cell>
          <cell r="J295">
            <v>0</v>
          </cell>
        </row>
        <row r="296">
          <cell r="A296">
            <v>5529</v>
          </cell>
          <cell r="B296" t="str">
            <v>Otros Tipos De Expendio Ncp De Alimentos Preparados</v>
          </cell>
          <cell r="C296">
            <v>0</v>
          </cell>
          <cell r="D296">
            <v>0</v>
          </cell>
          <cell r="E296">
            <v>0</v>
          </cell>
          <cell r="F296">
            <v>0</v>
          </cell>
          <cell r="G296">
            <v>0</v>
          </cell>
          <cell r="H296">
            <v>0</v>
          </cell>
          <cell r="I296">
            <v>0</v>
          </cell>
          <cell r="J296">
            <v>0</v>
          </cell>
        </row>
        <row r="297">
          <cell r="A297">
            <v>5530</v>
          </cell>
          <cell r="B297" t="str">
            <v>Expendio De Bebidas Alcoholicas Para El Consumo Dentro Del Establecimiento</v>
          </cell>
          <cell r="C297">
            <v>0</v>
          </cell>
          <cell r="D297">
            <v>0</v>
          </cell>
          <cell r="E297">
            <v>0</v>
          </cell>
          <cell r="F297">
            <v>0</v>
          </cell>
          <cell r="G297">
            <v>0</v>
          </cell>
          <cell r="H297">
            <v>0</v>
          </cell>
          <cell r="I297">
            <v>0</v>
          </cell>
          <cell r="J297">
            <v>0</v>
          </cell>
        </row>
        <row r="298">
          <cell r="A298">
            <v>6010</v>
          </cell>
          <cell r="B298" t="str">
            <v>Transporte Por Via Ferrea</v>
          </cell>
          <cell r="C298">
            <v>0</v>
          </cell>
          <cell r="D298">
            <v>0</v>
          </cell>
          <cell r="E298">
            <v>0</v>
          </cell>
          <cell r="F298">
            <v>0</v>
          </cell>
          <cell r="G298">
            <v>0</v>
          </cell>
          <cell r="H298">
            <v>0</v>
          </cell>
          <cell r="I298">
            <v>0</v>
          </cell>
          <cell r="J298">
            <v>0</v>
          </cell>
        </row>
        <row r="299">
          <cell r="A299">
            <v>6021</v>
          </cell>
          <cell r="B299" t="str">
            <v>Transporte Urbano Colectivo Regular De Pasajeros</v>
          </cell>
          <cell r="C299">
            <v>0</v>
          </cell>
          <cell r="D299">
            <v>0</v>
          </cell>
          <cell r="E299">
            <v>0</v>
          </cell>
          <cell r="F299">
            <v>0</v>
          </cell>
          <cell r="G299">
            <v>0</v>
          </cell>
          <cell r="H299">
            <v>0</v>
          </cell>
          <cell r="I299">
            <v>0</v>
          </cell>
          <cell r="J299">
            <v>0</v>
          </cell>
        </row>
        <row r="300">
          <cell r="A300">
            <v>6022</v>
          </cell>
          <cell r="B300" t="str">
            <v>Transporte Intermunicipal Colectivo Regular De Pasajeros</v>
          </cell>
          <cell r="C300">
            <v>0</v>
          </cell>
          <cell r="D300">
            <v>0</v>
          </cell>
          <cell r="E300">
            <v>0</v>
          </cell>
          <cell r="F300">
            <v>0</v>
          </cell>
          <cell r="G300">
            <v>0</v>
          </cell>
          <cell r="H300">
            <v>0</v>
          </cell>
          <cell r="I300">
            <v>0</v>
          </cell>
          <cell r="J300">
            <v>0</v>
          </cell>
        </row>
        <row r="301">
          <cell r="A301">
            <v>6023</v>
          </cell>
          <cell r="B301" t="str">
            <v>Transporte Internacional Colectivo Regular De Pasajeros</v>
          </cell>
          <cell r="C301">
            <v>0</v>
          </cell>
          <cell r="D301">
            <v>0</v>
          </cell>
          <cell r="E301">
            <v>0</v>
          </cell>
          <cell r="F301">
            <v>0</v>
          </cell>
          <cell r="G301">
            <v>0</v>
          </cell>
          <cell r="H301">
            <v>0</v>
          </cell>
          <cell r="I301">
            <v>0</v>
          </cell>
          <cell r="J301">
            <v>0</v>
          </cell>
        </row>
        <row r="302">
          <cell r="A302">
            <v>6031</v>
          </cell>
          <cell r="B302" t="str">
            <v>Transporte No Reguolar Individual De Pasajeros</v>
          </cell>
          <cell r="C302">
            <v>0</v>
          </cell>
          <cell r="D302">
            <v>0</v>
          </cell>
          <cell r="E302">
            <v>0</v>
          </cell>
          <cell r="F302">
            <v>0</v>
          </cell>
          <cell r="G302">
            <v>0</v>
          </cell>
          <cell r="H302">
            <v>0</v>
          </cell>
          <cell r="I302">
            <v>0</v>
          </cell>
          <cell r="J302">
            <v>0</v>
          </cell>
        </row>
        <row r="303">
          <cell r="A303">
            <v>6032</v>
          </cell>
          <cell r="B303" t="str">
            <v>Transporte Colectivo No Regular De Pasajeros</v>
          </cell>
          <cell r="C303">
            <v>0</v>
          </cell>
          <cell r="D303">
            <v>0</v>
          </cell>
          <cell r="E303">
            <v>0</v>
          </cell>
          <cell r="F303">
            <v>0</v>
          </cell>
          <cell r="G303">
            <v>0</v>
          </cell>
          <cell r="H303">
            <v>0</v>
          </cell>
          <cell r="I303">
            <v>0</v>
          </cell>
          <cell r="J303">
            <v>0</v>
          </cell>
        </row>
        <row r="304">
          <cell r="A304">
            <v>6039</v>
          </cell>
          <cell r="B304" t="str">
            <v>Otros Tipos De Transporte No Regular De Pasajeros Ncp</v>
          </cell>
          <cell r="C304">
            <v>0</v>
          </cell>
          <cell r="D304">
            <v>0</v>
          </cell>
          <cell r="E304">
            <v>0</v>
          </cell>
          <cell r="F304">
            <v>0</v>
          </cell>
          <cell r="G304">
            <v>0</v>
          </cell>
          <cell r="H304">
            <v>0</v>
          </cell>
          <cell r="I304">
            <v>0</v>
          </cell>
          <cell r="J304">
            <v>0</v>
          </cell>
        </row>
        <row r="305">
          <cell r="A305">
            <v>6041</v>
          </cell>
          <cell r="B305" t="str">
            <v>Transporte Municipal De Carga Por Carretera</v>
          </cell>
          <cell r="C305">
            <v>0</v>
          </cell>
          <cell r="D305">
            <v>0</v>
          </cell>
          <cell r="E305">
            <v>0</v>
          </cell>
          <cell r="F305">
            <v>0</v>
          </cell>
          <cell r="G305">
            <v>0</v>
          </cell>
          <cell r="H305">
            <v>0</v>
          </cell>
          <cell r="I305">
            <v>0</v>
          </cell>
          <cell r="J305">
            <v>0</v>
          </cell>
        </row>
        <row r="306">
          <cell r="A306">
            <v>6042</v>
          </cell>
          <cell r="B306" t="str">
            <v>Transporte Intermunicipal De Carga Por Carretera</v>
          </cell>
          <cell r="C306">
            <v>0</v>
          </cell>
          <cell r="D306">
            <v>0</v>
          </cell>
          <cell r="E306">
            <v>0</v>
          </cell>
          <cell r="F306">
            <v>0</v>
          </cell>
          <cell r="G306">
            <v>0</v>
          </cell>
          <cell r="H306">
            <v>0</v>
          </cell>
          <cell r="I306">
            <v>0</v>
          </cell>
          <cell r="J306">
            <v>0</v>
          </cell>
        </row>
        <row r="307">
          <cell r="A307">
            <v>6043</v>
          </cell>
          <cell r="B307" t="str">
            <v>Transporte Internacional De Carga Por Carretera</v>
          </cell>
          <cell r="C307">
            <v>0</v>
          </cell>
          <cell r="D307">
            <v>0</v>
          </cell>
          <cell r="E307">
            <v>0</v>
          </cell>
          <cell r="F307">
            <v>0</v>
          </cell>
          <cell r="G307">
            <v>0</v>
          </cell>
          <cell r="H307">
            <v>0</v>
          </cell>
          <cell r="I307">
            <v>0</v>
          </cell>
          <cell r="J307">
            <v>0</v>
          </cell>
        </row>
        <row r="308">
          <cell r="A308">
            <v>6044</v>
          </cell>
          <cell r="B308" t="str">
            <v>Alquiler De Vehiculos De Carga Con Conductor</v>
          </cell>
          <cell r="C308">
            <v>0</v>
          </cell>
          <cell r="D308">
            <v>0</v>
          </cell>
          <cell r="E308">
            <v>0</v>
          </cell>
          <cell r="F308">
            <v>0</v>
          </cell>
          <cell r="G308">
            <v>0</v>
          </cell>
          <cell r="H308">
            <v>0</v>
          </cell>
          <cell r="I308">
            <v>0</v>
          </cell>
          <cell r="J308">
            <v>0</v>
          </cell>
        </row>
        <row r="309">
          <cell r="A309">
            <v>6050</v>
          </cell>
          <cell r="B309" t="str">
            <v>Transporte Por Tuberias</v>
          </cell>
          <cell r="C309">
            <v>0</v>
          </cell>
          <cell r="D309">
            <v>0</v>
          </cell>
          <cell r="E309">
            <v>0</v>
          </cell>
          <cell r="F309">
            <v>0</v>
          </cell>
          <cell r="G309">
            <v>0</v>
          </cell>
          <cell r="H309">
            <v>0</v>
          </cell>
          <cell r="I309">
            <v>0</v>
          </cell>
          <cell r="J309">
            <v>0</v>
          </cell>
        </row>
        <row r="310">
          <cell r="A310">
            <v>6111</v>
          </cell>
          <cell r="B310" t="str">
            <v>Transporte Maritimo Internacional</v>
          </cell>
          <cell r="C310">
            <v>0</v>
          </cell>
          <cell r="D310">
            <v>0</v>
          </cell>
          <cell r="E310">
            <v>0</v>
          </cell>
          <cell r="F310">
            <v>0</v>
          </cell>
          <cell r="G310">
            <v>0</v>
          </cell>
          <cell r="H310">
            <v>0</v>
          </cell>
          <cell r="I310">
            <v>0</v>
          </cell>
          <cell r="J310">
            <v>0</v>
          </cell>
        </row>
        <row r="311">
          <cell r="A311">
            <v>6112</v>
          </cell>
          <cell r="B311" t="str">
            <v>Transporte Maritimo De Cabotaje</v>
          </cell>
          <cell r="C311">
            <v>0</v>
          </cell>
          <cell r="D311">
            <v>0</v>
          </cell>
          <cell r="E311">
            <v>0</v>
          </cell>
          <cell r="F311">
            <v>0</v>
          </cell>
          <cell r="G311">
            <v>0</v>
          </cell>
          <cell r="H311">
            <v>0</v>
          </cell>
          <cell r="I311">
            <v>0</v>
          </cell>
          <cell r="J311">
            <v>0</v>
          </cell>
        </row>
        <row r="312">
          <cell r="A312">
            <v>6120</v>
          </cell>
          <cell r="B312" t="str">
            <v>Transporte Fluvial</v>
          </cell>
          <cell r="C312">
            <v>0</v>
          </cell>
          <cell r="D312">
            <v>0</v>
          </cell>
          <cell r="E312">
            <v>0</v>
          </cell>
          <cell r="F312">
            <v>0</v>
          </cell>
          <cell r="G312">
            <v>0</v>
          </cell>
          <cell r="H312">
            <v>0</v>
          </cell>
          <cell r="I312">
            <v>0</v>
          </cell>
          <cell r="J312">
            <v>0</v>
          </cell>
        </row>
        <row r="313">
          <cell r="A313">
            <v>6211</v>
          </cell>
          <cell r="B313" t="str">
            <v>Transporte Regular Nacional De Pasajeros Por Via Aerea</v>
          </cell>
          <cell r="C313">
            <v>0</v>
          </cell>
          <cell r="D313">
            <v>0</v>
          </cell>
          <cell r="E313">
            <v>0</v>
          </cell>
          <cell r="F313">
            <v>0</v>
          </cell>
          <cell r="G313">
            <v>0</v>
          </cell>
          <cell r="H313">
            <v>0</v>
          </cell>
          <cell r="I313">
            <v>0</v>
          </cell>
          <cell r="J313">
            <v>0</v>
          </cell>
        </row>
        <row r="314">
          <cell r="A314">
            <v>6212</v>
          </cell>
          <cell r="B314" t="str">
            <v>Transporte Regular Nacional De Carga Por Via Aerea</v>
          </cell>
          <cell r="C314">
            <v>0</v>
          </cell>
          <cell r="D314">
            <v>0</v>
          </cell>
          <cell r="E314">
            <v>0</v>
          </cell>
          <cell r="F314">
            <v>0</v>
          </cell>
          <cell r="G314">
            <v>0</v>
          </cell>
          <cell r="H314">
            <v>0</v>
          </cell>
          <cell r="I314">
            <v>0</v>
          </cell>
          <cell r="J314">
            <v>0</v>
          </cell>
        </row>
        <row r="315">
          <cell r="A315">
            <v>6213</v>
          </cell>
          <cell r="B315" t="str">
            <v>Transporte Regular Internacional De Pasajeros, Por Via Aerea</v>
          </cell>
          <cell r="C315">
            <v>0</v>
          </cell>
          <cell r="D315">
            <v>0</v>
          </cell>
          <cell r="E315">
            <v>0</v>
          </cell>
          <cell r="F315">
            <v>0</v>
          </cell>
          <cell r="G315">
            <v>0</v>
          </cell>
          <cell r="H315">
            <v>0</v>
          </cell>
          <cell r="I315">
            <v>0</v>
          </cell>
          <cell r="J315">
            <v>0</v>
          </cell>
        </row>
        <row r="316">
          <cell r="A316">
            <v>6214</v>
          </cell>
          <cell r="B316" t="str">
            <v>Transporte Regular Internacional De Carga, Por Via Aerea</v>
          </cell>
          <cell r="C316">
            <v>0</v>
          </cell>
          <cell r="D316">
            <v>0</v>
          </cell>
          <cell r="E316">
            <v>0</v>
          </cell>
          <cell r="F316">
            <v>0</v>
          </cell>
          <cell r="G316">
            <v>0</v>
          </cell>
          <cell r="H316">
            <v>0</v>
          </cell>
          <cell r="I316">
            <v>0</v>
          </cell>
          <cell r="J316">
            <v>0</v>
          </cell>
        </row>
        <row r="317">
          <cell r="A317">
            <v>6220</v>
          </cell>
          <cell r="B317" t="str">
            <v>Transporte No Regular, Por Via Aerea</v>
          </cell>
          <cell r="C317">
            <v>0</v>
          </cell>
          <cell r="D317">
            <v>0</v>
          </cell>
          <cell r="E317">
            <v>0</v>
          </cell>
          <cell r="F317">
            <v>0</v>
          </cell>
          <cell r="G317">
            <v>0</v>
          </cell>
          <cell r="H317">
            <v>0</v>
          </cell>
          <cell r="I317">
            <v>0</v>
          </cell>
          <cell r="J317">
            <v>0</v>
          </cell>
        </row>
        <row r="318">
          <cell r="A318">
            <v>6310</v>
          </cell>
          <cell r="B318" t="str">
            <v>Manipulacion De Carga</v>
          </cell>
          <cell r="C318">
            <v>0</v>
          </cell>
          <cell r="D318">
            <v>0</v>
          </cell>
          <cell r="E318">
            <v>0</v>
          </cell>
          <cell r="F318">
            <v>0</v>
          </cell>
          <cell r="G318">
            <v>0</v>
          </cell>
          <cell r="H318">
            <v>0</v>
          </cell>
          <cell r="I318">
            <v>0</v>
          </cell>
          <cell r="J318">
            <v>0</v>
          </cell>
        </row>
        <row r="319">
          <cell r="A319">
            <v>6320</v>
          </cell>
          <cell r="B319" t="str">
            <v>Almacenamiento Y Deposito</v>
          </cell>
          <cell r="C319">
            <v>0</v>
          </cell>
          <cell r="D319">
            <v>0</v>
          </cell>
          <cell r="E319">
            <v>0</v>
          </cell>
          <cell r="F319">
            <v>0</v>
          </cell>
          <cell r="G319">
            <v>0</v>
          </cell>
          <cell r="H319">
            <v>0</v>
          </cell>
          <cell r="I319">
            <v>0</v>
          </cell>
          <cell r="J319">
            <v>0</v>
          </cell>
        </row>
        <row r="320">
          <cell r="A320">
            <v>6331</v>
          </cell>
          <cell r="B320" t="str">
            <v>Actividades De Estaciones De Transporte Terrestre</v>
          </cell>
          <cell r="C320">
            <v>0</v>
          </cell>
          <cell r="D320">
            <v>0</v>
          </cell>
          <cell r="E320">
            <v>0</v>
          </cell>
          <cell r="F320">
            <v>0</v>
          </cell>
          <cell r="G320">
            <v>0</v>
          </cell>
          <cell r="H320">
            <v>0</v>
          </cell>
          <cell r="I320">
            <v>0</v>
          </cell>
          <cell r="J320">
            <v>0</v>
          </cell>
        </row>
        <row r="321">
          <cell r="A321">
            <v>6332</v>
          </cell>
          <cell r="B321" t="str">
            <v>Actividades De Estaciones De Transporte Acuatico</v>
          </cell>
          <cell r="C321">
            <v>0</v>
          </cell>
          <cell r="D321">
            <v>0</v>
          </cell>
          <cell r="E321">
            <v>0</v>
          </cell>
          <cell r="F321">
            <v>0</v>
          </cell>
          <cell r="G321">
            <v>0</v>
          </cell>
          <cell r="H321">
            <v>0</v>
          </cell>
          <cell r="I321">
            <v>0</v>
          </cell>
          <cell r="J321">
            <v>0</v>
          </cell>
        </row>
        <row r="322">
          <cell r="A322">
            <v>6333</v>
          </cell>
          <cell r="B322" t="str">
            <v>Actividades De Aeropuertos</v>
          </cell>
          <cell r="C322">
            <v>0</v>
          </cell>
          <cell r="D322">
            <v>0</v>
          </cell>
          <cell r="E322">
            <v>0</v>
          </cell>
          <cell r="F322">
            <v>0</v>
          </cell>
          <cell r="G322">
            <v>0</v>
          </cell>
          <cell r="H322">
            <v>0</v>
          </cell>
          <cell r="I322">
            <v>0</v>
          </cell>
          <cell r="J322">
            <v>0</v>
          </cell>
        </row>
        <row r="323">
          <cell r="A323">
            <v>6339</v>
          </cell>
          <cell r="B323" t="str">
            <v>Otras Actividades Complementarias Del Transporte</v>
          </cell>
          <cell r="C323">
            <v>0</v>
          </cell>
          <cell r="D323">
            <v>0</v>
          </cell>
          <cell r="E323">
            <v>0</v>
          </cell>
          <cell r="F323">
            <v>0</v>
          </cell>
          <cell r="G323">
            <v>0</v>
          </cell>
          <cell r="H323">
            <v>0</v>
          </cell>
          <cell r="I323">
            <v>0</v>
          </cell>
          <cell r="J323">
            <v>0</v>
          </cell>
        </row>
        <row r="324">
          <cell r="A324">
            <v>6340</v>
          </cell>
          <cell r="B324" t="str">
            <v>Actividades De Agencias De Viajes Y Organizadores De Viajes; Actividades De Asistencia A Turistas Ncp</v>
          </cell>
          <cell r="C324">
            <v>0</v>
          </cell>
          <cell r="D324">
            <v>0</v>
          </cell>
          <cell r="E324">
            <v>0</v>
          </cell>
          <cell r="F324">
            <v>0</v>
          </cell>
          <cell r="G324">
            <v>0</v>
          </cell>
          <cell r="H324">
            <v>0</v>
          </cell>
          <cell r="I324">
            <v>0</v>
          </cell>
          <cell r="J324">
            <v>0</v>
          </cell>
        </row>
        <row r="325">
          <cell r="A325">
            <v>6390</v>
          </cell>
          <cell r="B325" t="str">
            <v>Actividades De Otras Agencias De Transporte</v>
          </cell>
          <cell r="C325">
            <v>0</v>
          </cell>
          <cell r="D325">
            <v>0</v>
          </cell>
          <cell r="E325">
            <v>0</v>
          </cell>
          <cell r="F325">
            <v>0</v>
          </cell>
          <cell r="G325">
            <v>0</v>
          </cell>
          <cell r="H325">
            <v>0</v>
          </cell>
          <cell r="I325">
            <v>0</v>
          </cell>
          <cell r="J325">
            <v>0</v>
          </cell>
        </row>
        <row r="326">
          <cell r="A326">
            <v>6411</v>
          </cell>
          <cell r="B326" t="str">
            <v>Actividades Postales Nacionales</v>
          </cell>
          <cell r="C326">
            <v>0</v>
          </cell>
          <cell r="D326">
            <v>0</v>
          </cell>
          <cell r="E326">
            <v>0</v>
          </cell>
          <cell r="F326">
            <v>0</v>
          </cell>
          <cell r="G326">
            <v>0</v>
          </cell>
          <cell r="H326">
            <v>0</v>
          </cell>
          <cell r="I326">
            <v>0</v>
          </cell>
          <cell r="J326">
            <v>0</v>
          </cell>
        </row>
        <row r="327">
          <cell r="A327">
            <v>6412</v>
          </cell>
          <cell r="B327" t="str">
            <v>Actividades De Correo Distintas De Las Actividades Postales Nacionales</v>
          </cell>
          <cell r="C327">
            <v>0</v>
          </cell>
          <cell r="D327">
            <v>0</v>
          </cell>
          <cell r="E327">
            <v>0</v>
          </cell>
          <cell r="F327">
            <v>0</v>
          </cell>
          <cell r="G327">
            <v>0</v>
          </cell>
          <cell r="H327">
            <v>0</v>
          </cell>
          <cell r="I327">
            <v>0</v>
          </cell>
          <cell r="J327">
            <v>0</v>
          </cell>
        </row>
        <row r="328">
          <cell r="A328">
            <v>6421</v>
          </cell>
          <cell r="B328" t="str">
            <v>Servicios Telefonicos</v>
          </cell>
          <cell r="C328">
            <v>0</v>
          </cell>
          <cell r="D328">
            <v>0</v>
          </cell>
          <cell r="E328">
            <v>0</v>
          </cell>
          <cell r="F328">
            <v>0</v>
          </cell>
          <cell r="G328">
            <v>0</v>
          </cell>
          <cell r="H328">
            <v>0</v>
          </cell>
          <cell r="I328">
            <v>0</v>
          </cell>
          <cell r="J328">
            <v>0</v>
          </cell>
        </row>
        <row r="329">
          <cell r="A329">
            <v>6422</v>
          </cell>
          <cell r="B329" t="str">
            <v>Servicios De Transmision De Datos A Traves De Redes</v>
          </cell>
          <cell r="C329">
            <v>0</v>
          </cell>
          <cell r="D329">
            <v>0</v>
          </cell>
          <cell r="E329">
            <v>0</v>
          </cell>
          <cell r="F329">
            <v>0</v>
          </cell>
          <cell r="G329">
            <v>0</v>
          </cell>
          <cell r="H329">
            <v>0</v>
          </cell>
          <cell r="I329">
            <v>0</v>
          </cell>
          <cell r="J329">
            <v>0</v>
          </cell>
        </row>
        <row r="330">
          <cell r="A330">
            <v>6423</v>
          </cell>
          <cell r="B330" t="str">
            <v>Servicios De Transmision De Programas De Radio Y Television</v>
          </cell>
          <cell r="C330">
            <v>0</v>
          </cell>
          <cell r="D330">
            <v>0</v>
          </cell>
          <cell r="E330">
            <v>0</v>
          </cell>
          <cell r="F330">
            <v>0</v>
          </cell>
          <cell r="G330">
            <v>0</v>
          </cell>
          <cell r="H330">
            <v>0</v>
          </cell>
          <cell r="I330">
            <v>0</v>
          </cell>
          <cell r="J330">
            <v>0</v>
          </cell>
        </row>
        <row r="331">
          <cell r="A331">
            <v>6424</v>
          </cell>
          <cell r="B331" t="str">
            <v>Servicios De Transmision Por Cable</v>
          </cell>
          <cell r="C331">
            <v>0</v>
          </cell>
          <cell r="D331">
            <v>0</v>
          </cell>
          <cell r="E331">
            <v>0</v>
          </cell>
          <cell r="F331">
            <v>0</v>
          </cell>
          <cell r="G331">
            <v>0</v>
          </cell>
          <cell r="H331">
            <v>0</v>
          </cell>
          <cell r="I331">
            <v>0</v>
          </cell>
          <cell r="J331">
            <v>0</v>
          </cell>
        </row>
        <row r="332">
          <cell r="A332">
            <v>6425</v>
          </cell>
          <cell r="B332" t="str">
            <v>Otros Servicios De Telecomunicaciones</v>
          </cell>
          <cell r="C332">
            <v>0</v>
          </cell>
          <cell r="D332">
            <v>0</v>
          </cell>
          <cell r="E332">
            <v>0</v>
          </cell>
          <cell r="F332">
            <v>0</v>
          </cell>
          <cell r="G332">
            <v>0</v>
          </cell>
          <cell r="H332">
            <v>0</v>
          </cell>
          <cell r="I332">
            <v>0</v>
          </cell>
          <cell r="J332">
            <v>0</v>
          </cell>
        </row>
        <row r="333">
          <cell r="A333">
            <v>6426</v>
          </cell>
          <cell r="B333" t="str">
            <v>Servicios Relacionados Con Las Trelecomunicaciones</v>
          </cell>
          <cell r="C333">
            <v>0</v>
          </cell>
          <cell r="D333">
            <v>0</v>
          </cell>
          <cell r="E333">
            <v>0</v>
          </cell>
          <cell r="F333">
            <v>0</v>
          </cell>
          <cell r="G333">
            <v>0</v>
          </cell>
          <cell r="H333">
            <v>0</v>
          </cell>
          <cell r="I333">
            <v>0</v>
          </cell>
          <cell r="J333">
            <v>0</v>
          </cell>
        </row>
        <row r="334">
          <cell r="A334">
            <v>6511</v>
          </cell>
          <cell r="B334" t="str">
            <v>Banca Central</v>
          </cell>
          <cell r="C334">
            <v>0</v>
          </cell>
          <cell r="D334">
            <v>0</v>
          </cell>
          <cell r="E334">
            <v>0</v>
          </cell>
          <cell r="F334">
            <v>0</v>
          </cell>
          <cell r="G334">
            <v>0</v>
          </cell>
          <cell r="H334">
            <v>0</v>
          </cell>
          <cell r="I334">
            <v>0</v>
          </cell>
          <cell r="J334">
            <v>0</v>
          </cell>
        </row>
        <row r="335">
          <cell r="A335">
            <v>6512</v>
          </cell>
          <cell r="B335" t="str">
            <v>Actividades De Los Bancos Diferentes del Banco Central</v>
          </cell>
          <cell r="C335">
            <v>0</v>
          </cell>
          <cell r="D335">
            <v>0</v>
          </cell>
          <cell r="E335">
            <v>0</v>
          </cell>
          <cell r="F335">
            <v>0</v>
          </cell>
          <cell r="G335">
            <v>0</v>
          </cell>
          <cell r="H335">
            <v>0</v>
          </cell>
          <cell r="I335">
            <v>0</v>
          </cell>
          <cell r="J335">
            <v>0</v>
          </cell>
        </row>
        <row r="336">
          <cell r="A336">
            <v>6513</v>
          </cell>
          <cell r="B336" t="str">
            <v>Actividades De Las Corporaciones De Ahorro Y Vivienda</v>
          </cell>
          <cell r="C336">
            <v>0</v>
          </cell>
          <cell r="D336">
            <v>0</v>
          </cell>
          <cell r="E336">
            <v>0</v>
          </cell>
          <cell r="F336">
            <v>0</v>
          </cell>
          <cell r="G336">
            <v>0</v>
          </cell>
          <cell r="H336">
            <v>0</v>
          </cell>
          <cell r="I336">
            <v>0</v>
          </cell>
          <cell r="J336">
            <v>0</v>
          </cell>
        </row>
        <row r="337">
          <cell r="A337">
            <v>6514</v>
          </cell>
          <cell r="B337" t="str">
            <v>Actividades De Las Corporaciones Financieras</v>
          </cell>
          <cell r="C337">
            <v>0</v>
          </cell>
          <cell r="D337">
            <v>0</v>
          </cell>
          <cell r="E337">
            <v>0</v>
          </cell>
          <cell r="F337">
            <v>0</v>
          </cell>
          <cell r="G337">
            <v>0</v>
          </cell>
          <cell r="H337">
            <v>0</v>
          </cell>
          <cell r="I337">
            <v>0</v>
          </cell>
          <cell r="J337">
            <v>0</v>
          </cell>
        </row>
        <row r="338">
          <cell r="A338">
            <v>6515</v>
          </cell>
          <cell r="B338" t="str">
            <v>Actividades De Las Compañias De Financiamiento Comercial</v>
          </cell>
          <cell r="C338">
            <v>0</v>
          </cell>
          <cell r="D338">
            <v>0</v>
          </cell>
          <cell r="E338">
            <v>0</v>
          </cell>
          <cell r="F338">
            <v>0</v>
          </cell>
          <cell r="G338">
            <v>0</v>
          </cell>
          <cell r="H338">
            <v>0</v>
          </cell>
          <cell r="I338">
            <v>0</v>
          </cell>
          <cell r="J338">
            <v>0</v>
          </cell>
        </row>
        <row r="339">
          <cell r="A339">
            <v>6516</v>
          </cell>
          <cell r="B339" t="str">
            <v>Actividades De Las Cooperativas De Grado Superior De Caracter Financiero</v>
          </cell>
          <cell r="C339">
            <v>0</v>
          </cell>
          <cell r="D339">
            <v>0</v>
          </cell>
          <cell r="E339">
            <v>0</v>
          </cell>
          <cell r="F339">
            <v>0</v>
          </cell>
          <cell r="G339">
            <v>0</v>
          </cell>
          <cell r="H339">
            <v>0</v>
          </cell>
          <cell r="I339">
            <v>0</v>
          </cell>
          <cell r="J339">
            <v>0</v>
          </cell>
        </row>
        <row r="340">
          <cell r="A340">
            <v>6519</v>
          </cell>
          <cell r="B340" t="str">
            <v>Otros Tipos De Intermediacion Monetaria Ncp</v>
          </cell>
          <cell r="C340">
            <v>0</v>
          </cell>
          <cell r="D340">
            <v>0</v>
          </cell>
          <cell r="E340">
            <v>0</v>
          </cell>
          <cell r="F340">
            <v>0</v>
          </cell>
          <cell r="G340">
            <v>0</v>
          </cell>
          <cell r="H340">
            <v>0</v>
          </cell>
          <cell r="I340">
            <v>0</v>
          </cell>
          <cell r="J340">
            <v>0</v>
          </cell>
        </row>
        <row r="341">
          <cell r="A341">
            <v>6591</v>
          </cell>
          <cell r="B341" t="str">
            <v>Arrendamiento Financiero (Leasing)</v>
          </cell>
          <cell r="C341">
            <v>0</v>
          </cell>
          <cell r="D341">
            <v>0</v>
          </cell>
          <cell r="E341">
            <v>0</v>
          </cell>
          <cell r="F341">
            <v>0</v>
          </cell>
          <cell r="G341">
            <v>0</v>
          </cell>
          <cell r="H341">
            <v>0</v>
          </cell>
          <cell r="I341">
            <v>0</v>
          </cell>
          <cell r="J341">
            <v>0</v>
          </cell>
        </row>
        <row r="342">
          <cell r="A342">
            <v>6592</v>
          </cell>
          <cell r="B342" t="str">
            <v>Actividades De Las Sociedades De Fiducia</v>
          </cell>
          <cell r="C342">
            <v>0</v>
          </cell>
          <cell r="D342">
            <v>0</v>
          </cell>
          <cell r="E342">
            <v>0</v>
          </cell>
          <cell r="F342">
            <v>0</v>
          </cell>
          <cell r="G342">
            <v>0</v>
          </cell>
          <cell r="H342">
            <v>0</v>
          </cell>
          <cell r="I342">
            <v>0</v>
          </cell>
          <cell r="J342">
            <v>0</v>
          </cell>
        </row>
        <row r="343">
          <cell r="A343">
            <v>6593</v>
          </cell>
          <cell r="B343" t="str">
            <v>Actividades De Las Cooperativas Financieras Y Fondos De Empeados</v>
          </cell>
          <cell r="C343">
            <v>0</v>
          </cell>
          <cell r="D343">
            <v>0</v>
          </cell>
          <cell r="E343">
            <v>0</v>
          </cell>
          <cell r="F343">
            <v>0</v>
          </cell>
          <cell r="G343">
            <v>0</v>
          </cell>
          <cell r="H343">
            <v>0</v>
          </cell>
          <cell r="I343">
            <v>0</v>
          </cell>
          <cell r="J343">
            <v>0</v>
          </cell>
        </row>
        <row r="344">
          <cell r="A344">
            <v>6594</v>
          </cell>
          <cell r="B344" t="str">
            <v>Actividades De Las Sociedades De Capitalizacion</v>
          </cell>
          <cell r="C344">
            <v>0</v>
          </cell>
          <cell r="D344">
            <v>0</v>
          </cell>
          <cell r="E344">
            <v>0</v>
          </cell>
          <cell r="F344">
            <v>0</v>
          </cell>
          <cell r="G344">
            <v>0</v>
          </cell>
          <cell r="H344">
            <v>0</v>
          </cell>
          <cell r="I344">
            <v>0</v>
          </cell>
          <cell r="J344">
            <v>0</v>
          </cell>
        </row>
        <row r="345">
          <cell r="A345">
            <v>6595</v>
          </cell>
          <cell r="B345" t="str">
            <v>Actividades De Compra De Cartera (Factoring)</v>
          </cell>
          <cell r="C345">
            <v>0</v>
          </cell>
          <cell r="D345">
            <v>0</v>
          </cell>
          <cell r="E345">
            <v>0</v>
          </cell>
          <cell r="F345">
            <v>0</v>
          </cell>
          <cell r="G345">
            <v>0</v>
          </cell>
          <cell r="H345">
            <v>0</v>
          </cell>
          <cell r="I345">
            <v>0</v>
          </cell>
          <cell r="J345">
            <v>0</v>
          </cell>
        </row>
        <row r="346">
          <cell r="A346">
            <v>6596</v>
          </cell>
          <cell r="B346" t="str">
            <v>Otros Tipos De Credito</v>
          </cell>
          <cell r="C346">
            <v>0</v>
          </cell>
          <cell r="D346">
            <v>0</v>
          </cell>
          <cell r="E346">
            <v>0</v>
          </cell>
          <cell r="F346">
            <v>0</v>
          </cell>
          <cell r="G346">
            <v>0</v>
          </cell>
          <cell r="H346">
            <v>0</v>
          </cell>
          <cell r="I346">
            <v>0</v>
          </cell>
          <cell r="J346">
            <v>0</v>
          </cell>
        </row>
        <row r="347">
          <cell r="A347">
            <v>6599</v>
          </cell>
          <cell r="B347" t="str">
            <v>Otros Tipos De Intermediacion Financiera Ncp</v>
          </cell>
          <cell r="C347">
            <v>0</v>
          </cell>
          <cell r="D347">
            <v>0</v>
          </cell>
          <cell r="E347">
            <v>0</v>
          </cell>
          <cell r="F347">
            <v>0</v>
          </cell>
          <cell r="G347">
            <v>0</v>
          </cell>
          <cell r="H347">
            <v>0</v>
          </cell>
          <cell r="I347">
            <v>0</v>
          </cell>
          <cell r="J347">
            <v>0</v>
          </cell>
        </row>
        <row r="348">
          <cell r="A348">
            <v>6601</v>
          </cell>
          <cell r="B348" t="str">
            <v>Planes De Seguros Generales</v>
          </cell>
          <cell r="C348">
            <v>0</v>
          </cell>
          <cell r="D348">
            <v>0</v>
          </cell>
          <cell r="E348">
            <v>0</v>
          </cell>
          <cell r="F348">
            <v>0</v>
          </cell>
          <cell r="G348">
            <v>0</v>
          </cell>
          <cell r="H348">
            <v>0</v>
          </cell>
          <cell r="I348">
            <v>0</v>
          </cell>
          <cell r="J348">
            <v>0</v>
          </cell>
        </row>
        <row r="349">
          <cell r="A349">
            <v>6602</v>
          </cell>
          <cell r="B349" t="str">
            <v>Planes De Seguros De Vida</v>
          </cell>
          <cell r="C349">
            <v>0</v>
          </cell>
          <cell r="D349">
            <v>0</v>
          </cell>
          <cell r="E349">
            <v>0</v>
          </cell>
          <cell r="F349">
            <v>0</v>
          </cell>
          <cell r="G349">
            <v>0</v>
          </cell>
          <cell r="H349">
            <v>0</v>
          </cell>
          <cell r="I349">
            <v>0</v>
          </cell>
          <cell r="J349">
            <v>0</v>
          </cell>
        </row>
        <row r="350">
          <cell r="A350">
            <v>6603</v>
          </cell>
          <cell r="B350" t="str">
            <v>Planes De Reaseguros</v>
          </cell>
          <cell r="C350">
            <v>0</v>
          </cell>
          <cell r="D350">
            <v>0</v>
          </cell>
          <cell r="E350">
            <v>0</v>
          </cell>
          <cell r="F350">
            <v>0</v>
          </cell>
          <cell r="G350">
            <v>0</v>
          </cell>
          <cell r="H350">
            <v>0</v>
          </cell>
          <cell r="I350">
            <v>0</v>
          </cell>
          <cell r="J350">
            <v>0</v>
          </cell>
        </row>
        <row r="351">
          <cell r="A351">
            <v>6604</v>
          </cell>
          <cell r="B351" t="str">
            <v>Planes De Pensiones Y Cesantias</v>
          </cell>
          <cell r="C351">
            <v>0</v>
          </cell>
          <cell r="D351">
            <v>0</v>
          </cell>
          <cell r="E351">
            <v>0</v>
          </cell>
          <cell r="F351">
            <v>0</v>
          </cell>
          <cell r="G351">
            <v>0</v>
          </cell>
          <cell r="H351">
            <v>0</v>
          </cell>
          <cell r="I351">
            <v>0</v>
          </cell>
          <cell r="J351">
            <v>0</v>
          </cell>
        </row>
        <row r="352">
          <cell r="A352">
            <v>6711</v>
          </cell>
          <cell r="B352" t="str">
            <v>Administracion De Mercados Financieros</v>
          </cell>
          <cell r="C352">
            <v>0</v>
          </cell>
          <cell r="D352">
            <v>0</v>
          </cell>
          <cell r="E352">
            <v>0</v>
          </cell>
          <cell r="F352">
            <v>0</v>
          </cell>
          <cell r="G352">
            <v>0</v>
          </cell>
          <cell r="H352">
            <v>0</v>
          </cell>
          <cell r="I352">
            <v>0</v>
          </cell>
          <cell r="J352">
            <v>0</v>
          </cell>
        </row>
        <row r="353">
          <cell r="A353">
            <v>6712</v>
          </cell>
          <cell r="B353" t="str">
            <v>Actividades De Las Bolsas De Valores</v>
          </cell>
          <cell r="C353">
            <v>0</v>
          </cell>
          <cell r="D353">
            <v>0</v>
          </cell>
          <cell r="E353">
            <v>0</v>
          </cell>
          <cell r="F353">
            <v>0</v>
          </cell>
          <cell r="G353">
            <v>0</v>
          </cell>
          <cell r="H353">
            <v>0</v>
          </cell>
          <cell r="I353">
            <v>0</v>
          </cell>
          <cell r="J353">
            <v>0</v>
          </cell>
        </row>
        <row r="354">
          <cell r="A354">
            <v>6713</v>
          </cell>
          <cell r="B354" t="str">
            <v>Actividades De Comisionistas Y Corredores De Valores</v>
          </cell>
          <cell r="C354">
            <v>0</v>
          </cell>
          <cell r="D354">
            <v>0</v>
          </cell>
          <cell r="E354">
            <v>0</v>
          </cell>
          <cell r="F354">
            <v>0</v>
          </cell>
          <cell r="G354">
            <v>0</v>
          </cell>
          <cell r="H354">
            <v>0</v>
          </cell>
          <cell r="I354">
            <v>0</v>
          </cell>
          <cell r="J354">
            <v>0</v>
          </cell>
        </row>
        <row r="355">
          <cell r="A355">
            <v>6714</v>
          </cell>
          <cell r="B355" t="str">
            <v>Otras Actividades Relacionadas Con El Mercado De Valores</v>
          </cell>
          <cell r="C355">
            <v>0</v>
          </cell>
          <cell r="D355">
            <v>0</v>
          </cell>
          <cell r="E355">
            <v>0</v>
          </cell>
          <cell r="F355">
            <v>0</v>
          </cell>
          <cell r="G355">
            <v>0</v>
          </cell>
          <cell r="H355">
            <v>0</v>
          </cell>
          <cell r="I355">
            <v>0</v>
          </cell>
          <cell r="J355">
            <v>0</v>
          </cell>
        </row>
        <row r="356">
          <cell r="A356">
            <v>6715</v>
          </cell>
          <cell r="B356" t="str">
            <v>Actividades De Las Casas De Cambio</v>
          </cell>
          <cell r="C356">
            <v>0</v>
          </cell>
          <cell r="D356">
            <v>0</v>
          </cell>
          <cell r="E356">
            <v>0</v>
          </cell>
          <cell r="F356">
            <v>0</v>
          </cell>
          <cell r="G356">
            <v>0</v>
          </cell>
          <cell r="H356">
            <v>0</v>
          </cell>
          <cell r="I356">
            <v>0</v>
          </cell>
          <cell r="J356">
            <v>0</v>
          </cell>
        </row>
        <row r="357">
          <cell r="A357">
            <v>6719</v>
          </cell>
          <cell r="B357" t="str">
            <v>Actividades Auxiliares De La Administracion Financiera Ncp</v>
          </cell>
          <cell r="C357">
            <v>0</v>
          </cell>
          <cell r="D357">
            <v>0</v>
          </cell>
          <cell r="E357">
            <v>0</v>
          </cell>
          <cell r="F357">
            <v>0</v>
          </cell>
          <cell r="G357">
            <v>0</v>
          </cell>
          <cell r="H357">
            <v>0</v>
          </cell>
          <cell r="I357">
            <v>0</v>
          </cell>
          <cell r="J357">
            <v>0</v>
          </cell>
        </row>
        <row r="358">
          <cell r="A358">
            <v>6721</v>
          </cell>
          <cell r="B358" t="str">
            <v>Actividades Auxiliares De Los Seguros</v>
          </cell>
          <cell r="C358">
            <v>0</v>
          </cell>
          <cell r="D358">
            <v>0</v>
          </cell>
          <cell r="E358">
            <v>0</v>
          </cell>
          <cell r="F358">
            <v>0</v>
          </cell>
          <cell r="G358">
            <v>0</v>
          </cell>
          <cell r="H358">
            <v>0</v>
          </cell>
          <cell r="I358">
            <v>0</v>
          </cell>
          <cell r="J358">
            <v>0</v>
          </cell>
        </row>
        <row r="359">
          <cell r="A359">
            <v>6722</v>
          </cell>
          <cell r="B359" t="str">
            <v>Actividades Auxiliares De Los Fondos De Pensiones Y Cesantias</v>
          </cell>
          <cell r="C359">
            <v>0</v>
          </cell>
          <cell r="D359">
            <v>0</v>
          </cell>
          <cell r="E359">
            <v>0</v>
          </cell>
          <cell r="F359">
            <v>0</v>
          </cell>
          <cell r="G359">
            <v>0</v>
          </cell>
          <cell r="H359">
            <v>0</v>
          </cell>
          <cell r="I359">
            <v>0</v>
          </cell>
          <cell r="J359">
            <v>0</v>
          </cell>
        </row>
        <row r="360">
          <cell r="A360">
            <v>7010</v>
          </cell>
          <cell r="B360" t="str">
            <v>Actividades Inmobiliarias Realizadas Con Bienes Propios O Arrendados</v>
          </cell>
          <cell r="C360">
            <v>0</v>
          </cell>
          <cell r="D360">
            <v>0</v>
          </cell>
          <cell r="E360">
            <v>0</v>
          </cell>
          <cell r="F360">
            <v>0</v>
          </cell>
          <cell r="G360">
            <v>0</v>
          </cell>
          <cell r="H360">
            <v>0</v>
          </cell>
          <cell r="I360">
            <v>0</v>
          </cell>
          <cell r="J360">
            <v>0</v>
          </cell>
        </row>
        <row r="361">
          <cell r="A361">
            <v>7020</v>
          </cell>
          <cell r="B361" t="str">
            <v>Actividades Inmobiliarias A Cambio De Una Retribucion O Por Contrata</v>
          </cell>
          <cell r="C361">
            <v>0</v>
          </cell>
          <cell r="D361">
            <v>0</v>
          </cell>
          <cell r="E361">
            <v>0</v>
          </cell>
          <cell r="F361">
            <v>0</v>
          </cell>
          <cell r="G361">
            <v>0</v>
          </cell>
          <cell r="H361">
            <v>0</v>
          </cell>
          <cell r="I361">
            <v>0</v>
          </cell>
          <cell r="J361">
            <v>0</v>
          </cell>
        </row>
        <row r="362">
          <cell r="A362">
            <v>7111</v>
          </cell>
          <cell r="B362" t="str">
            <v>Alquiler De Equipo De Transporte Terrestre</v>
          </cell>
          <cell r="C362">
            <v>0</v>
          </cell>
          <cell r="D362">
            <v>0</v>
          </cell>
          <cell r="E362">
            <v>0</v>
          </cell>
          <cell r="F362">
            <v>0</v>
          </cell>
          <cell r="G362">
            <v>0</v>
          </cell>
          <cell r="H362">
            <v>0</v>
          </cell>
          <cell r="I362">
            <v>0</v>
          </cell>
          <cell r="J362">
            <v>0</v>
          </cell>
        </row>
        <row r="363">
          <cell r="A363">
            <v>7112</v>
          </cell>
          <cell r="B363" t="str">
            <v>Alquiler De Equipo De Transporte Acuatico</v>
          </cell>
          <cell r="C363">
            <v>0</v>
          </cell>
          <cell r="D363">
            <v>0</v>
          </cell>
          <cell r="E363">
            <v>0</v>
          </cell>
          <cell r="F363">
            <v>0</v>
          </cell>
          <cell r="G363">
            <v>0</v>
          </cell>
          <cell r="H363">
            <v>0</v>
          </cell>
          <cell r="I363">
            <v>0</v>
          </cell>
          <cell r="J363">
            <v>0</v>
          </cell>
        </row>
        <row r="364">
          <cell r="A364">
            <v>7113</v>
          </cell>
          <cell r="B364" t="str">
            <v>Alquiler De Equipo De Transporte Aereo</v>
          </cell>
          <cell r="C364">
            <v>0</v>
          </cell>
          <cell r="D364">
            <v>0</v>
          </cell>
          <cell r="E364">
            <v>0</v>
          </cell>
          <cell r="F364">
            <v>0</v>
          </cell>
          <cell r="G364">
            <v>0</v>
          </cell>
          <cell r="H364">
            <v>0</v>
          </cell>
          <cell r="I364">
            <v>0</v>
          </cell>
          <cell r="J364">
            <v>0</v>
          </cell>
        </row>
        <row r="365">
          <cell r="A365">
            <v>7121</v>
          </cell>
          <cell r="B365" t="str">
            <v>Alquiler De Maquinaria Y Equipo Agropecuario</v>
          </cell>
          <cell r="C365">
            <v>0</v>
          </cell>
          <cell r="D365">
            <v>0</v>
          </cell>
          <cell r="E365">
            <v>0</v>
          </cell>
          <cell r="F365">
            <v>0</v>
          </cell>
          <cell r="G365">
            <v>0</v>
          </cell>
          <cell r="H365">
            <v>0</v>
          </cell>
          <cell r="I365">
            <v>0</v>
          </cell>
          <cell r="J365">
            <v>0</v>
          </cell>
        </row>
        <row r="366">
          <cell r="A366">
            <v>7122</v>
          </cell>
          <cell r="B366" t="str">
            <v>Alquiler De Maquinaria Y Equipo De Construccion Y De Ingenieria Civil</v>
          </cell>
          <cell r="C366">
            <v>0</v>
          </cell>
          <cell r="D366">
            <v>0</v>
          </cell>
          <cell r="E366">
            <v>0</v>
          </cell>
          <cell r="F366">
            <v>0</v>
          </cell>
          <cell r="G366">
            <v>0</v>
          </cell>
          <cell r="H366">
            <v>0</v>
          </cell>
          <cell r="I366">
            <v>0</v>
          </cell>
          <cell r="J366">
            <v>0</v>
          </cell>
        </row>
        <row r="367">
          <cell r="A367">
            <v>7123</v>
          </cell>
          <cell r="B367" t="str">
            <v>Alquiler De Maquinaria Y Equipo De Oficina (Incluso Computadores)</v>
          </cell>
          <cell r="C367">
            <v>0</v>
          </cell>
          <cell r="D367">
            <v>0</v>
          </cell>
          <cell r="E367">
            <v>0</v>
          </cell>
          <cell r="F367">
            <v>0</v>
          </cell>
          <cell r="G367">
            <v>0</v>
          </cell>
          <cell r="H367">
            <v>0</v>
          </cell>
          <cell r="I367">
            <v>0</v>
          </cell>
          <cell r="J367">
            <v>0</v>
          </cell>
        </row>
        <row r="368">
          <cell r="A368">
            <v>7129</v>
          </cell>
          <cell r="B368" t="str">
            <v>Alquiler De Otros Tipos De Maquinaria Y Equipo Ncp</v>
          </cell>
          <cell r="C368">
            <v>0</v>
          </cell>
          <cell r="D368">
            <v>0</v>
          </cell>
          <cell r="E368">
            <v>0</v>
          </cell>
          <cell r="F368">
            <v>0</v>
          </cell>
          <cell r="G368">
            <v>0</v>
          </cell>
          <cell r="H368">
            <v>0</v>
          </cell>
          <cell r="I368">
            <v>0</v>
          </cell>
          <cell r="J368">
            <v>0</v>
          </cell>
        </row>
        <row r="369">
          <cell r="A369">
            <v>7130</v>
          </cell>
          <cell r="B369" t="str">
            <v>Alquiler De Efectos Personaels Y Enseres Domesticos Ncp</v>
          </cell>
          <cell r="C369">
            <v>0</v>
          </cell>
          <cell r="D369">
            <v>0</v>
          </cell>
          <cell r="E369">
            <v>0</v>
          </cell>
          <cell r="F369">
            <v>0</v>
          </cell>
          <cell r="G369">
            <v>0</v>
          </cell>
          <cell r="H369">
            <v>0</v>
          </cell>
          <cell r="I369">
            <v>0</v>
          </cell>
          <cell r="J369">
            <v>0</v>
          </cell>
        </row>
        <row r="370">
          <cell r="A370">
            <v>7210</v>
          </cell>
          <cell r="B370" t="str">
            <v>Consultores En Equipo De Informatica</v>
          </cell>
          <cell r="C370">
            <v>0</v>
          </cell>
          <cell r="D370">
            <v>0</v>
          </cell>
          <cell r="E370">
            <v>0</v>
          </cell>
          <cell r="F370">
            <v>0</v>
          </cell>
          <cell r="G370">
            <v>0</v>
          </cell>
          <cell r="H370">
            <v>0</v>
          </cell>
          <cell r="I370">
            <v>0</v>
          </cell>
          <cell r="J370">
            <v>0</v>
          </cell>
        </row>
        <row r="371">
          <cell r="A371">
            <v>7220</v>
          </cell>
          <cell r="B371" t="str">
            <v>Consultores En Programas De Informatica Y Suministro De Programas De Informatica</v>
          </cell>
          <cell r="C371">
            <v>0</v>
          </cell>
          <cell r="D371">
            <v>0</v>
          </cell>
          <cell r="E371">
            <v>0</v>
          </cell>
          <cell r="F371">
            <v>0</v>
          </cell>
          <cell r="G371">
            <v>0</v>
          </cell>
          <cell r="H371">
            <v>0</v>
          </cell>
          <cell r="I371">
            <v>0</v>
          </cell>
          <cell r="J371">
            <v>0</v>
          </cell>
        </row>
        <row r="372">
          <cell r="A372">
            <v>7230</v>
          </cell>
          <cell r="B372" t="str">
            <v>Procesamiento De Datos</v>
          </cell>
          <cell r="C372">
            <v>0</v>
          </cell>
          <cell r="D372">
            <v>0</v>
          </cell>
          <cell r="E372">
            <v>0</v>
          </cell>
          <cell r="F372">
            <v>0</v>
          </cell>
          <cell r="G372">
            <v>0</v>
          </cell>
          <cell r="H372">
            <v>0</v>
          </cell>
          <cell r="I372">
            <v>0</v>
          </cell>
          <cell r="J372">
            <v>0</v>
          </cell>
        </row>
        <row r="373">
          <cell r="A373">
            <v>7240</v>
          </cell>
          <cell r="B373" t="str">
            <v>Actividades Relacionadas Con Bases De Datos</v>
          </cell>
          <cell r="C373">
            <v>0</v>
          </cell>
          <cell r="D373">
            <v>0</v>
          </cell>
          <cell r="E373">
            <v>0</v>
          </cell>
          <cell r="F373">
            <v>0</v>
          </cell>
          <cell r="G373">
            <v>0</v>
          </cell>
          <cell r="H373">
            <v>0</v>
          </cell>
          <cell r="I373">
            <v>0</v>
          </cell>
          <cell r="J373">
            <v>0</v>
          </cell>
        </row>
        <row r="374">
          <cell r="A374">
            <v>7250</v>
          </cell>
          <cell r="B374" t="str">
            <v>Mantenimiento Y Reparacion De Maquinaria De Oficina, Contabilidad E Informatica</v>
          </cell>
          <cell r="C374">
            <v>0</v>
          </cell>
          <cell r="D374">
            <v>0</v>
          </cell>
          <cell r="E374">
            <v>0</v>
          </cell>
          <cell r="F374">
            <v>0</v>
          </cell>
          <cell r="G374">
            <v>0</v>
          </cell>
          <cell r="H374">
            <v>0</v>
          </cell>
          <cell r="I374">
            <v>0</v>
          </cell>
          <cell r="J374">
            <v>0</v>
          </cell>
        </row>
        <row r="375">
          <cell r="A375">
            <v>7290</v>
          </cell>
          <cell r="B375" t="str">
            <v>Otras Actividades De Informatica</v>
          </cell>
          <cell r="C375">
            <v>0</v>
          </cell>
          <cell r="D375">
            <v>0</v>
          </cell>
          <cell r="E375">
            <v>0</v>
          </cell>
          <cell r="F375">
            <v>0</v>
          </cell>
          <cell r="G375">
            <v>0</v>
          </cell>
          <cell r="H375">
            <v>0</v>
          </cell>
          <cell r="I375">
            <v>0</v>
          </cell>
          <cell r="J375">
            <v>0</v>
          </cell>
        </row>
        <row r="376">
          <cell r="A376">
            <v>7310</v>
          </cell>
          <cell r="B376" t="str">
            <v>Investigacion Y Desarrollo Experimental En El Campo De Las Ciencias Naturales Y La Ingenieria</v>
          </cell>
          <cell r="C376">
            <v>0</v>
          </cell>
          <cell r="D376">
            <v>0</v>
          </cell>
          <cell r="E376">
            <v>0</v>
          </cell>
          <cell r="F376">
            <v>0</v>
          </cell>
          <cell r="G376">
            <v>0</v>
          </cell>
          <cell r="H376">
            <v>0</v>
          </cell>
          <cell r="I376">
            <v>0</v>
          </cell>
          <cell r="J376">
            <v>0</v>
          </cell>
        </row>
        <row r="377">
          <cell r="A377">
            <v>7320</v>
          </cell>
          <cell r="B377" t="str">
            <v>Investigacion Y Desarrollo Experimental En El Campo De Las Ciencias Sociales Y La Humanidades</v>
          </cell>
          <cell r="C377">
            <v>0</v>
          </cell>
          <cell r="D377">
            <v>0</v>
          </cell>
          <cell r="E377">
            <v>0</v>
          </cell>
          <cell r="F377">
            <v>0</v>
          </cell>
          <cell r="G377">
            <v>0</v>
          </cell>
          <cell r="H377">
            <v>0</v>
          </cell>
          <cell r="I377">
            <v>0</v>
          </cell>
          <cell r="J377">
            <v>0</v>
          </cell>
        </row>
        <row r="378">
          <cell r="A378">
            <v>7411</v>
          </cell>
          <cell r="B378" t="str">
            <v>Actividades Juridicas</v>
          </cell>
          <cell r="C378">
            <v>0</v>
          </cell>
          <cell r="D378">
            <v>0</v>
          </cell>
          <cell r="E378">
            <v>0</v>
          </cell>
          <cell r="F378">
            <v>0</v>
          </cell>
          <cell r="G378">
            <v>0</v>
          </cell>
          <cell r="H378">
            <v>0</v>
          </cell>
          <cell r="I378">
            <v>0</v>
          </cell>
          <cell r="J378">
            <v>0</v>
          </cell>
        </row>
        <row r="379">
          <cell r="A379">
            <v>7412</v>
          </cell>
          <cell r="B379" t="str">
            <v>Actividades De Contabilidad, Teneduria De Libros Y Auditoria; Asesoramiento En Materia De Impuestos</v>
          </cell>
          <cell r="C379">
            <v>0</v>
          </cell>
          <cell r="D379">
            <v>0</v>
          </cell>
          <cell r="E379">
            <v>0</v>
          </cell>
          <cell r="F379">
            <v>0</v>
          </cell>
          <cell r="G379">
            <v>0</v>
          </cell>
          <cell r="H379">
            <v>0</v>
          </cell>
          <cell r="I379">
            <v>0</v>
          </cell>
          <cell r="J379">
            <v>0</v>
          </cell>
        </row>
        <row r="380">
          <cell r="A380">
            <v>7413</v>
          </cell>
          <cell r="B380" t="str">
            <v>Investigacion De Mercados Y Realizacion De Encuestas De Opinion Publica</v>
          </cell>
          <cell r="C380">
            <v>0</v>
          </cell>
          <cell r="D380">
            <v>0</v>
          </cell>
          <cell r="E380">
            <v>0</v>
          </cell>
          <cell r="F380">
            <v>0</v>
          </cell>
          <cell r="G380">
            <v>0</v>
          </cell>
          <cell r="H380">
            <v>0</v>
          </cell>
          <cell r="I380">
            <v>0</v>
          </cell>
          <cell r="J380">
            <v>0</v>
          </cell>
        </row>
        <row r="381">
          <cell r="A381">
            <v>7414</v>
          </cell>
          <cell r="B381" t="str">
            <v>Actividades De Asesoramiento Empresarial Y En Materia De Gestion</v>
          </cell>
          <cell r="C381">
            <v>0</v>
          </cell>
          <cell r="D381">
            <v>0</v>
          </cell>
          <cell r="E381">
            <v>0</v>
          </cell>
          <cell r="F381">
            <v>0</v>
          </cell>
          <cell r="G381">
            <v>0</v>
          </cell>
          <cell r="H381">
            <v>0</v>
          </cell>
          <cell r="I381">
            <v>0</v>
          </cell>
          <cell r="J381">
            <v>0</v>
          </cell>
        </row>
        <row r="382">
          <cell r="A382">
            <v>7421</v>
          </cell>
          <cell r="B382" t="str">
            <v>Actividades De Arquitectura E Ingenieria Y Actividades Conexas De Asesoramiento Tecnico</v>
          </cell>
          <cell r="C382">
            <v>0</v>
          </cell>
          <cell r="D382">
            <v>0</v>
          </cell>
          <cell r="E382">
            <v>0</v>
          </cell>
          <cell r="F382">
            <v>0</v>
          </cell>
          <cell r="G382">
            <v>0</v>
          </cell>
          <cell r="H382">
            <v>0</v>
          </cell>
          <cell r="I382">
            <v>0</v>
          </cell>
          <cell r="J382">
            <v>0</v>
          </cell>
        </row>
        <row r="383">
          <cell r="A383">
            <v>7422</v>
          </cell>
          <cell r="B383" t="str">
            <v>Ensayos Y Analisis Tecnicos</v>
          </cell>
          <cell r="C383">
            <v>0</v>
          </cell>
          <cell r="D383">
            <v>0</v>
          </cell>
          <cell r="E383">
            <v>0</v>
          </cell>
          <cell r="F383">
            <v>0</v>
          </cell>
          <cell r="G383">
            <v>0</v>
          </cell>
          <cell r="H383">
            <v>0</v>
          </cell>
          <cell r="I383">
            <v>0</v>
          </cell>
          <cell r="J383">
            <v>0</v>
          </cell>
        </row>
        <row r="384">
          <cell r="A384">
            <v>7430</v>
          </cell>
          <cell r="B384" t="str">
            <v>Publicidad</v>
          </cell>
          <cell r="C384">
            <v>0</v>
          </cell>
          <cell r="D384">
            <v>0</v>
          </cell>
          <cell r="E384">
            <v>0</v>
          </cell>
          <cell r="F384">
            <v>0</v>
          </cell>
          <cell r="G384">
            <v>0</v>
          </cell>
          <cell r="H384">
            <v>0</v>
          </cell>
          <cell r="I384">
            <v>0</v>
          </cell>
          <cell r="J384">
            <v>0</v>
          </cell>
        </row>
        <row r="385">
          <cell r="A385">
            <v>7491</v>
          </cell>
          <cell r="B385" t="str">
            <v>Obtencion Y Suministro De Personal</v>
          </cell>
          <cell r="C385">
            <v>0</v>
          </cell>
          <cell r="D385">
            <v>0</v>
          </cell>
          <cell r="E385">
            <v>0</v>
          </cell>
          <cell r="F385">
            <v>0</v>
          </cell>
          <cell r="G385">
            <v>0</v>
          </cell>
          <cell r="H385">
            <v>0</v>
          </cell>
          <cell r="I385">
            <v>0</v>
          </cell>
          <cell r="J385">
            <v>0</v>
          </cell>
        </row>
        <row r="386">
          <cell r="A386">
            <v>7492</v>
          </cell>
          <cell r="B386" t="str">
            <v>Actividades De Investigacion Y Seguridad</v>
          </cell>
          <cell r="C386">
            <v>0</v>
          </cell>
          <cell r="D386">
            <v>0</v>
          </cell>
          <cell r="E386">
            <v>0</v>
          </cell>
          <cell r="F386">
            <v>0</v>
          </cell>
          <cell r="G386">
            <v>0</v>
          </cell>
          <cell r="H386">
            <v>0</v>
          </cell>
          <cell r="I386">
            <v>0</v>
          </cell>
          <cell r="J386">
            <v>0</v>
          </cell>
        </row>
        <row r="387">
          <cell r="A387">
            <v>7493</v>
          </cell>
          <cell r="B387" t="str">
            <v>Actividades De Limpieza De Edificios</v>
          </cell>
          <cell r="C387">
            <v>0</v>
          </cell>
          <cell r="D387">
            <v>0</v>
          </cell>
          <cell r="E387">
            <v>0</v>
          </cell>
          <cell r="F387">
            <v>0</v>
          </cell>
          <cell r="G387">
            <v>0</v>
          </cell>
          <cell r="H387">
            <v>0</v>
          </cell>
          <cell r="I387">
            <v>0</v>
          </cell>
          <cell r="J387">
            <v>0</v>
          </cell>
        </row>
        <row r="388">
          <cell r="A388">
            <v>7494</v>
          </cell>
          <cell r="B388" t="str">
            <v>Actividades De Fotografia</v>
          </cell>
          <cell r="C388">
            <v>0</v>
          </cell>
          <cell r="D388">
            <v>0</v>
          </cell>
          <cell r="E388">
            <v>0</v>
          </cell>
          <cell r="F388">
            <v>0</v>
          </cell>
          <cell r="G388">
            <v>0</v>
          </cell>
          <cell r="H388">
            <v>0</v>
          </cell>
          <cell r="I388">
            <v>0</v>
          </cell>
          <cell r="J388">
            <v>0</v>
          </cell>
        </row>
        <row r="389">
          <cell r="A389">
            <v>7495</v>
          </cell>
          <cell r="B389" t="str">
            <v>Actividades De Envase Y Empaque</v>
          </cell>
          <cell r="C389">
            <v>0</v>
          </cell>
          <cell r="D389">
            <v>0</v>
          </cell>
          <cell r="E389">
            <v>0</v>
          </cell>
          <cell r="F389">
            <v>0</v>
          </cell>
          <cell r="G389">
            <v>0</v>
          </cell>
          <cell r="H389">
            <v>0</v>
          </cell>
          <cell r="I389">
            <v>0</v>
          </cell>
          <cell r="J389">
            <v>0</v>
          </cell>
        </row>
        <row r="390">
          <cell r="A390">
            <v>7499</v>
          </cell>
          <cell r="B390" t="str">
            <v>Otras Actividades Empresariales Ncp</v>
          </cell>
          <cell r="C390">
            <v>0</v>
          </cell>
          <cell r="D390">
            <v>0</v>
          </cell>
          <cell r="E390">
            <v>0</v>
          </cell>
          <cell r="F390">
            <v>0</v>
          </cell>
          <cell r="G390">
            <v>0</v>
          </cell>
          <cell r="H390">
            <v>0</v>
          </cell>
          <cell r="I390">
            <v>0</v>
          </cell>
          <cell r="J390">
            <v>0</v>
          </cell>
        </row>
        <row r="391">
          <cell r="A391">
            <v>7511</v>
          </cell>
          <cell r="B391" t="str">
            <v>Actividades Legislativas De La Administracion Publica En General</v>
          </cell>
          <cell r="C391">
            <v>0</v>
          </cell>
          <cell r="D391">
            <v>0</v>
          </cell>
          <cell r="E391">
            <v>0</v>
          </cell>
          <cell r="F391">
            <v>0</v>
          </cell>
          <cell r="G391">
            <v>0</v>
          </cell>
          <cell r="H391">
            <v>0</v>
          </cell>
          <cell r="I391">
            <v>0</v>
          </cell>
          <cell r="J391">
            <v>0</v>
          </cell>
        </row>
        <row r="392">
          <cell r="A392">
            <v>7512</v>
          </cell>
          <cell r="B392" t="str">
            <v>Actividades Ejecutivas De La Administracion Publica En General</v>
          </cell>
          <cell r="C392">
            <v>0</v>
          </cell>
          <cell r="D392">
            <v>0</v>
          </cell>
          <cell r="E392">
            <v>0</v>
          </cell>
          <cell r="F392">
            <v>0</v>
          </cell>
          <cell r="G392">
            <v>0</v>
          </cell>
          <cell r="H392">
            <v>0</v>
          </cell>
          <cell r="I392">
            <v>0</v>
          </cell>
          <cell r="J392">
            <v>0</v>
          </cell>
        </row>
        <row r="393">
          <cell r="A393">
            <v>7513</v>
          </cell>
          <cell r="B393" t="str">
            <v>Regulacion De Las Actividades  De Organismos Que Prestan Servicios De Salud, Educativos, Culturales Y Otros Servicios Sociales, Excepto Servicios D</v>
          </cell>
          <cell r="C393">
            <v>0</v>
          </cell>
          <cell r="D393">
            <v>0</v>
          </cell>
          <cell r="E393">
            <v>0</v>
          </cell>
          <cell r="F393">
            <v>0</v>
          </cell>
          <cell r="G393">
            <v>0</v>
          </cell>
          <cell r="H393">
            <v>0</v>
          </cell>
          <cell r="I393">
            <v>0</v>
          </cell>
          <cell r="J393">
            <v>0</v>
          </cell>
        </row>
        <row r="394">
          <cell r="A394">
            <v>7514</v>
          </cell>
          <cell r="B394" t="str">
            <v>Actividades Reguladoras Y Facilitadoras De La Actividad Economica</v>
          </cell>
          <cell r="C394">
            <v>0</v>
          </cell>
          <cell r="D394">
            <v>0</v>
          </cell>
          <cell r="E394">
            <v>0</v>
          </cell>
          <cell r="F394">
            <v>0</v>
          </cell>
          <cell r="G394">
            <v>0</v>
          </cell>
          <cell r="H394">
            <v>0</v>
          </cell>
          <cell r="I394">
            <v>0</v>
          </cell>
          <cell r="J394">
            <v>0</v>
          </cell>
        </row>
        <row r="395">
          <cell r="A395">
            <v>7515</v>
          </cell>
          <cell r="B395" t="str">
            <v>Actividades Auxiliares De Servicios Para La Administracion Publica En Gfeneral</v>
          </cell>
          <cell r="C395">
            <v>0</v>
          </cell>
          <cell r="D395">
            <v>0</v>
          </cell>
          <cell r="E395">
            <v>0</v>
          </cell>
          <cell r="F395">
            <v>0</v>
          </cell>
          <cell r="G395">
            <v>0</v>
          </cell>
          <cell r="H395">
            <v>0</v>
          </cell>
          <cell r="I395">
            <v>0</v>
          </cell>
          <cell r="J395">
            <v>0</v>
          </cell>
        </row>
        <row r="396">
          <cell r="A396">
            <v>7521</v>
          </cell>
          <cell r="B396" t="str">
            <v>Relaciones Exteriores</v>
          </cell>
          <cell r="C396">
            <v>0</v>
          </cell>
          <cell r="D396">
            <v>0</v>
          </cell>
          <cell r="E396">
            <v>0</v>
          </cell>
          <cell r="F396">
            <v>0</v>
          </cell>
          <cell r="G396">
            <v>0</v>
          </cell>
          <cell r="H396">
            <v>0</v>
          </cell>
          <cell r="I396">
            <v>0</v>
          </cell>
          <cell r="J396">
            <v>0</v>
          </cell>
        </row>
        <row r="397">
          <cell r="A397">
            <v>7522</v>
          </cell>
          <cell r="B397" t="str">
            <v>Actividades De Defensa</v>
          </cell>
          <cell r="C397">
            <v>0</v>
          </cell>
          <cell r="D397">
            <v>0</v>
          </cell>
          <cell r="E397">
            <v>0</v>
          </cell>
          <cell r="F397">
            <v>0</v>
          </cell>
          <cell r="G397">
            <v>0</v>
          </cell>
          <cell r="H397">
            <v>0</v>
          </cell>
          <cell r="I397">
            <v>0</v>
          </cell>
          <cell r="J397">
            <v>0</v>
          </cell>
        </row>
        <row r="398">
          <cell r="A398">
            <v>7523</v>
          </cell>
          <cell r="B398" t="str">
            <v>Actividades De La Justicia</v>
          </cell>
          <cell r="C398">
            <v>0</v>
          </cell>
          <cell r="D398">
            <v>0</v>
          </cell>
          <cell r="E398">
            <v>0</v>
          </cell>
          <cell r="F398">
            <v>0</v>
          </cell>
          <cell r="G398">
            <v>0</v>
          </cell>
          <cell r="H398">
            <v>0</v>
          </cell>
          <cell r="I398">
            <v>0</v>
          </cell>
          <cell r="J398">
            <v>0</v>
          </cell>
        </row>
        <row r="399">
          <cell r="A399">
            <v>7524</v>
          </cell>
          <cell r="B399" t="str">
            <v>Actividades De La Policia Y Proteccion Civil</v>
          </cell>
          <cell r="C399">
            <v>0</v>
          </cell>
          <cell r="D399">
            <v>0</v>
          </cell>
          <cell r="E399">
            <v>0</v>
          </cell>
          <cell r="F399">
            <v>0</v>
          </cell>
          <cell r="G399">
            <v>0</v>
          </cell>
          <cell r="H399">
            <v>0</v>
          </cell>
          <cell r="I399">
            <v>0</v>
          </cell>
          <cell r="J399">
            <v>0</v>
          </cell>
        </row>
        <row r="400">
          <cell r="A400">
            <v>7530</v>
          </cell>
          <cell r="B400" t="str">
            <v>Actividades De Seguridad Social De Afiliacion Obligatoria</v>
          </cell>
          <cell r="C400">
            <v>0</v>
          </cell>
          <cell r="D400">
            <v>0</v>
          </cell>
          <cell r="E400">
            <v>0</v>
          </cell>
          <cell r="F400">
            <v>0</v>
          </cell>
          <cell r="G400">
            <v>0</v>
          </cell>
          <cell r="H400">
            <v>0</v>
          </cell>
          <cell r="I400">
            <v>0</v>
          </cell>
          <cell r="J400">
            <v>0</v>
          </cell>
        </row>
        <row r="401">
          <cell r="A401">
            <v>8011</v>
          </cell>
          <cell r="B401" t="str">
            <v>Eduacion Preescolar</v>
          </cell>
          <cell r="C401">
            <v>0</v>
          </cell>
          <cell r="D401">
            <v>0</v>
          </cell>
          <cell r="E401">
            <v>0</v>
          </cell>
          <cell r="F401">
            <v>0</v>
          </cell>
          <cell r="G401">
            <v>0</v>
          </cell>
          <cell r="H401">
            <v>0</v>
          </cell>
          <cell r="I401">
            <v>0</v>
          </cell>
          <cell r="J401">
            <v>0</v>
          </cell>
        </row>
        <row r="402">
          <cell r="A402">
            <v>8012</v>
          </cell>
          <cell r="B402" t="str">
            <v>Educacion Basica Primaria</v>
          </cell>
          <cell r="C402">
            <v>0</v>
          </cell>
          <cell r="D402">
            <v>0</v>
          </cell>
          <cell r="E402">
            <v>0</v>
          </cell>
          <cell r="F402">
            <v>0</v>
          </cell>
          <cell r="G402">
            <v>0</v>
          </cell>
          <cell r="H402">
            <v>0</v>
          </cell>
          <cell r="I402">
            <v>0</v>
          </cell>
          <cell r="J402">
            <v>0</v>
          </cell>
        </row>
        <row r="403">
          <cell r="A403">
            <v>8021</v>
          </cell>
          <cell r="B403" t="str">
            <v>Educacion Basica Secundaria</v>
          </cell>
          <cell r="C403">
            <v>0</v>
          </cell>
          <cell r="D403">
            <v>0</v>
          </cell>
          <cell r="E403">
            <v>0</v>
          </cell>
          <cell r="F403">
            <v>0</v>
          </cell>
          <cell r="G403">
            <v>0</v>
          </cell>
          <cell r="H403">
            <v>0</v>
          </cell>
          <cell r="I403">
            <v>0</v>
          </cell>
          <cell r="J403">
            <v>0</v>
          </cell>
        </row>
        <row r="404">
          <cell r="A404">
            <v>8022</v>
          </cell>
          <cell r="B404" t="str">
            <v>Educacion Media</v>
          </cell>
          <cell r="C404">
            <v>0</v>
          </cell>
          <cell r="D404">
            <v>0</v>
          </cell>
          <cell r="E404">
            <v>0</v>
          </cell>
          <cell r="F404">
            <v>0</v>
          </cell>
          <cell r="G404">
            <v>0</v>
          </cell>
          <cell r="H404">
            <v>0</v>
          </cell>
          <cell r="I404">
            <v>0</v>
          </cell>
          <cell r="J404">
            <v>0</v>
          </cell>
        </row>
        <row r="405">
          <cell r="A405">
            <v>8030</v>
          </cell>
          <cell r="B405" t="str">
            <v>Servicio De Educacion Laboral Especial</v>
          </cell>
          <cell r="C405">
            <v>0</v>
          </cell>
          <cell r="D405">
            <v>0</v>
          </cell>
          <cell r="E405">
            <v>0</v>
          </cell>
          <cell r="F405">
            <v>0</v>
          </cell>
          <cell r="G405">
            <v>0</v>
          </cell>
          <cell r="H405">
            <v>0</v>
          </cell>
          <cell r="I405">
            <v>0</v>
          </cell>
          <cell r="J405">
            <v>0</v>
          </cell>
        </row>
        <row r="406">
          <cell r="A406">
            <v>8041</v>
          </cell>
          <cell r="B406" t="str">
            <v>Establecimientos Que Prestan El Servicio De Educacion Preescolar Y Basica Primaria</v>
          </cell>
          <cell r="C406">
            <v>0</v>
          </cell>
          <cell r="D406">
            <v>0</v>
          </cell>
          <cell r="E406">
            <v>0</v>
          </cell>
          <cell r="F406">
            <v>0</v>
          </cell>
          <cell r="G406">
            <v>0</v>
          </cell>
          <cell r="H406">
            <v>0</v>
          </cell>
          <cell r="I406">
            <v>0</v>
          </cell>
          <cell r="J406">
            <v>0</v>
          </cell>
        </row>
        <row r="407">
          <cell r="A407">
            <v>8042</v>
          </cell>
          <cell r="B407" t="str">
            <v>Establecimientos Que Prestan El Servicio De Educacion Preescolar Y Basica ( Basica Primaria Y Basica Secundaria)</v>
          </cell>
          <cell r="C407">
            <v>0</v>
          </cell>
          <cell r="D407">
            <v>0</v>
          </cell>
          <cell r="E407">
            <v>0</v>
          </cell>
          <cell r="F407">
            <v>0</v>
          </cell>
          <cell r="G407">
            <v>0</v>
          </cell>
          <cell r="H407">
            <v>0</v>
          </cell>
          <cell r="I407">
            <v>0</v>
          </cell>
          <cell r="J407">
            <v>0</v>
          </cell>
        </row>
        <row r="408">
          <cell r="A408">
            <v>8043</v>
          </cell>
          <cell r="B408" t="str">
            <v>Establecimientos Que Prestan El Servicio De Educacion Preescolar, Basica (Basica Primaria, Basica Secundaria) Y Media</v>
          </cell>
          <cell r="C408">
            <v>0</v>
          </cell>
          <cell r="D408">
            <v>0</v>
          </cell>
          <cell r="E408">
            <v>0</v>
          </cell>
          <cell r="F408">
            <v>0</v>
          </cell>
          <cell r="G408">
            <v>0</v>
          </cell>
          <cell r="H408">
            <v>0</v>
          </cell>
          <cell r="I408">
            <v>0</v>
          </cell>
          <cell r="J408">
            <v>0</v>
          </cell>
        </row>
        <row r="409">
          <cell r="A409">
            <v>8044</v>
          </cell>
          <cell r="B409" t="str">
            <v>Establecimientos Que Prestan El Servicio De Educacion (Basica Primaria Y Basica Secundaria)</v>
          </cell>
          <cell r="C409">
            <v>0</v>
          </cell>
          <cell r="D409">
            <v>0</v>
          </cell>
          <cell r="E409">
            <v>0</v>
          </cell>
          <cell r="F409">
            <v>0</v>
          </cell>
          <cell r="G409">
            <v>0</v>
          </cell>
          <cell r="H409">
            <v>0</v>
          </cell>
          <cell r="I409">
            <v>0</v>
          </cell>
          <cell r="J409">
            <v>0</v>
          </cell>
        </row>
        <row r="410">
          <cell r="A410">
            <v>8045</v>
          </cell>
          <cell r="B410" t="str">
            <v>Establecimientos Que Prestan El Servicio De Educacion (Basica Primaria Y Basica Secundaria) Y Media</v>
          </cell>
          <cell r="C410">
            <v>0</v>
          </cell>
          <cell r="D410">
            <v>0</v>
          </cell>
          <cell r="E410">
            <v>0</v>
          </cell>
          <cell r="F410">
            <v>0</v>
          </cell>
          <cell r="G410">
            <v>0</v>
          </cell>
          <cell r="H410">
            <v>0</v>
          </cell>
          <cell r="I410">
            <v>0</v>
          </cell>
          <cell r="J410">
            <v>0</v>
          </cell>
        </row>
        <row r="411">
          <cell r="A411">
            <v>8046</v>
          </cell>
          <cell r="B411" t="str">
            <v>Establecimientos Que Prestan El Servicio De Educacion Basica Secundaria Y Media</v>
          </cell>
          <cell r="C411">
            <v>0</v>
          </cell>
          <cell r="D411">
            <v>0</v>
          </cell>
          <cell r="E411">
            <v>0</v>
          </cell>
          <cell r="F411">
            <v>0</v>
          </cell>
          <cell r="G411">
            <v>0</v>
          </cell>
          <cell r="H411">
            <v>0</v>
          </cell>
          <cell r="I411">
            <v>0</v>
          </cell>
          <cell r="J411">
            <v>0</v>
          </cell>
        </row>
        <row r="412">
          <cell r="A412">
            <v>8050</v>
          </cell>
          <cell r="B412" t="str">
            <v>Educacion Superior</v>
          </cell>
          <cell r="C412">
            <v>0</v>
          </cell>
          <cell r="D412">
            <v>0</v>
          </cell>
          <cell r="E412">
            <v>0</v>
          </cell>
          <cell r="F412">
            <v>0</v>
          </cell>
          <cell r="G412">
            <v>0</v>
          </cell>
          <cell r="H412">
            <v>0</v>
          </cell>
          <cell r="I412">
            <v>0</v>
          </cell>
          <cell r="J412">
            <v>0</v>
          </cell>
        </row>
        <row r="413">
          <cell r="A413">
            <v>8060</v>
          </cell>
          <cell r="B413" t="str">
            <v>Educacion No Formal</v>
          </cell>
          <cell r="C413">
            <v>0</v>
          </cell>
          <cell r="D413">
            <v>0</v>
          </cell>
          <cell r="E413">
            <v>0</v>
          </cell>
          <cell r="F413">
            <v>0</v>
          </cell>
          <cell r="G413">
            <v>0</v>
          </cell>
          <cell r="H413">
            <v>0</v>
          </cell>
          <cell r="I413">
            <v>0</v>
          </cell>
          <cell r="J413">
            <v>0</v>
          </cell>
        </row>
        <row r="414">
          <cell r="A414">
            <v>8511</v>
          </cell>
          <cell r="B414" t="str">
            <v>Actividades De Las Instituciones Prestadoras De Servicios De La Salud, Con Internacion</v>
          </cell>
          <cell r="C414">
            <v>0</v>
          </cell>
          <cell r="D414">
            <v>0</v>
          </cell>
          <cell r="E414">
            <v>0</v>
          </cell>
          <cell r="F414">
            <v>0</v>
          </cell>
          <cell r="G414">
            <v>0</v>
          </cell>
          <cell r="H414">
            <v>0</v>
          </cell>
          <cell r="I414">
            <v>0</v>
          </cell>
          <cell r="J414">
            <v>0</v>
          </cell>
        </row>
        <row r="415">
          <cell r="A415">
            <v>8512</v>
          </cell>
          <cell r="B415" t="str">
            <v>Actividades De La Practica Medica</v>
          </cell>
          <cell r="C415">
            <v>0</v>
          </cell>
          <cell r="D415">
            <v>0</v>
          </cell>
          <cell r="E415">
            <v>0</v>
          </cell>
          <cell r="F415">
            <v>0</v>
          </cell>
          <cell r="G415">
            <v>0</v>
          </cell>
          <cell r="H415">
            <v>0</v>
          </cell>
          <cell r="I415">
            <v>0</v>
          </cell>
          <cell r="J415">
            <v>0</v>
          </cell>
        </row>
        <row r="416">
          <cell r="A416">
            <v>8513</v>
          </cell>
          <cell r="B416" t="str">
            <v>Actividades De La Practica Odontologica</v>
          </cell>
          <cell r="C416">
            <v>0</v>
          </cell>
          <cell r="D416">
            <v>0</v>
          </cell>
          <cell r="E416">
            <v>0</v>
          </cell>
          <cell r="F416">
            <v>0</v>
          </cell>
          <cell r="G416">
            <v>0</v>
          </cell>
          <cell r="H416">
            <v>0</v>
          </cell>
          <cell r="I416">
            <v>0</v>
          </cell>
          <cell r="J416">
            <v>0</v>
          </cell>
        </row>
        <row r="417">
          <cell r="A417">
            <v>8514</v>
          </cell>
          <cell r="B417" t="str">
            <v>Actividades De Apoyo Diagnostico</v>
          </cell>
          <cell r="C417">
            <v>0</v>
          </cell>
          <cell r="D417">
            <v>0</v>
          </cell>
          <cell r="E417">
            <v>0</v>
          </cell>
          <cell r="F417">
            <v>0</v>
          </cell>
          <cell r="G417">
            <v>0</v>
          </cell>
          <cell r="H417">
            <v>0</v>
          </cell>
          <cell r="I417">
            <v>0</v>
          </cell>
          <cell r="J417">
            <v>0</v>
          </cell>
        </row>
        <row r="418">
          <cell r="A418">
            <v>8515</v>
          </cell>
          <cell r="B418" t="str">
            <v>Actividades De Apoyo Terapeutico</v>
          </cell>
          <cell r="C418">
            <v>0</v>
          </cell>
          <cell r="D418">
            <v>0</v>
          </cell>
          <cell r="E418">
            <v>0</v>
          </cell>
          <cell r="F418">
            <v>0</v>
          </cell>
          <cell r="G418">
            <v>0</v>
          </cell>
          <cell r="H418">
            <v>0</v>
          </cell>
          <cell r="I418">
            <v>0</v>
          </cell>
          <cell r="J418">
            <v>0</v>
          </cell>
        </row>
        <row r="419">
          <cell r="A419">
            <v>8519</v>
          </cell>
          <cell r="B419" t="str">
            <v>Otras Actividades Relacionada Con La Salud Humana</v>
          </cell>
          <cell r="C419">
            <v>0</v>
          </cell>
          <cell r="D419">
            <v>0</v>
          </cell>
          <cell r="E419">
            <v>0</v>
          </cell>
          <cell r="F419">
            <v>0</v>
          </cell>
          <cell r="G419">
            <v>0</v>
          </cell>
          <cell r="H419">
            <v>0</v>
          </cell>
          <cell r="I419">
            <v>0</v>
          </cell>
          <cell r="J419">
            <v>0</v>
          </cell>
        </row>
        <row r="420">
          <cell r="A420">
            <v>8520</v>
          </cell>
          <cell r="B420" t="str">
            <v>Actividades Veterinarias</v>
          </cell>
          <cell r="C420">
            <v>0</v>
          </cell>
          <cell r="D420">
            <v>0</v>
          </cell>
          <cell r="E420">
            <v>0</v>
          </cell>
          <cell r="F420">
            <v>0</v>
          </cell>
          <cell r="G420">
            <v>0</v>
          </cell>
          <cell r="H420">
            <v>0</v>
          </cell>
          <cell r="I420">
            <v>0</v>
          </cell>
          <cell r="J420">
            <v>0</v>
          </cell>
        </row>
        <row r="421">
          <cell r="A421">
            <v>8531</v>
          </cell>
          <cell r="B421" t="str">
            <v>Servicios Sociales Con Alojamiento</v>
          </cell>
          <cell r="C421">
            <v>0</v>
          </cell>
          <cell r="D421">
            <v>0</v>
          </cell>
          <cell r="E421">
            <v>0</v>
          </cell>
          <cell r="F421">
            <v>0</v>
          </cell>
          <cell r="G421">
            <v>0</v>
          </cell>
          <cell r="H421">
            <v>0</v>
          </cell>
          <cell r="I421">
            <v>0</v>
          </cell>
          <cell r="J421">
            <v>0</v>
          </cell>
        </row>
        <row r="422">
          <cell r="A422">
            <v>8532</v>
          </cell>
          <cell r="B422" t="str">
            <v>Servicios Sociales Sin Alojamiento</v>
          </cell>
          <cell r="C422">
            <v>0</v>
          </cell>
          <cell r="D422">
            <v>0</v>
          </cell>
          <cell r="E422">
            <v>0</v>
          </cell>
          <cell r="F422">
            <v>0</v>
          </cell>
          <cell r="G422">
            <v>0</v>
          </cell>
          <cell r="H422">
            <v>0</v>
          </cell>
          <cell r="I422">
            <v>0</v>
          </cell>
          <cell r="J422">
            <v>0</v>
          </cell>
        </row>
        <row r="423">
          <cell r="A423">
            <v>9000</v>
          </cell>
          <cell r="B423" t="str">
            <v>Eliminacion De Desperdicios Y Aguas Residuales, Saneamiento Y Actividades Similares</v>
          </cell>
          <cell r="C423">
            <v>0</v>
          </cell>
          <cell r="D423">
            <v>0</v>
          </cell>
          <cell r="E423">
            <v>0</v>
          </cell>
          <cell r="F423">
            <v>0</v>
          </cell>
          <cell r="G423">
            <v>0</v>
          </cell>
          <cell r="H423">
            <v>0</v>
          </cell>
          <cell r="I423">
            <v>0</v>
          </cell>
          <cell r="J423">
            <v>0</v>
          </cell>
        </row>
        <row r="424">
          <cell r="A424">
            <v>9111</v>
          </cell>
          <cell r="B424" t="str">
            <v>Actividades De Organizaciones Empresariales Y De Empleadores</v>
          </cell>
          <cell r="C424">
            <v>0</v>
          </cell>
          <cell r="D424">
            <v>0</v>
          </cell>
          <cell r="E424">
            <v>0</v>
          </cell>
          <cell r="F424">
            <v>0</v>
          </cell>
          <cell r="G424">
            <v>0</v>
          </cell>
          <cell r="H424">
            <v>0</v>
          </cell>
          <cell r="I424">
            <v>0</v>
          </cell>
          <cell r="J424">
            <v>0</v>
          </cell>
        </row>
        <row r="425">
          <cell r="A425">
            <v>9112</v>
          </cell>
          <cell r="B425" t="str">
            <v>Actividades De Organizaciones Profesionales</v>
          </cell>
          <cell r="C425">
            <v>0</v>
          </cell>
          <cell r="D425">
            <v>0</v>
          </cell>
          <cell r="E425">
            <v>0</v>
          </cell>
          <cell r="F425">
            <v>0</v>
          </cell>
          <cell r="G425">
            <v>0</v>
          </cell>
          <cell r="H425">
            <v>0</v>
          </cell>
          <cell r="I425">
            <v>0</v>
          </cell>
          <cell r="J425">
            <v>0</v>
          </cell>
        </row>
        <row r="426">
          <cell r="A426">
            <v>9120</v>
          </cell>
          <cell r="B426" t="str">
            <v>Actividades De Sindicatos</v>
          </cell>
          <cell r="C426">
            <v>0</v>
          </cell>
          <cell r="D426">
            <v>0</v>
          </cell>
          <cell r="E426">
            <v>0</v>
          </cell>
          <cell r="F426">
            <v>0</v>
          </cell>
          <cell r="G426">
            <v>0</v>
          </cell>
          <cell r="H426">
            <v>0</v>
          </cell>
          <cell r="I426">
            <v>0</v>
          </cell>
          <cell r="J426">
            <v>0</v>
          </cell>
        </row>
        <row r="427">
          <cell r="A427">
            <v>9191</v>
          </cell>
          <cell r="B427" t="str">
            <v>Actividades De Organizaciones Religiosas</v>
          </cell>
          <cell r="C427">
            <v>0</v>
          </cell>
          <cell r="D427">
            <v>0</v>
          </cell>
          <cell r="E427">
            <v>0</v>
          </cell>
          <cell r="F427">
            <v>0</v>
          </cell>
          <cell r="G427">
            <v>0</v>
          </cell>
          <cell r="H427">
            <v>0</v>
          </cell>
          <cell r="I427">
            <v>0</v>
          </cell>
          <cell r="J427">
            <v>0</v>
          </cell>
        </row>
        <row r="428">
          <cell r="A428">
            <v>9192</v>
          </cell>
          <cell r="B428" t="str">
            <v>Actividades De Organizaciones Politicas</v>
          </cell>
          <cell r="C428">
            <v>0</v>
          </cell>
          <cell r="D428">
            <v>0</v>
          </cell>
          <cell r="E428">
            <v>0</v>
          </cell>
          <cell r="F428">
            <v>0</v>
          </cell>
          <cell r="G428">
            <v>0</v>
          </cell>
          <cell r="H428">
            <v>0</v>
          </cell>
          <cell r="I428">
            <v>0</v>
          </cell>
          <cell r="J428">
            <v>0</v>
          </cell>
        </row>
        <row r="429">
          <cell r="A429">
            <v>9199</v>
          </cell>
          <cell r="B429" t="str">
            <v>Actividades De Otras Organizaciones Ncp</v>
          </cell>
          <cell r="C429">
            <v>0</v>
          </cell>
          <cell r="D429">
            <v>0</v>
          </cell>
          <cell r="E429">
            <v>0</v>
          </cell>
          <cell r="F429">
            <v>0</v>
          </cell>
          <cell r="G429">
            <v>0</v>
          </cell>
          <cell r="H429">
            <v>0</v>
          </cell>
          <cell r="I429">
            <v>0</v>
          </cell>
          <cell r="J429">
            <v>0</v>
          </cell>
        </row>
        <row r="430">
          <cell r="A430">
            <v>9211</v>
          </cell>
          <cell r="B430" t="str">
            <v>Produccion Y Distribucion De Filmes Y Videocintas</v>
          </cell>
          <cell r="C430">
            <v>0</v>
          </cell>
          <cell r="D430">
            <v>0</v>
          </cell>
          <cell r="E430">
            <v>0</v>
          </cell>
          <cell r="F430">
            <v>0</v>
          </cell>
          <cell r="G430">
            <v>0</v>
          </cell>
          <cell r="H430">
            <v>0</v>
          </cell>
          <cell r="I430">
            <v>0</v>
          </cell>
          <cell r="J430">
            <v>0</v>
          </cell>
        </row>
        <row r="431">
          <cell r="A431">
            <v>9212</v>
          </cell>
          <cell r="B431" t="str">
            <v>Exhibicion De Filmes Y Videocintas</v>
          </cell>
          <cell r="C431">
            <v>0</v>
          </cell>
          <cell r="D431">
            <v>0</v>
          </cell>
          <cell r="E431">
            <v>0</v>
          </cell>
          <cell r="F431">
            <v>0</v>
          </cell>
          <cell r="G431">
            <v>0</v>
          </cell>
          <cell r="H431">
            <v>0</v>
          </cell>
          <cell r="I431">
            <v>0</v>
          </cell>
          <cell r="J431">
            <v>0</v>
          </cell>
        </row>
        <row r="432">
          <cell r="A432">
            <v>9213</v>
          </cell>
          <cell r="B432" t="str">
            <v>Actividades De Radio Y Television</v>
          </cell>
          <cell r="C432">
            <v>0</v>
          </cell>
          <cell r="D432">
            <v>0</v>
          </cell>
          <cell r="E432">
            <v>0</v>
          </cell>
          <cell r="F432">
            <v>0</v>
          </cell>
          <cell r="G432">
            <v>0</v>
          </cell>
          <cell r="H432">
            <v>0</v>
          </cell>
          <cell r="I432">
            <v>0</v>
          </cell>
          <cell r="J432">
            <v>0</v>
          </cell>
        </row>
        <row r="433">
          <cell r="A433">
            <v>9214</v>
          </cell>
          <cell r="B433" t="str">
            <v>Actividades Teatrales Y Musicales Y Otras Actividades Artisticas</v>
          </cell>
          <cell r="C433">
            <v>0</v>
          </cell>
          <cell r="D433">
            <v>0</v>
          </cell>
          <cell r="E433">
            <v>0</v>
          </cell>
          <cell r="F433">
            <v>0</v>
          </cell>
          <cell r="G433">
            <v>0</v>
          </cell>
          <cell r="H433">
            <v>0</v>
          </cell>
          <cell r="I433">
            <v>0</v>
          </cell>
          <cell r="J433">
            <v>0</v>
          </cell>
        </row>
        <row r="434">
          <cell r="A434">
            <v>9219</v>
          </cell>
          <cell r="B434" t="str">
            <v>Otras Actividades De Entretenimiento Ncp</v>
          </cell>
          <cell r="C434">
            <v>0</v>
          </cell>
          <cell r="D434">
            <v>0</v>
          </cell>
          <cell r="E434">
            <v>0</v>
          </cell>
          <cell r="F434">
            <v>0</v>
          </cell>
          <cell r="G434">
            <v>0</v>
          </cell>
          <cell r="H434">
            <v>0</v>
          </cell>
          <cell r="I434">
            <v>0</v>
          </cell>
          <cell r="J434">
            <v>0</v>
          </cell>
        </row>
        <row r="435">
          <cell r="A435">
            <v>9220</v>
          </cell>
          <cell r="B435" t="str">
            <v>Actividades De Agencias De Noticias</v>
          </cell>
          <cell r="C435">
            <v>0</v>
          </cell>
          <cell r="D435">
            <v>0</v>
          </cell>
          <cell r="E435">
            <v>0</v>
          </cell>
          <cell r="F435">
            <v>0</v>
          </cell>
          <cell r="G435">
            <v>0</v>
          </cell>
          <cell r="H435">
            <v>0</v>
          </cell>
          <cell r="I435">
            <v>0</v>
          </cell>
          <cell r="J435">
            <v>0</v>
          </cell>
        </row>
        <row r="436">
          <cell r="A436">
            <v>9231</v>
          </cell>
          <cell r="B436" t="str">
            <v>Actividades De Bibliotecas Y Archivos</v>
          </cell>
          <cell r="C436">
            <v>0</v>
          </cell>
          <cell r="D436">
            <v>0</v>
          </cell>
          <cell r="E436">
            <v>0</v>
          </cell>
          <cell r="F436">
            <v>0</v>
          </cell>
          <cell r="G436">
            <v>0</v>
          </cell>
          <cell r="H436">
            <v>0</v>
          </cell>
          <cell r="I436">
            <v>0</v>
          </cell>
          <cell r="J436">
            <v>0</v>
          </cell>
        </row>
        <row r="437">
          <cell r="A437">
            <v>9232</v>
          </cell>
          <cell r="B437" t="str">
            <v>Actividades De Museos Y Preservacion De Lugares Y Edificios Historicos</v>
          </cell>
          <cell r="C437">
            <v>0</v>
          </cell>
          <cell r="D437">
            <v>0</v>
          </cell>
          <cell r="E437">
            <v>0</v>
          </cell>
          <cell r="F437">
            <v>0</v>
          </cell>
          <cell r="G437">
            <v>0</v>
          </cell>
          <cell r="H437">
            <v>0</v>
          </cell>
          <cell r="I437">
            <v>0</v>
          </cell>
          <cell r="J437">
            <v>0</v>
          </cell>
        </row>
        <row r="438">
          <cell r="A438">
            <v>9233</v>
          </cell>
          <cell r="B438" t="str">
            <v>Actividades De Jardines Botanicos Y Zoologicos Y De Parque Nacionales</v>
          </cell>
          <cell r="C438">
            <v>0</v>
          </cell>
          <cell r="D438">
            <v>0</v>
          </cell>
          <cell r="E438">
            <v>0</v>
          </cell>
          <cell r="F438">
            <v>0</v>
          </cell>
          <cell r="G438">
            <v>0</v>
          </cell>
          <cell r="H438">
            <v>0</v>
          </cell>
          <cell r="I438">
            <v>0</v>
          </cell>
          <cell r="J438">
            <v>0</v>
          </cell>
        </row>
        <row r="439">
          <cell r="A439">
            <v>9241</v>
          </cell>
          <cell r="B439" t="str">
            <v>Actividades Deportivas</v>
          </cell>
          <cell r="C439">
            <v>0</v>
          </cell>
          <cell r="D439">
            <v>0</v>
          </cell>
          <cell r="E439">
            <v>0</v>
          </cell>
          <cell r="F439">
            <v>0</v>
          </cell>
          <cell r="G439">
            <v>0</v>
          </cell>
          <cell r="H439">
            <v>0</v>
          </cell>
          <cell r="I439">
            <v>0</v>
          </cell>
          <cell r="J439">
            <v>0</v>
          </cell>
        </row>
        <row r="440">
          <cell r="A440">
            <v>9242</v>
          </cell>
          <cell r="B440" t="str">
            <v>Actividades De Juegos De Azar</v>
          </cell>
          <cell r="C440">
            <v>0</v>
          </cell>
          <cell r="D440">
            <v>0</v>
          </cell>
          <cell r="E440">
            <v>0</v>
          </cell>
          <cell r="F440">
            <v>0</v>
          </cell>
          <cell r="G440">
            <v>0</v>
          </cell>
          <cell r="H440">
            <v>0</v>
          </cell>
          <cell r="I440">
            <v>0</v>
          </cell>
          <cell r="J440">
            <v>0</v>
          </cell>
        </row>
        <row r="441">
          <cell r="A441">
            <v>9249</v>
          </cell>
          <cell r="B441" t="str">
            <v>Otras Actividades De Esparcimiento</v>
          </cell>
          <cell r="C441">
            <v>0</v>
          </cell>
          <cell r="D441">
            <v>0</v>
          </cell>
          <cell r="E441">
            <v>0</v>
          </cell>
          <cell r="F441">
            <v>0</v>
          </cell>
          <cell r="G441">
            <v>0</v>
          </cell>
          <cell r="H441">
            <v>0</v>
          </cell>
          <cell r="I441">
            <v>0</v>
          </cell>
          <cell r="J441">
            <v>0</v>
          </cell>
        </row>
        <row r="442">
          <cell r="A442">
            <v>9301</v>
          </cell>
          <cell r="B442" t="str">
            <v>Lavado  Y Limpieza  De Prendas De Tela Y De Piel, Incluso La Limpieza En Seco</v>
          </cell>
          <cell r="C442">
            <v>0</v>
          </cell>
          <cell r="D442">
            <v>0</v>
          </cell>
          <cell r="E442">
            <v>0</v>
          </cell>
          <cell r="F442">
            <v>0</v>
          </cell>
          <cell r="G442">
            <v>0</v>
          </cell>
          <cell r="H442">
            <v>0</v>
          </cell>
          <cell r="I442">
            <v>0</v>
          </cell>
          <cell r="J442">
            <v>0</v>
          </cell>
        </row>
        <row r="443">
          <cell r="A443">
            <v>9302</v>
          </cell>
          <cell r="B443" t="str">
            <v>Peluqueria Y Otros Tratamientos De Belleza</v>
          </cell>
          <cell r="C443">
            <v>0</v>
          </cell>
          <cell r="D443">
            <v>0</v>
          </cell>
          <cell r="E443">
            <v>0</v>
          </cell>
          <cell r="F443">
            <v>0</v>
          </cell>
          <cell r="G443">
            <v>0</v>
          </cell>
          <cell r="H443">
            <v>0</v>
          </cell>
          <cell r="I443">
            <v>0</v>
          </cell>
          <cell r="J443">
            <v>0</v>
          </cell>
        </row>
        <row r="444">
          <cell r="A444">
            <v>9303</v>
          </cell>
          <cell r="B444" t="str">
            <v>Pompas Funebres Y Actividades Conexas</v>
          </cell>
          <cell r="C444">
            <v>0</v>
          </cell>
          <cell r="D444">
            <v>0</v>
          </cell>
          <cell r="E444">
            <v>0</v>
          </cell>
          <cell r="F444">
            <v>0</v>
          </cell>
          <cell r="G444">
            <v>0</v>
          </cell>
          <cell r="H444">
            <v>0</v>
          </cell>
          <cell r="I444">
            <v>0</v>
          </cell>
          <cell r="J444">
            <v>0</v>
          </cell>
        </row>
        <row r="445">
          <cell r="A445">
            <v>9309</v>
          </cell>
          <cell r="B445" t="str">
            <v>Otras Actividades De Servicios Ncp</v>
          </cell>
          <cell r="C445">
            <v>0</v>
          </cell>
          <cell r="D445">
            <v>0</v>
          </cell>
          <cell r="E445">
            <v>0</v>
          </cell>
          <cell r="F445">
            <v>0</v>
          </cell>
          <cell r="G445">
            <v>0</v>
          </cell>
          <cell r="H445">
            <v>0</v>
          </cell>
          <cell r="I445">
            <v>0</v>
          </cell>
          <cell r="J445">
            <v>0</v>
          </cell>
        </row>
        <row r="446">
          <cell r="A446">
            <v>9500</v>
          </cell>
          <cell r="B446" t="str">
            <v>Hogares Privados Con Servicio Domestico</v>
          </cell>
          <cell r="C446">
            <v>0</v>
          </cell>
          <cell r="D446">
            <v>0</v>
          </cell>
          <cell r="E446">
            <v>0</v>
          </cell>
          <cell r="F446">
            <v>0</v>
          </cell>
          <cell r="G446">
            <v>0</v>
          </cell>
          <cell r="H446">
            <v>0</v>
          </cell>
          <cell r="I446">
            <v>0</v>
          </cell>
          <cell r="J446">
            <v>0</v>
          </cell>
        </row>
        <row r="447">
          <cell r="A447">
            <v>9900</v>
          </cell>
          <cell r="B447" t="str">
            <v>Organizaciones Y Organos Extraterritoriales</v>
          </cell>
          <cell r="C447">
            <v>0</v>
          </cell>
          <cell r="D447">
            <v>0</v>
          </cell>
          <cell r="E447">
            <v>0</v>
          </cell>
          <cell r="F447">
            <v>0</v>
          </cell>
          <cell r="G447">
            <v>0</v>
          </cell>
          <cell r="H447">
            <v>0</v>
          </cell>
          <cell r="I447">
            <v>0</v>
          </cell>
          <cell r="J447">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coring"/>
      <sheetName val="Info Entrada"/>
      <sheetName val="ParametrosPry"/>
      <sheetName val="Cuadros"/>
      <sheetName val="FEVE"/>
      <sheetName val="AR"/>
      <sheetName val="Posiciones"/>
      <sheetName val="Activos"/>
      <sheetName val="Pasivos"/>
      <sheetName val="Estado de Resultados"/>
      <sheetName val="Indicadores"/>
      <sheetName val="Resumen Cuadros"/>
      <sheetName val="Resumen EEFF"/>
      <sheetName val="Activos (USD)"/>
      <sheetName val="Pasivos (USD)"/>
      <sheetName val="AR (USD)"/>
      <sheetName val="Posiciones (USD)"/>
      <sheetName val="Estado de Resultados (USD)"/>
      <sheetName val="Indicadores (USD)"/>
      <sheetName val="Resumen Cuadros (USD)"/>
      <sheetName val="Datos relevantes"/>
      <sheetName val="Duración"/>
      <sheetName val="Revisión"/>
      <sheetName val="Descripción"/>
      <sheetName val="Datos Financieros Consolidados"/>
      <sheetName val="Graficos con proy"/>
      <sheetName val="Estructura de la Deuda"/>
      <sheetName val="Rating"/>
      <sheetName val="Datos Finan"/>
      <sheetName val="Cash Flow"/>
      <sheetName val="Plan de Negocio"/>
      <sheetName val="Posición"/>
      <sheetName val="Resumen BBDD"/>
      <sheetName val="BBDD Estado Cash Flow"/>
      <sheetName val="Declaración Bienes"/>
      <sheetName val="CIIU"/>
    </sheetNames>
    <sheetDataSet>
      <sheetData sheetId="0">
        <row r="27">
          <cell r="C27">
            <v>39813</v>
          </cell>
          <cell r="D27">
            <v>2243.59</v>
          </cell>
          <cell r="E27" t="e">
            <v>#VALUE!</v>
          </cell>
        </row>
        <row r="28">
          <cell r="C28">
            <v>40178</v>
          </cell>
          <cell r="D28">
            <v>2044.23</v>
          </cell>
          <cell r="E28" t="e">
            <v>#DIV/0!</v>
          </cell>
        </row>
        <row r="29">
          <cell r="C29">
            <v>40543</v>
          </cell>
          <cell r="D29">
            <v>1913.98</v>
          </cell>
          <cell r="E29" t="e">
            <v>#DIV/0!</v>
          </cell>
        </row>
        <row r="30">
          <cell r="C30">
            <v>40574</v>
          </cell>
          <cell r="D30">
            <v>1857.98</v>
          </cell>
          <cell r="E30" t="e">
            <v>#DIV/0!</v>
          </cell>
        </row>
        <row r="31">
          <cell r="C31">
            <v>40602</v>
          </cell>
          <cell r="D31">
            <v>1895.56</v>
          </cell>
          <cell r="E31" t="e">
            <v>#DIV/0!</v>
          </cell>
        </row>
        <row r="32">
          <cell r="C32">
            <v>40633</v>
          </cell>
          <cell r="D32">
            <v>1879.47</v>
          </cell>
          <cell r="E32" t="e">
            <v>#DIV/0!</v>
          </cell>
        </row>
        <row r="33">
          <cell r="C33">
            <v>40663</v>
          </cell>
          <cell r="D33">
            <v>1768.19</v>
          </cell>
          <cell r="E33" t="e">
            <v>#DIV/0!</v>
          </cell>
        </row>
        <row r="34">
          <cell r="C34">
            <v>40694</v>
          </cell>
          <cell r="D34">
            <v>1817.34</v>
          </cell>
          <cell r="E34" t="e">
            <v>#DIV/0!</v>
          </cell>
        </row>
        <row r="35">
          <cell r="C35">
            <v>40724</v>
          </cell>
          <cell r="D35">
            <v>1780.16</v>
          </cell>
          <cell r="E35" t="e">
            <v>#DIV/0!</v>
          </cell>
        </row>
        <row r="36">
          <cell r="C36">
            <v>40755</v>
          </cell>
          <cell r="D36">
            <v>1777.82</v>
          </cell>
          <cell r="E36" t="e">
            <v>#DIV/0!</v>
          </cell>
        </row>
        <row r="37">
          <cell r="C37">
            <v>40786</v>
          </cell>
          <cell r="D37">
            <v>1783.66</v>
          </cell>
          <cell r="E37" t="e">
            <v>#DIV/0!</v>
          </cell>
        </row>
        <row r="38">
          <cell r="C38">
            <v>40816</v>
          </cell>
          <cell r="D38">
            <v>1915.1</v>
          </cell>
          <cell r="E38" t="e">
            <v>#VALUE!</v>
          </cell>
        </row>
        <row r="39">
          <cell r="C39">
            <v>40847</v>
          </cell>
          <cell r="D39">
            <v>1863.06</v>
          </cell>
          <cell r="E39">
            <v>-0.16960763775912724</v>
          </cell>
        </row>
        <row r="40">
          <cell r="C40">
            <v>40877</v>
          </cell>
          <cell r="D40">
            <v>1967.18</v>
          </cell>
          <cell r="E40">
            <v>-3.7691453505721007E-2</v>
          </cell>
        </row>
        <row r="41">
          <cell r="C41">
            <v>40908</v>
          </cell>
          <cell r="D41">
            <v>1942.7</v>
          </cell>
          <cell r="E41">
            <v>1.500538145644148E-2</v>
          </cell>
        </row>
        <row r="42">
          <cell r="C42">
            <v>40939</v>
          </cell>
          <cell r="D42">
            <v>1815.08</v>
          </cell>
          <cell r="E42">
            <v>-2.3089591922410446E-2</v>
          </cell>
        </row>
        <row r="43">
          <cell r="C43">
            <v>40968</v>
          </cell>
          <cell r="D43">
            <v>1767.83</v>
          </cell>
          <cell r="E43">
            <v>-6.7383781046234326E-2</v>
          </cell>
        </row>
        <row r="44">
          <cell r="C44">
            <v>40999</v>
          </cell>
          <cell r="D44">
            <v>1792.07</v>
          </cell>
          <cell r="E44">
            <v>-4.6502471441417059E-2</v>
          </cell>
        </row>
        <row r="45">
          <cell r="C45">
            <v>41029</v>
          </cell>
          <cell r="D45">
            <v>1761.2</v>
          </cell>
          <cell r="E45">
            <v>-3.9531950751898748E-3</v>
          </cell>
        </row>
        <row r="46">
          <cell r="C46">
            <v>41060</v>
          </cell>
          <cell r="D46">
            <v>1827.83</v>
          </cell>
          <cell r="E46">
            <v>5.7721725158748072E-3</v>
          </cell>
        </row>
        <row r="47">
          <cell r="C47">
            <v>41090</v>
          </cell>
          <cell r="D47">
            <v>1784.6</v>
          </cell>
          <cell r="E47">
            <v>2.4941578285095911E-3</v>
          </cell>
        </row>
        <row r="48">
          <cell r="C48">
            <v>41121</v>
          </cell>
          <cell r="D48">
            <v>1789.02</v>
          </cell>
          <cell r="E48">
            <v>6.2998503785536286E-3</v>
          </cell>
        </row>
        <row r="49">
          <cell r="C49">
            <v>41152</v>
          </cell>
          <cell r="D49">
            <v>1830.5</v>
          </cell>
          <cell r="E49">
            <v>2.6260610205980806E-2</v>
          </cell>
        </row>
        <row r="50">
          <cell r="C50">
            <v>41182</v>
          </cell>
          <cell r="D50">
            <v>1800.52</v>
          </cell>
          <cell r="E50">
            <v>-5.9829773902146055E-2</v>
          </cell>
        </row>
        <row r="51">
          <cell r="C51">
            <v>41213</v>
          </cell>
          <cell r="D51">
            <v>1829.89</v>
          </cell>
          <cell r="E51">
            <v>-1.7804042811288889E-2</v>
          </cell>
        </row>
        <row r="52">
          <cell r="C52">
            <v>41243</v>
          </cell>
          <cell r="D52">
            <v>1817.93</v>
          </cell>
          <cell r="E52">
            <v>-7.5870027145456986E-2</v>
          </cell>
        </row>
        <row r="53">
          <cell r="C53">
            <v>41274</v>
          </cell>
          <cell r="D53">
            <v>1768.22998046875</v>
          </cell>
          <cell r="E53">
            <v>-8.9808009230066377E-2</v>
          </cell>
        </row>
        <row r="54">
          <cell r="C54">
            <v>41305</v>
          </cell>
          <cell r="D54">
            <v>1773.24</v>
          </cell>
          <cell r="E54">
            <v>-2.3051325561407765E-2</v>
          </cell>
        </row>
        <row r="55">
          <cell r="C55">
            <v>41333</v>
          </cell>
          <cell r="D55">
            <v>1816.42</v>
          </cell>
          <cell r="E55">
            <v>2.7485674527528259E-2</v>
          </cell>
        </row>
        <row r="56">
          <cell r="C56">
            <v>41364</v>
          </cell>
          <cell r="D56">
            <v>1832.2</v>
          </cell>
          <cell r="E56">
            <v>2.2393098483876273E-2</v>
          </cell>
        </row>
        <row r="57">
          <cell r="C57">
            <v>41394</v>
          </cell>
          <cell r="D57">
            <v>1828.79</v>
          </cell>
          <cell r="E57">
            <v>3.8377242789007449E-2</v>
          </cell>
        </row>
        <row r="58">
          <cell r="C58">
            <v>41425</v>
          </cell>
          <cell r="D58">
            <v>1891.48</v>
          </cell>
          <cell r="E58">
            <v>3.4822713272022021E-2</v>
          </cell>
        </row>
        <row r="59">
          <cell r="C59">
            <v>41455</v>
          </cell>
          <cell r="D59">
            <v>1929</v>
          </cell>
          <cell r="E59">
            <v>8.091449064216083E-2</v>
          </cell>
        </row>
        <row r="60">
          <cell r="C60">
            <v>41486</v>
          </cell>
          <cell r="D60">
            <v>1890.33</v>
          </cell>
          <cell r="E60">
            <v>5.6628768823154596E-2</v>
          </cell>
        </row>
        <row r="61">
          <cell r="C61">
            <v>41517</v>
          </cell>
          <cell r="D61">
            <v>1935.43</v>
          </cell>
          <cell r="E61">
            <v>5.7323135755258159E-2</v>
          </cell>
        </row>
        <row r="62">
          <cell r="C62">
            <v>41547</v>
          </cell>
          <cell r="D62">
            <v>1914.65</v>
          </cell>
          <cell r="E62">
            <v>6.338724368515769E-2</v>
          </cell>
        </row>
        <row r="63">
          <cell r="C63">
            <v>41578</v>
          </cell>
          <cell r="D63">
            <v>1884.06</v>
          </cell>
          <cell r="E63">
            <v>2.9602872303799543E-2</v>
          </cell>
        </row>
        <row r="64">
          <cell r="C64">
            <v>41608</v>
          </cell>
          <cell r="D64">
            <v>1931.88</v>
          </cell>
          <cell r="E64">
            <v>6.268118134361611E-2</v>
          </cell>
        </row>
        <row r="65">
          <cell r="C65">
            <v>41639</v>
          </cell>
          <cell r="D65">
            <v>1926.83</v>
          </cell>
          <cell r="E65">
            <v>8.9694226024380486E-2</v>
          </cell>
        </row>
        <row r="66">
          <cell r="C66">
            <v>41670</v>
          </cell>
          <cell r="D66">
            <v>2008.26</v>
          </cell>
          <cell r="E66">
            <v>0.13253705082222367</v>
          </cell>
        </row>
        <row r="67">
          <cell r="C67">
            <v>41698</v>
          </cell>
          <cell r="D67">
            <v>2054.9</v>
          </cell>
          <cell r="E67">
            <v>0.13129122119333636</v>
          </cell>
        </row>
        <row r="68">
          <cell r="C68">
            <v>41729</v>
          </cell>
          <cell r="D68">
            <v>1965.32</v>
          </cell>
          <cell r="E68">
            <v>7.2655823600043634E-2</v>
          </cell>
        </row>
        <row r="69">
          <cell r="C69">
            <v>41759</v>
          </cell>
          <cell r="D69">
            <v>1935.14</v>
          </cell>
          <cell r="E69">
            <v>5.8153205124700014E-2</v>
          </cell>
        </row>
        <row r="70">
          <cell r="C70">
            <v>41790</v>
          </cell>
          <cell r="D70">
            <v>1900.64</v>
          </cell>
          <cell r="E70">
            <v>4.8427686256264924E-3</v>
          </cell>
        </row>
        <row r="71">
          <cell r="C71">
            <v>41820</v>
          </cell>
          <cell r="D71">
            <v>1881.19</v>
          </cell>
          <cell r="E71">
            <v>-2.478486262312074E-2</v>
          </cell>
        </row>
        <row r="72">
          <cell r="C72">
            <v>41851</v>
          </cell>
          <cell r="D72">
            <v>1872.43</v>
          </cell>
          <cell r="E72">
            <v>-9.4692461104673997E-3</v>
          </cell>
        </row>
        <row r="73">
          <cell r="C73">
            <v>41882</v>
          </cell>
          <cell r="D73">
            <v>1918.62</v>
          </cell>
          <cell r="E73">
            <v>-8.6854084105342233E-3</v>
          </cell>
        </row>
        <row r="74">
          <cell r="C74">
            <v>41912</v>
          </cell>
          <cell r="D74">
            <v>2028.48</v>
          </cell>
          <cell r="E74">
            <v>5.9452119186274244E-2</v>
          </cell>
        </row>
        <row r="75">
          <cell r="C75">
            <v>41943</v>
          </cell>
          <cell r="D75">
            <v>2050.52</v>
          </cell>
          <cell r="E75">
            <v>8.8351751005806722E-2</v>
          </cell>
        </row>
        <row r="76">
          <cell r="C76">
            <v>41973</v>
          </cell>
          <cell r="D76">
            <v>2206.19</v>
          </cell>
          <cell r="E76">
            <v>0.14199122098681083</v>
          </cell>
        </row>
        <row r="77">
          <cell r="C77">
            <v>42004</v>
          </cell>
          <cell r="D77">
            <v>2392.46</v>
          </cell>
          <cell r="E77">
            <v>0.24165598418127199</v>
          </cell>
        </row>
        <row r="78">
          <cell r="C78">
            <v>42035</v>
          </cell>
          <cell r="D78">
            <v>2441.1</v>
          </cell>
          <cell r="E78">
            <v>0.21552986167129751</v>
          </cell>
        </row>
        <row r="79">
          <cell r="C79">
            <v>42063</v>
          </cell>
          <cell r="D79">
            <v>2496.9899999999998</v>
          </cell>
          <cell r="E79">
            <v>0.21513942284296061</v>
          </cell>
        </row>
        <row r="80">
          <cell r="C80">
            <v>42094</v>
          </cell>
          <cell r="D80">
            <v>2576.0500000000002</v>
          </cell>
          <cell r="E80">
            <v>0.31075346508456647</v>
          </cell>
        </row>
        <row r="81">
          <cell r="C81">
            <v>42124</v>
          </cell>
          <cell r="D81">
            <v>2388.06</v>
          </cell>
          <cell r="E81">
            <v>0.2340502495943444</v>
          </cell>
        </row>
        <row r="82">
          <cell r="C82">
            <v>42155</v>
          </cell>
          <cell r="D82">
            <v>2533.79</v>
          </cell>
          <cell r="E82">
            <v>0.33312463170300521</v>
          </cell>
        </row>
        <row r="83">
          <cell r="C83">
            <v>42185</v>
          </cell>
          <cell r="D83">
            <v>2585.11</v>
          </cell>
          <cell r="E83">
            <v>0.37418867844290049</v>
          </cell>
        </row>
        <row r="84">
          <cell r="C84">
            <v>42216</v>
          </cell>
          <cell r="D84">
            <v>2866.04</v>
          </cell>
          <cell r="E84">
            <v>0.53065268127513443</v>
          </cell>
        </row>
        <row r="85">
          <cell r="C85">
            <v>42247</v>
          </cell>
          <cell r="D85">
            <v>3101.1</v>
          </cell>
          <cell r="E85">
            <v>0.6163179785470807</v>
          </cell>
        </row>
        <row r="86">
          <cell r="C86">
            <v>42277</v>
          </cell>
          <cell r="D86">
            <v>3121.94</v>
          </cell>
          <cell r="E86">
            <v>0.53905387285060735</v>
          </cell>
        </row>
        <row r="87">
          <cell r="C87">
            <v>42308</v>
          </cell>
          <cell r="D87">
            <v>2897.83</v>
          </cell>
          <cell r="E87">
            <v>0.41321713516571412</v>
          </cell>
        </row>
        <row r="88">
          <cell r="C88">
            <v>42338</v>
          </cell>
          <cell r="D88">
            <v>3101.1</v>
          </cell>
          <cell r="E88">
            <v>0.40563596063802287</v>
          </cell>
        </row>
        <row r="89">
          <cell r="C89">
            <v>42369</v>
          </cell>
          <cell r="D89">
            <v>3149.47</v>
          </cell>
          <cell r="E89">
            <v>0.31641490348845958</v>
          </cell>
        </row>
        <row r="90">
          <cell r="C90">
            <v>42400</v>
          </cell>
          <cell r="D90">
            <v>3287.31</v>
          </cell>
          <cell r="E90">
            <v>0.34665109991397314</v>
          </cell>
        </row>
        <row r="91">
          <cell r="C91">
            <v>42429</v>
          </cell>
          <cell r="D91">
            <v>0</v>
          </cell>
          <cell r="E91">
            <v>-1</v>
          </cell>
        </row>
        <row r="92">
          <cell r="C92">
            <v>42460</v>
          </cell>
          <cell r="D92">
            <v>0</v>
          </cell>
          <cell r="E92">
            <v>-1</v>
          </cell>
        </row>
        <row r="93">
          <cell r="C93">
            <v>42490</v>
          </cell>
          <cell r="D93">
            <v>0</v>
          </cell>
          <cell r="E93">
            <v>-1</v>
          </cell>
        </row>
        <row r="94">
          <cell r="C94">
            <v>42521</v>
          </cell>
          <cell r="D94">
            <v>0</v>
          </cell>
          <cell r="E94">
            <v>-1</v>
          </cell>
        </row>
        <row r="95">
          <cell r="C95">
            <v>42551</v>
          </cell>
          <cell r="D95">
            <v>0</v>
          </cell>
          <cell r="E95">
            <v>-1</v>
          </cell>
        </row>
        <row r="96">
          <cell r="C96">
            <v>0</v>
          </cell>
          <cell r="D96">
            <v>0</v>
          </cell>
          <cell r="E96">
            <v>0</v>
          </cell>
        </row>
        <row r="97">
          <cell r="C97">
            <v>0</v>
          </cell>
          <cell r="D97">
            <v>0</v>
          </cell>
          <cell r="E97">
            <v>0</v>
          </cell>
        </row>
        <row r="98">
          <cell r="C98">
            <v>0</v>
          </cell>
          <cell r="D98">
            <v>0</v>
          </cell>
          <cell r="E98">
            <v>0</v>
          </cell>
        </row>
        <row r="99">
          <cell r="C99">
            <v>0</v>
          </cell>
          <cell r="D99">
            <v>0</v>
          </cell>
          <cell r="E99">
            <v>0</v>
          </cell>
        </row>
        <row r="100">
          <cell r="C100">
            <v>0</v>
          </cell>
          <cell r="D100">
            <v>0</v>
          </cell>
          <cell r="E100">
            <v>0</v>
          </cell>
        </row>
        <row r="101">
          <cell r="C101">
            <v>0</v>
          </cell>
          <cell r="D101">
            <v>0</v>
          </cell>
          <cell r="E101">
            <v>0</v>
          </cell>
        </row>
        <row r="102">
          <cell r="C102">
            <v>0</v>
          </cell>
          <cell r="D102">
            <v>0</v>
          </cell>
          <cell r="E102">
            <v>0</v>
          </cell>
        </row>
        <row r="103">
          <cell r="C103">
            <v>0</v>
          </cell>
          <cell r="D103">
            <v>0</v>
          </cell>
          <cell r="E103">
            <v>0</v>
          </cell>
        </row>
        <row r="104">
          <cell r="C104">
            <v>0</v>
          </cell>
          <cell r="D104">
            <v>0</v>
          </cell>
          <cell r="E104">
            <v>0</v>
          </cell>
        </row>
        <row r="105">
          <cell r="C105">
            <v>0</v>
          </cell>
          <cell r="D105">
            <v>0</v>
          </cell>
          <cell r="E105">
            <v>0</v>
          </cell>
        </row>
        <row r="106">
          <cell r="C106">
            <v>0</v>
          </cell>
          <cell r="D106">
            <v>0</v>
          </cell>
          <cell r="E106">
            <v>0</v>
          </cell>
        </row>
        <row r="107">
          <cell r="C107">
            <v>0</v>
          </cell>
          <cell r="D107">
            <v>0</v>
          </cell>
          <cell r="E107">
            <v>0</v>
          </cell>
        </row>
        <row r="108">
          <cell r="C108">
            <v>0</v>
          </cell>
          <cell r="D108">
            <v>0</v>
          </cell>
          <cell r="E108">
            <v>0</v>
          </cell>
        </row>
        <row r="109">
          <cell r="C109">
            <v>0</v>
          </cell>
          <cell r="D109">
            <v>0</v>
          </cell>
          <cell r="E109">
            <v>0</v>
          </cell>
        </row>
        <row r="110">
          <cell r="C110">
            <v>0</v>
          </cell>
          <cell r="D110">
            <v>0</v>
          </cell>
          <cell r="E110">
            <v>0</v>
          </cell>
        </row>
        <row r="111">
          <cell r="C111">
            <v>0</v>
          </cell>
          <cell r="D111">
            <v>0</v>
          </cell>
          <cell r="E111">
            <v>0</v>
          </cell>
        </row>
        <row r="112">
          <cell r="C112">
            <v>0</v>
          </cell>
          <cell r="D112">
            <v>0</v>
          </cell>
          <cell r="E112">
            <v>0</v>
          </cell>
        </row>
        <row r="113">
          <cell r="C113">
            <v>0</v>
          </cell>
          <cell r="D113">
            <v>0</v>
          </cell>
          <cell r="E113">
            <v>0</v>
          </cell>
        </row>
        <row r="114">
          <cell r="C114">
            <v>0</v>
          </cell>
          <cell r="D114">
            <v>0</v>
          </cell>
          <cell r="E114">
            <v>0</v>
          </cell>
        </row>
        <row r="115">
          <cell r="C115">
            <v>0</v>
          </cell>
          <cell r="D115">
            <v>0</v>
          </cell>
          <cell r="E115">
            <v>0</v>
          </cell>
        </row>
        <row r="116">
          <cell r="C116">
            <v>0</v>
          </cell>
          <cell r="D116">
            <v>0</v>
          </cell>
          <cell r="E116">
            <v>0</v>
          </cell>
        </row>
        <row r="117">
          <cell r="C117">
            <v>0</v>
          </cell>
          <cell r="D117">
            <v>0</v>
          </cell>
          <cell r="E117">
            <v>0</v>
          </cell>
        </row>
        <row r="118">
          <cell r="C118">
            <v>0</v>
          </cell>
          <cell r="D118">
            <v>0</v>
          </cell>
          <cell r="E118">
            <v>0</v>
          </cell>
        </row>
        <row r="119">
          <cell r="C119">
            <v>0</v>
          </cell>
          <cell r="D119">
            <v>0</v>
          </cell>
          <cell r="E119">
            <v>0</v>
          </cell>
        </row>
        <row r="120">
          <cell r="C120">
            <v>0</v>
          </cell>
          <cell r="D120">
            <v>0</v>
          </cell>
          <cell r="E120">
            <v>0</v>
          </cell>
        </row>
      </sheetData>
      <sheetData sheetId="1"/>
      <sheetData sheetId="2">
        <row r="1">
          <cell r="B1" t="str">
            <v>Año</v>
          </cell>
        </row>
        <row r="5001">
          <cell r="A5001">
            <v>2012</v>
          </cell>
        </row>
        <row r="5002">
          <cell r="A5002">
            <v>2013</v>
          </cell>
        </row>
        <row r="5003">
          <cell r="A5003">
            <v>2014</v>
          </cell>
        </row>
      </sheetData>
      <sheetData sheetId="3"/>
      <sheetData sheetId="4">
        <row r="2">
          <cell r="C2">
            <v>42277</v>
          </cell>
        </row>
      </sheetData>
      <sheetData sheetId="5"/>
      <sheetData sheetId="6">
        <row r="7">
          <cell r="G7">
            <v>0</v>
          </cell>
        </row>
      </sheetData>
      <sheetData sheetId="7">
        <row r="10">
          <cell r="C10">
            <v>0</v>
          </cell>
        </row>
      </sheetData>
      <sheetData sheetId="8"/>
      <sheetData sheetId="9"/>
      <sheetData sheetId="10"/>
      <sheetData sheetId="11"/>
      <sheetData sheetId="12"/>
      <sheetData sheetId="13">
        <row r="137">
          <cell r="A137" t="str">
            <v>SI</v>
          </cell>
        </row>
        <row r="138">
          <cell r="A138" t="str">
            <v>NO</v>
          </cell>
        </row>
      </sheetData>
      <sheetData sheetId="14"/>
      <sheetData sheetId="15"/>
      <sheetData sheetId="16"/>
      <sheetData sheetId="17"/>
      <sheetData sheetId="18"/>
      <sheetData sheetId="19"/>
      <sheetData sheetId="20"/>
      <sheetData sheetId="21"/>
      <sheetData sheetId="22">
        <row r="8">
          <cell r="C8">
            <v>0</v>
          </cell>
          <cell r="G8">
            <v>0</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2">
          <cell r="A2">
            <v>10</v>
          </cell>
          <cell r="B2" t="str">
            <v>Asalariados</v>
          </cell>
          <cell r="C2">
            <v>0</v>
          </cell>
          <cell r="D2">
            <v>0</v>
          </cell>
          <cell r="E2">
            <v>0</v>
          </cell>
          <cell r="F2">
            <v>0</v>
          </cell>
          <cell r="G2">
            <v>0</v>
          </cell>
          <cell r="H2">
            <v>0</v>
          </cell>
          <cell r="I2">
            <v>0</v>
          </cell>
          <cell r="J2">
            <v>0</v>
          </cell>
        </row>
        <row r="3">
          <cell r="A3">
            <v>90</v>
          </cell>
          <cell r="B3" t="str">
            <v>Rentistas De Capital. Solo Para Personas Naturales</v>
          </cell>
          <cell r="C3">
            <v>0</v>
          </cell>
          <cell r="D3">
            <v>0</v>
          </cell>
          <cell r="E3">
            <v>0</v>
          </cell>
          <cell r="F3">
            <v>0</v>
          </cell>
          <cell r="G3">
            <v>0</v>
          </cell>
          <cell r="H3">
            <v>0</v>
          </cell>
          <cell r="I3">
            <v>0</v>
          </cell>
          <cell r="J3">
            <v>0</v>
          </cell>
        </row>
        <row r="4">
          <cell r="A4">
            <v>111</v>
          </cell>
          <cell r="B4" t="str">
            <v>Produccion Especializada Del Cafe</v>
          </cell>
          <cell r="C4">
            <v>0</v>
          </cell>
          <cell r="D4">
            <v>0</v>
          </cell>
          <cell r="E4">
            <v>0</v>
          </cell>
          <cell r="F4">
            <v>0</v>
          </cell>
          <cell r="G4">
            <v>0</v>
          </cell>
          <cell r="H4">
            <v>0</v>
          </cell>
          <cell r="I4">
            <v>0</v>
          </cell>
          <cell r="J4">
            <v>0</v>
          </cell>
        </row>
        <row r="5">
          <cell r="A5">
            <v>112</v>
          </cell>
          <cell r="B5" t="str">
            <v>Produccion Especializada De Flor  De Corte Bajo Cubierta Y Al Aire Libre</v>
          </cell>
          <cell r="C5">
            <v>0</v>
          </cell>
          <cell r="D5">
            <v>0</v>
          </cell>
          <cell r="E5">
            <v>0</v>
          </cell>
          <cell r="F5">
            <v>0</v>
          </cell>
          <cell r="G5">
            <v>0</v>
          </cell>
          <cell r="H5">
            <v>0</v>
          </cell>
          <cell r="I5">
            <v>0</v>
          </cell>
          <cell r="J5">
            <v>0</v>
          </cell>
        </row>
        <row r="6">
          <cell r="A6">
            <v>113</v>
          </cell>
          <cell r="B6" t="str">
            <v>Produccion Especializada De Banano</v>
          </cell>
          <cell r="C6">
            <v>0</v>
          </cell>
          <cell r="D6">
            <v>0</v>
          </cell>
          <cell r="E6">
            <v>0</v>
          </cell>
          <cell r="F6">
            <v>0</v>
          </cell>
          <cell r="G6">
            <v>0</v>
          </cell>
          <cell r="H6">
            <v>0</v>
          </cell>
          <cell r="I6">
            <v>0</v>
          </cell>
          <cell r="J6">
            <v>0</v>
          </cell>
        </row>
        <row r="7">
          <cell r="A7">
            <v>114</v>
          </cell>
          <cell r="B7" t="str">
            <v>Produccion Especializada De Caña De Azucar</v>
          </cell>
          <cell r="C7">
            <v>0</v>
          </cell>
          <cell r="D7">
            <v>0</v>
          </cell>
          <cell r="E7">
            <v>0</v>
          </cell>
          <cell r="F7">
            <v>0</v>
          </cell>
          <cell r="G7">
            <v>0</v>
          </cell>
          <cell r="H7">
            <v>0</v>
          </cell>
          <cell r="I7">
            <v>0</v>
          </cell>
          <cell r="J7">
            <v>0</v>
          </cell>
        </row>
        <row r="8">
          <cell r="A8">
            <v>115</v>
          </cell>
          <cell r="B8" t="str">
            <v>Produccion Especializada De Cereales Y Oleaginosas</v>
          </cell>
          <cell r="C8">
            <v>0</v>
          </cell>
          <cell r="D8">
            <v>0</v>
          </cell>
          <cell r="E8">
            <v>0</v>
          </cell>
          <cell r="F8">
            <v>0</v>
          </cell>
          <cell r="G8">
            <v>0</v>
          </cell>
          <cell r="H8">
            <v>0</v>
          </cell>
          <cell r="I8">
            <v>0</v>
          </cell>
          <cell r="J8">
            <v>0</v>
          </cell>
        </row>
        <row r="9">
          <cell r="A9">
            <v>116</v>
          </cell>
          <cell r="B9" t="str">
            <v>Produccion Especializada De Hortalizas Y Legumbres</v>
          </cell>
          <cell r="C9">
            <v>0</v>
          </cell>
          <cell r="D9">
            <v>0</v>
          </cell>
          <cell r="E9">
            <v>0</v>
          </cell>
          <cell r="F9">
            <v>0</v>
          </cell>
          <cell r="G9">
            <v>0</v>
          </cell>
          <cell r="H9">
            <v>0</v>
          </cell>
          <cell r="I9">
            <v>0</v>
          </cell>
          <cell r="J9">
            <v>0</v>
          </cell>
        </row>
        <row r="10">
          <cell r="A10">
            <v>117</v>
          </cell>
          <cell r="B10" t="str">
            <v>Produccion Especializada De Frutas,Nueces,Plantas Bebestibles Y Especias</v>
          </cell>
          <cell r="C10">
            <v>0</v>
          </cell>
          <cell r="D10">
            <v>0</v>
          </cell>
          <cell r="E10">
            <v>0</v>
          </cell>
          <cell r="F10">
            <v>0</v>
          </cell>
          <cell r="G10">
            <v>0</v>
          </cell>
          <cell r="H10">
            <v>0</v>
          </cell>
          <cell r="I10">
            <v>0</v>
          </cell>
          <cell r="J10">
            <v>0</v>
          </cell>
        </row>
        <row r="11">
          <cell r="A11">
            <v>118</v>
          </cell>
          <cell r="B11" t="str">
            <v>Produccion Agricola Ncp En Unidades Especializadas</v>
          </cell>
          <cell r="C11">
            <v>0</v>
          </cell>
          <cell r="D11">
            <v>0</v>
          </cell>
          <cell r="E11">
            <v>0</v>
          </cell>
          <cell r="F11">
            <v>0</v>
          </cell>
          <cell r="G11">
            <v>0</v>
          </cell>
          <cell r="H11">
            <v>0</v>
          </cell>
          <cell r="I11">
            <v>0</v>
          </cell>
          <cell r="J11">
            <v>0</v>
          </cell>
        </row>
        <row r="12">
          <cell r="A12">
            <v>119</v>
          </cell>
          <cell r="B12" t="str">
            <v>Produccion Agricola En Unidades No Especializadas</v>
          </cell>
          <cell r="C12">
            <v>0</v>
          </cell>
          <cell r="D12">
            <v>0</v>
          </cell>
          <cell r="E12">
            <v>0</v>
          </cell>
          <cell r="F12">
            <v>0</v>
          </cell>
          <cell r="G12">
            <v>0</v>
          </cell>
          <cell r="H12">
            <v>0</v>
          </cell>
          <cell r="I12">
            <v>0</v>
          </cell>
          <cell r="J12">
            <v>0</v>
          </cell>
        </row>
        <row r="13">
          <cell r="A13">
            <v>121</v>
          </cell>
          <cell r="B13" t="str">
            <v>Cria Especializada De Ganado Vacuno</v>
          </cell>
          <cell r="C13">
            <v>0</v>
          </cell>
          <cell r="D13">
            <v>0</v>
          </cell>
          <cell r="E13">
            <v>0</v>
          </cell>
          <cell r="F13">
            <v>0</v>
          </cell>
          <cell r="G13">
            <v>0</v>
          </cell>
          <cell r="H13">
            <v>0</v>
          </cell>
          <cell r="I13">
            <v>0</v>
          </cell>
          <cell r="J13">
            <v>0</v>
          </cell>
        </row>
        <row r="14">
          <cell r="A14">
            <v>122</v>
          </cell>
          <cell r="B14" t="str">
            <v>Cria Especializada  De Ganado Porcino</v>
          </cell>
          <cell r="C14">
            <v>0</v>
          </cell>
          <cell r="D14">
            <v>0</v>
          </cell>
          <cell r="E14">
            <v>0</v>
          </cell>
          <cell r="F14">
            <v>0</v>
          </cell>
          <cell r="G14">
            <v>0</v>
          </cell>
          <cell r="H14">
            <v>0</v>
          </cell>
          <cell r="I14">
            <v>0</v>
          </cell>
          <cell r="J14">
            <v>0</v>
          </cell>
        </row>
        <row r="15">
          <cell r="A15">
            <v>123</v>
          </cell>
          <cell r="B15" t="str">
            <v>Cria Especialiada De Aves De Corral</v>
          </cell>
          <cell r="C15">
            <v>0</v>
          </cell>
          <cell r="D15">
            <v>0</v>
          </cell>
          <cell r="E15">
            <v>0</v>
          </cell>
          <cell r="F15">
            <v>0</v>
          </cell>
          <cell r="G15">
            <v>0</v>
          </cell>
          <cell r="H15">
            <v>0</v>
          </cell>
          <cell r="I15">
            <v>0</v>
          </cell>
          <cell r="J15">
            <v>0</v>
          </cell>
        </row>
        <row r="16">
          <cell r="A16">
            <v>124</v>
          </cell>
          <cell r="B16" t="str">
            <v>Cria Especializada De Ovejas, Cabras, Caballos, Asnos, Mulas Y Burdeganos</v>
          </cell>
          <cell r="C16">
            <v>0</v>
          </cell>
          <cell r="D16">
            <v>0</v>
          </cell>
          <cell r="E16">
            <v>0</v>
          </cell>
          <cell r="F16">
            <v>0</v>
          </cell>
          <cell r="G16">
            <v>0</v>
          </cell>
          <cell r="H16">
            <v>0</v>
          </cell>
          <cell r="I16">
            <v>0</v>
          </cell>
          <cell r="J16">
            <v>0</v>
          </cell>
        </row>
        <row r="17">
          <cell r="A17">
            <v>125</v>
          </cell>
          <cell r="B17" t="str">
            <v>Cria Especializada De Otros Animales Ncp Y  La  Obtencion De Sus Productos</v>
          </cell>
          <cell r="C17">
            <v>0</v>
          </cell>
          <cell r="D17">
            <v>0</v>
          </cell>
          <cell r="E17">
            <v>0</v>
          </cell>
          <cell r="F17">
            <v>0</v>
          </cell>
          <cell r="G17">
            <v>0</v>
          </cell>
          <cell r="H17">
            <v>0</v>
          </cell>
          <cell r="I17">
            <v>0</v>
          </cell>
          <cell r="J17">
            <v>0</v>
          </cell>
        </row>
        <row r="18">
          <cell r="A18">
            <v>129</v>
          </cell>
          <cell r="B18" t="str">
            <v>Actividad Pecuaria No Especializada</v>
          </cell>
          <cell r="C18">
            <v>0</v>
          </cell>
          <cell r="D18">
            <v>0</v>
          </cell>
          <cell r="E18">
            <v>0</v>
          </cell>
          <cell r="F18">
            <v>0</v>
          </cell>
          <cell r="G18">
            <v>0</v>
          </cell>
          <cell r="H18">
            <v>0</v>
          </cell>
          <cell r="I18">
            <v>0</v>
          </cell>
          <cell r="J18">
            <v>0</v>
          </cell>
        </row>
        <row r="19">
          <cell r="A19">
            <v>130</v>
          </cell>
          <cell r="B19" t="str">
            <v>Actividad Mixta (Agricola Y Pecuaria)</v>
          </cell>
          <cell r="C19">
            <v>0</v>
          </cell>
          <cell r="D19">
            <v>0</v>
          </cell>
          <cell r="E19">
            <v>0</v>
          </cell>
          <cell r="F19">
            <v>0</v>
          </cell>
          <cell r="G19">
            <v>0</v>
          </cell>
          <cell r="H19">
            <v>0</v>
          </cell>
          <cell r="I19">
            <v>0</v>
          </cell>
          <cell r="J19">
            <v>0</v>
          </cell>
        </row>
        <row r="20">
          <cell r="A20">
            <v>140</v>
          </cell>
          <cell r="B20" t="str">
            <v>Actividades De Servicios, Agricolas Y Ganaderos, Excepto Las Actividades Veterinarias</v>
          </cell>
          <cell r="C20">
            <v>0</v>
          </cell>
          <cell r="D20">
            <v>0</v>
          </cell>
          <cell r="E20">
            <v>0</v>
          </cell>
          <cell r="F20">
            <v>0</v>
          </cell>
          <cell r="G20">
            <v>0</v>
          </cell>
          <cell r="H20">
            <v>0</v>
          </cell>
          <cell r="I20">
            <v>0</v>
          </cell>
          <cell r="J20">
            <v>0</v>
          </cell>
        </row>
        <row r="21">
          <cell r="A21">
            <v>150</v>
          </cell>
          <cell r="B21" t="str">
            <v>Caza Ordinaria Y Mediante Trampas Y Repoblacion De Animales De Caza, Incluso actividades De Servicios Conexas.</v>
          </cell>
          <cell r="C21">
            <v>0</v>
          </cell>
          <cell r="D21">
            <v>0</v>
          </cell>
          <cell r="E21">
            <v>0</v>
          </cell>
          <cell r="F21">
            <v>0</v>
          </cell>
          <cell r="G21">
            <v>0</v>
          </cell>
          <cell r="H21">
            <v>0</v>
          </cell>
          <cell r="I21">
            <v>0</v>
          </cell>
          <cell r="J21">
            <v>0</v>
          </cell>
        </row>
        <row r="22">
          <cell r="A22">
            <v>201</v>
          </cell>
          <cell r="B22" t="str">
            <v>Silvicultura Y Explotacion De La Madera</v>
          </cell>
          <cell r="C22">
            <v>0</v>
          </cell>
          <cell r="D22">
            <v>0</v>
          </cell>
          <cell r="E22">
            <v>0</v>
          </cell>
          <cell r="F22">
            <v>0</v>
          </cell>
          <cell r="G22">
            <v>0</v>
          </cell>
          <cell r="H22">
            <v>0</v>
          </cell>
          <cell r="I22">
            <v>0</v>
          </cell>
          <cell r="J22">
            <v>0</v>
          </cell>
        </row>
        <row r="23">
          <cell r="A23">
            <v>202</v>
          </cell>
          <cell r="B23" t="str">
            <v>Actividades De Servicios Relacionadas Con La Silvicultura Y La Extraccion De La Madera</v>
          </cell>
          <cell r="C23">
            <v>0</v>
          </cell>
          <cell r="D23">
            <v>0</v>
          </cell>
          <cell r="E23">
            <v>0</v>
          </cell>
          <cell r="F23">
            <v>0</v>
          </cell>
          <cell r="G23">
            <v>0</v>
          </cell>
          <cell r="H23">
            <v>0</v>
          </cell>
          <cell r="I23">
            <v>0</v>
          </cell>
          <cell r="J23">
            <v>0</v>
          </cell>
        </row>
        <row r="24">
          <cell r="A24">
            <v>501</v>
          </cell>
          <cell r="B24" t="str">
            <v>Pesca Explotacion De Ciaderos De Peces Y Granjas Pisicolas. Pesca y cultivo de peces en criaderos y piscicolas</v>
          </cell>
          <cell r="C24">
            <v>0</v>
          </cell>
          <cell r="D24">
            <v>0</v>
          </cell>
          <cell r="E24">
            <v>0</v>
          </cell>
          <cell r="F24">
            <v>0</v>
          </cell>
          <cell r="G24">
            <v>0</v>
          </cell>
          <cell r="H24">
            <v>0</v>
          </cell>
          <cell r="I24">
            <v>0</v>
          </cell>
          <cell r="J24">
            <v>0</v>
          </cell>
        </row>
        <row r="25">
          <cell r="A25">
            <v>502</v>
          </cell>
          <cell r="B25" t="str">
            <v>Actividades De Servicios Relacionados Con La Pesca</v>
          </cell>
          <cell r="C25">
            <v>0</v>
          </cell>
          <cell r="D25">
            <v>0</v>
          </cell>
          <cell r="E25">
            <v>0</v>
          </cell>
          <cell r="F25">
            <v>0</v>
          </cell>
          <cell r="G25">
            <v>0</v>
          </cell>
          <cell r="H25">
            <v>0</v>
          </cell>
          <cell r="I25">
            <v>0</v>
          </cell>
          <cell r="J25">
            <v>0</v>
          </cell>
        </row>
        <row r="26">
          <cell r="A26">
            <v>1010</v>
          </cell>
          <cell r="B26" t="str">
            <v>Extraccion Y Aglomeracion De Hulla ( Carbon De Piedra)</v>
          </cell>
          <cell r="C26">
            <v>0</v>
          </cell>
          <cell r="D26">
            <v>0</v>
          </cell>
          <cell r="E26">
            <v>0</v>
          </cell>
          <cell r="F26">
            <v>0</v>
          </cell>
          <cell r="G26">
            <v>0</v>
          </cell>
          <cell r="H26">
            <v>0</v>
          </cell>
          <cell r="I26">
            <v>0</v>
          </cell>
          <cell r="J26">
            <v>0</v>
          </cell>
        </row>
        <row r="27">
          <cell r="A27">
            <v>1020</v>
          </cell>
          <cell r="B27" t="str">
            <v>Extraccion Y Aglomeracion De Carbon Lignitico</v>
          </cell>
          <cell r="C27">
            <v>0</v>
          </cell>
          <cell r="D27">
            <v>0</v>
          </cell>
          <cell r="E27">
            <v>0</v>
          </cell>
          <cell r="F27">
            <v>0</v>
          </cell>
          <cell r="G27">
            <v>0</v>
          </cell>
          <cell r="H27">
            <v>0</v>
          </cell>
          <cell r="I27">
            <v>0</v>
          </cell>
          <cell r="J27">
            <v>0</v>
          </cell>
        </row>
        <row r="28">
          <cell r="A28">
            <v>1030</v>
          </cell>
          <cell r="B28" t="str">
            <v>Extraccion Y Aglomeracion De Turba</v>
          </cell>
          <cell r="C28">
            <v>0</v>
          </cell>
          <cell r="D28">
            <v>0</v>
          </cell>
          <cell r="E28">
            <v>0</v>
          </cell>
          <cell r="F28">
            <v>0</v>
          </cell>
          <cell r="G28">
            <v>0</v>
          </cell>
          <cell r="H28">
            <v>0</v>
          </cell>
          <cell r="I28">
            <v>0</v>
          </cell>
          <cell r="J28">
            <v>0</v>
          </cell>
        </row>
        <row r="29">
          <cell r="A29">
            <v>1110</v>
          </cell>
          <cell r="B29" t="str">
            <v>Extraccion De Petroleo Crudo Y De Gas Natural</v>
          </cell>
          <cell r="C29">
            <v>0</v>
          </cell>
          <cell r="D29">
            <v>0</v>
          </cell>
          <cell r="E29">
            <v>0</v>
          </cell>
          <cell r="F29">
            <v>0</v>
          </cell>
          <cell r="G29">
            <v>0</v>
          </cell>
          <cell r="H29">
            <v>0</v>
          </cell>
          <cell r="I29">
            <v>0</v>
          </cell>
          <cell r="J29">
            <v>0</v>
          </cell>
        </row>
        <row r="30">
          <cell r="A30">
            <v>1120</v>
          </cell>
          <cell r="B30" t="str">
            <v>Actividades De Servicios Relacionadas Con La Extraccion De Petroleo Y Gas, Excepto Las Actividades De Prospeccion</v>
          </cell>
          <cell r="C30">
            <v>0</v>
          </cell>
          <cell r="D30">
            <v>0</v>
          </cell>
          <cell r="E30">
            <v>0</v>
          </cell>
          <cell r="F30">
            <v>0</v>
          </cell>
          <cell r="G30">
            <v>0</v>
          </cell>
          <cell r="H30">
            <v>0</v>
          </cell>
          <cell r="I30">
            <v>0</v>
          </cell>
          <cell r="J30">
            <v>0</v>
          </cell>
        </row>
        <row r="31">
          <cell r="A31">
            <v>1200</v>
          </cell>
          <cell r="B31" t="str">
            <v>Extraccion De Minerales De Uranio Y De Torio</v>
          </cell>
          <cell r="C31">
            <v>0</v>
          </cell>
          <cell r="D31">
            <v>0</v>
          </cell>
          <cell r="E31">
            <v>0</v>
          </cell>
          <cell r="F31">
            <v>0</v>
          </cell>
          <cell r="G31">
            <v>0</v>
          </cell>
          <cell r="H31">
            <v>0</v>
          </cell>
          <cell r="I31">
            <v>0</v>
          </cell>
          <cell r="J31">
            <v>0</v>
          </cell>
        </row>
        <row r="32">
          <cell r="A32">
            <v>1310</v>
          </cell>
          <cell r="B32" t="str">
            <v>Extraccion Del Mineral De Hierro</v>
          </cell>
          <cell r="C32">
            <v>0</v>
          </cell>
          <cell r="D32">
            <v>0</v>
          </cell>
          <cell r="E32">
            <v>0</v>
          </cell>
          <cell r="F32">
            <v>0</v>
          </cell>
          <cell r="G32">
            <v>0</v>
          </cell>
          <cell r="H32">
            <v>0</v>
          </cell>
          <cell r="I32">
            <v>0</v>
          </cell>
          <cell r="J32">
            <v>0</v>
          </cell>
        </row>
        <row r="33">
          <cell r="A33">
            <v>1320</v>
          </cell>
          <cell r="B33" t="str">
            <v>Extraccion De Metales Preciosos</v>
          </cell>
          <cell r="C33">
            <v>0</v>
          </cell>
          <cell r="D33">
            <v>0</v>
          </cell>
          <cell r="E33">
            <v>0</v>
          </cell>
          <cell r="F33">
            <v>0</v>
          </cell>
          <cell r="G33">
            <v>0</v>
          </cell>
          <cell r="H33">
            <v>0</v>
          </cell>
          <cell r="I33">
            <v>0</v>
          </cell>
          <cell r="J33">
            <v>0</v>
          </cell>
        </row>
        <row r="34">
          <cell r="A34">
            <v>1331</v>
          </cell>
          <cell r="B34" t="str">
            <v>Extraccion De Minerales De Niquel</v>
          </cell>
          <cell r="C34">
            <v>0</v>
          </cell>
          <cell r="D34">
            <v>0</v>
          </cell>
          <cell r="E34">
            <v>0</v>
          </cell>
          <cell r="F34">
            <v>0</v>
          </cell>
          <cell r="G34">
            <v>0</v>
          </cell>
          <cell r="H34">
            <v>0</v>
          </cell>
          <cell r="I34">
            <v>0</v>
          </cell>
          <cell r="J34">
            <v>0</v>
          </cell>
        </row>
        <row r="35">
          <cell r="A35">
            <v>1339</v>
          </cell>
          <cell r="B35" t="str">
            <v>Extraccion De Otros Minerales metaliferos No Ferrosos, Excepto Niquel</v>
          </cell>
          <cell r="C35">
            <v>0</v>
          </cell>
          <cell r="D35">
            <v>0</v>
          </cell>
          <cell r="E35">
            <v>0</v>
          </cell>
          <cell r="F35">
            <v>0</v>
          </cell>
          <cell r="G35">
            <v>0</v>
          </cell>
          <cell r="H35">
            <v>0</v>
          </cell>
          <cell r="I35">
            <v>0</v>
          </cell>
          <cell r="J35">
            <v>0</v>
          </cell>
        </row>
        <row r="36">
          <cell r="A36">
            <v>1411</v>
          </cell>
          <cell r="B36" t="str">
            <v>Extraccion De Piedra, Arena Y Arcillas Comunes</v>
          </cell>
          <cell r="C36">
            <v>0</v>
          </cell>
          <cell r="D36">
            <v>0</v>
          </cell>
          <cell r="E36">
            <v>0</v>
          </cell>
          <cell r="F36">
            <v>0</v>
          </cell>
          <cell r="G36">
            <v>0</v>
          </cell>
          <cell r="H36">
            <v>0</v>
          </cell>
          <cell r="I36">
            <v>0</v>
          </cell>
          <cell r="J36">
            <v>0</v>
          </cell>
        </row>
        <row r="37">
          <cell r="A37">
            <v>1412</v>
          </cell>
          <cell r="B37" t="str">
            <v>Extracccion De Yeso Y Anhidrita</v>
          </cell>
          <cell r="C37">
            <v>0</v>
          </cell>
          <cell r="D37">
            <v>0</v>
          </cell>
          <cell r="E37">
            <v>0</v>
          </cell>
          <cell r="F37">
            <v>0</v>
          </cell>
          <cell r="G37">
            <v>0</v>
          </cell>
          <cell r="H37">
            <v>0</v>
          </cell>
          <cell r="I37">
            <v>0</v>
          </cell>
          <cell r="J37">
            <v>0</v>
          </cell>
        </row>
        <row r="38">
          <cell r="A38">
            <v>1413</v>
          </cell>
          <cell r="B38" t="str">
            <v>Extraccion De Caolin, Arcillas De Uso Industrial Y Bentonitas</v>
          </cell>
          <cell r="C38">
            <v>0</v>
          </cell>
          <cell r="D38">
            <v>0</v>
          </cell>
          <cell r="E38">
            <v>0</v>
          </cell>
          <cell r="F38">
            <v>0</v>
          </cell>
          <cell r="G38">
            <v>0</v>
          </cell>
          <cell r="H38">
            <v>0</v>
          </cell>
          <cell r="I38">
            <v>0</v>
          </cell>
          <cell r="J38">
            <v>0</v>
          </cell>
        </row>
        <row r="39">
          <cell r="A39">
            <v>1414</v>
          </cell>
          <cell r="B39" t="str">
            <v>Extraccion De Arenas Y Gravas Siliceas</v>
          </cell>
          <cell r="C39">
            <v>0</v>
          </cell>
          <cell r="D39">
            <v>0</v>
          </cell>
          <cell r="E39">
            <v>0</v>
          </cell>
          <cell r="F39">
            <v>0</v>
          </cell>
          <cell r="G39">
            <v>0</v>
          </cell>
          <cell r="H39">
            <v>0</v>
          </cell>
          <cell r="I39">
            <v>0</v>
          </cell>
          <cell r="J39">
            <v>0</v>
          </cell>
        </row>
        <row r="40">
          <cell r="A40">
            <v>1415</v>
          </cell>
          <cell r="B40" t="str">
            <v>Extraccion De Caliza Y Dolomita</v>
          </cell>
          <cell r="C40">
            <v>0</v>
          </cell>
          <cell r="D40">
            <v>0</v>
          </cell>
          <cell r="E40">
            <v>0</v>
          </cell>
          <cell r="F40">
            <v>0</v>
          </cell>
          <cell r="G40">
            <v>0</v>
          </cell>
          <cell r="H40">
            <v>0</v>
          </cell>
          <cell r="I40">
            <v>0</v>
          </cell>
          <cell r="J40">
            <v>0</v>
          </cell>
        </row>
        <row r="41">
          <cell r="A41">
            <v>1421</v>
          </cell>
          <cell r="B41" t="str">
            <v>Extraccion De Minerales Para La Fabricacion De Abonos Y Productos Quimicos</v>
          </cell>
          <cell r="C41">
            <v>0</v>
          </cell>
          <cell r="D41">
            <v>0</v>
          </cell>
          <cell r="E41">
            <v>0</v>
          </cell>
          <cell r="F41">
            <v>0</v>
          </cell>
          <cell r="G41">
            <v>0</v>
          </cell>
          <cell r="H41">
            <v>0</v>
          </cell>
          <cell r="I41">
            <v>0</v>
          </cell>
          <cell r="J41">
            <v>0</v>
          </cell>
        </row>
        <row r="42">
          <cell r="A42">
            <v>1422</v>
          </cell>
          <cell r="B42" t="str">
            <v>Extraccion De Halita (Sal)</v>
          </cell>
          <cell r="C42">
            <v>0</v>
          </cell>
          <cell r="D42">
            <v>0</v>
          </cell>
          <cell r="E42">
            <v>0</v>
          </cell>
          <cell r="F42">
            <v>0</v>
          </cell>
          <cell r="G42">
            <v>0</v>
          </cell>
          <cell r="H42">
            <v>0</v>
          </cell>
          <cell r="I42">
            <v>0</v>
          </cell>
          <cell r="J42">
            <v>0</v>
          </cell>
        </row>
        <row r="43">
          <cell r="A43">
            <v>1431</v>
          </cell>
          <cell r="B43" t="str">
            <v>Extraccion De Esmeraldas</v>
          </cell>
          <cell r="C43">
            <v>0</v>
          </cell>
          <cell r="D43">
            <v>0</v>
          </cell>
          <cell r="E43">
            <v>0</v>
          </cell>
          <cell r="F43">
            <v>0</v>
          </cell>
          <cell r="G43">
            <v>0</v>
          </cell>
          <cell r="H43">
            <v>0</v>
          </cell>
          <cell r="I43">
            <v>0</v>
          </cell>
          <cell r="J43">
            <v>0</v>
          </cell>
        </row>
        <row r="44">
          <cell r="A44">
            <v>1432</v>
          </cell>
          <cell r="B44" t="str">
            <v>Extraccion De Otras Piedras Preciosas Y Semipreciosas</v>
          </cell>
          <cell r="C44">
            <v>0</v>
          </cell>
          <cell r="D44">
            <v>0</v>
          </cell>
          <cell r="E44">
            <v>0</v>
          </cell>
          <cell r="F44">
            <v>0</v>
          </cell>
          <cell r="G44">
            <v>0</v>
          </cell>
          <cell r="H44">
            <v>0</v>
          </cell>
          <cell r="I44">
            <v>0</v>
          </cell>
          <cell r="J44">
            <v>0</v>
          </cell>
        </row>
        <row r="45">
          <cell r="A45">
            <v>1490</v>
          </cell>
          <cell r="B45" t="str">
            <v>Extraccion De Otros Minerales No Metalicos Ncp</v>
          </cell>
          <cell r="C45">
            <v>0</v>
          </cell>
          <cell r="D45">
            <v>0</v>
          </cell>
          <cell r="E45">
            <v>0</v>
          </cell>
          <cell r="F45">
            <v>0</v>
          </cell>
          <cell r="G45">
            <v>0</v>
          </cell>
          <cell r="H45">
            <v>0</v>
          </cell>
          <cell r="I45">
            <v>0</v>
          </cell>
          <cell r="J45">
            <v>0</v>
          </cell>
        </row>
        <row r="46">
          <cell r="A46">
            <v>1511</v>
          </cell>
          <cell r="B46" t="str">
            <v>Produccion,Transformacion Y Conservacion De Carne Y De Derivados Carnicos</v>
          </cell>
          <cell r="C46">
            <v>0</v>
          </cell>
          <cell r="D46">
            <v>0</v>
          </cell>
          <cell r="E46">
            <v>0</v>
          </cell>
          <cell r="F46">
            <v>0</v>
          </cell>
          <cell r="G46">
            <v>0</v>
          </cell>
          <cell r="H46">
            <v>0</v>
          </cell>
          <cell r="I46">
            <v>0</v>
          </cell>
          <cell r="J46">
            <v>0</v>
          </cell>
        </row>
        <row r="47">
          <cell r="A47">
            <v>1512</v>
          </cell>
          <cell r="B47" t="str">
            <v>Transformacion Y Conservacion De Pescado Y De Derivados Del Pescado</v>
          </cell>
          <cell r="C47">
            <v>0</v>
          </cell>
          <cell r="D47">
            <v>0</v>
          </cell>
          <cell r="E47">
            <v>0</v>
          </cell>
          <cell r="F47">
            <v>0</v>
          </cell>
          <cell r="G47">
            <v>0</v>
          </cell>
          <cell r="H47">
            <v>0</v>
          </cell>
          <cell r="I47">
            <v>0</v>
          </cell>
          <cell r="J47">
            <v>0</v>
          </cell>
        </row>
        <row r="48">
          <cell r="A48">
            <v>1521</v>
          </cell>
          <cell r="B48" t="str">
            <v>Elaboracion De Alimentos Compuestos Principalmente De Frutas, Legumbres Y Hortalizas</v>
          </cell>
          <cell r="C48">
            <v>0</v>
          </cell>
          <cell r="D48">
            <v>0</v>
          </cell>
          <cell r="E48">
            <v>0</v>
          </cell>
          <cell r="F48">
            <v>0</v>
          </cell>
          <cell r="G48">
            <v>0</v>
          </cell>
          <cell r="H48">
            <v>0</v>
          </cell>
          <cell r="I48">
            <v>0</v>
          </cell>
          <cell r="J48">
            <v>0</v>
          </cell>
        </row>
        <row r="49">
          <cell r="A49">
            <v>1522</v>
          </cell>
          <cell r="B49" t="str">
            <v>Elaboracion De Aceites Y Grasas De Origen Vegetal Y Animal</v>
          </cell>
          <cell r="C49">
            <v>0</v>
          </cell>
          <cell r="D49">
            <v>0</v>
          </cell>
          <cell r="E49">
            <v>0</v>
          </cell>
          <cell r="F49">
            <v>0</v>
          </cell>
          <cell r="G49">
            <v>0</v>
          </cell>
          <cell r="H49">
            <v>0</v>
          </cell>
          <cell r="I49">
            <v>0</v>
          </cell>
          <cell r="J49">
            <v>0</v>
          </cell>
        </row>
        <row r="50">
          <cell r="A50">
            <v>1530</v>
          </cell>
          <cell r="B50" t="str">
            <v>Elaboracion De Productos Lacteos</v>
          </cell>
          <cell r="C50">
            <v>0</v>
          </cell>
          <cell r="D50">
            <v>0</v>
          </cell>
          <cell r="E50">
            <v>0</v>
          </cell>
          <cell r="F50">
            <v>0</v>
          </cell>
          <cell r="G50">
            <v>0</v>
          </cell>
          <cell r="H50">
            <v>0</v>
          </cell>
          <cell r="I50">
            <v>0</v>
          </cell>
          <cell r="J50">
            <v>0</v>
          </cell>
        </row>
        <row r="51">
          <cell r="A51">
            <v>1541</v>
          </cell>
          <cell r="B51" t="str">
            <v>Elaboracion De Productos De Molineria</v>
          </cell>
          <cell r="C51">
            <v>0</v>
          </cell>
          <cell r="D51">
            <v>0</v>
          </cell>
          <cell r="E51">
            <v>0</v>
          </cell>
          <cell r="F51">
            <v>0</v>
          </cell>
          <cell r="G51">
            <v>0</v>
          </cell>
          <cell r="H51">
            <v>0</v>
          </cell>
          <cell r="I51">
            <v>0</v>
          </cell>
          <cell r="J51">
            <v>0</v>
          </cell>
        </row>
        <row r="52">
          <cell r="A52">
            <v>1542</v>
          </cell>
          <cell r="B52" t="str">
            <v>Elaboracion De Almidones Y De Productos Derivados Del Almidon</v>
          </cell>
          <cell r="C52">
            <v>0</v>
          </cell>
          <cell r="D52">
            <v>0</v>
          </cell>
          <cell r="E52">
            <v>0</v>
          </cell>
          <cell r="F52">
            <v>0</v>
          </cell>
          <cell r="G52">
            <v>0</v>
          </cell>
          <cell r="H52">
            <v>0</v>
          </cell>
          <cell r="I52">
            <v>0</v>
          </cell>
          <cell r="J52">
            <v>0</v>
          </cell>
        </row>
        <row r="53">
          <cell r="A53">
            <v>1543</v>
          </cell>
          <cell r="B53" t="str">
            <v>Elaboracion De Alimentos Preparados Para Animales</v>
          </cell>
          <cell r="C53">
            <v>0</v>
          </cell>
          <cell r="D53">
            <v>0</v>
          </cell>
          <cell r="E53">
            <v>0</v>
          </cell>
          <cell r="F53">
            <v>0</v>
          </cell>
          <cell r="G53">
            <v>0</v>
          </cell>
          <cell r="H53">
            <v>0</v>
          </cell>
          <cell r="I53">
            <v>0</v>
          </cell>
          <cell r="J53">
            <v>0</v>
          </cell>
        </row>
        <row r="54">
          <cell r="A54">
            <v>1551</v>
          </cell>
          <cell r="B54" t="str">
            <v>Elaboracion De Productos De Panaderia</v>
          </cell>
          <cell r="C54">
            <v>0</v>
          </cell>
          <cell r="D54">
            <v>0</v>
          </cell>
          <cell r="E54">
            <v>0</v>
          </cell>
          <cell r="F54">
            <v>0</v>
          </cell>
          <cell r="G54">
            <v>0</v>
          </cell>
          <cell r="H54">
            <v>0</v>
          </cell>
          <cell r="I54">
            <v>0</v>
          </cell>
          <cell r="J54">
            <v>0</v>
          </cell>
        </row>
        <row r="55">
          <cell r="A55">
            <v>1552</v>
          </cell>
          <cell r="B55" t="str">
            <v>Elaboracion De Macarrones, Fideos, Alcuzcuz Y Productos Farinaceos Similares</v>
          </cell>
          <cell r="C55">
            <v>0</v>
          </cell>
          <cell r="D55">
            <v>0</v>
          </cell>
          <cell r="E55">
            <v>0</v>
          </cell>
          <cell r="F55">
            <v>0</v>
          </cell>
          <cell r="G55">
            <v>0</v>
          </cell>
          <cell r="H55">
            <v>0</v>
          </cell>
          <cell r="I55">
            <v>0</v>
          </cell>
          <cell r="J55">
            <v>0</v>
          </cell>
        </row>
        <row r="56">
          <cell r="A56">
            <v>1561</v>
          </cell>
          <cell r="B56" t="str">
            <v>Trilla De Cafe</v>
          </cell>
          <cell r="C56">
            <v>0</v>
          </cell>
          <cell r="D56">
            <v>0</v>
          </cell>
          <cell r="E56">
            <v>0</v>
          </cell>
          <cell r="F56">
            <v>0</v>
          </cell>
          <cell r="G56">
            <v>0</v>
          </cell>
          <cell r="H56">
            <v>0</v>
          </cell>
          <cell r="I56">
            <v>0</v>
          </cell>
          <cell r="J56">
            <v>0</v>
          </cell>
        </row>
        <row r="57">
          <cell r="A57">
            <v>1562</v>
          </cell>
          <cell r="B57" t="str">
            <v>Descafeinado</v>
          </cell>
          <cell r="C57">
            <v>0</v>
          </cell>
          <cell r="D57">
            <v>0</v>
          </cell>
          <cell r="E57">
            <v>0</v>
          </cell>
          <cell r="F57">
            <v>0</v>
          </cell>
          <cell r="G57">
            <v>0</v>
          </cell>
          <cell r="H57">
            <v>0</v>
          </cell>
          <cell r="I57">
            <v>0</v>
          </cell>
          <cell r="J57">
            <v>0</v>
          </cell>
        </row>
        <row r="58">
          <cell r="A58">
            <v>1563</v>
          </cell>
          <cell r="B58" t="str">
            <v>Tostion Y Molienda Del Cafe</v>
          </cell>
          <cell r="C58">
            <v>0</v>
          </cell>
          <cell r="D58">
            <v>0</v>
          </cell>
          <cell r="E58">
            <v>0</v>
          </cell>
          <cell r="F58">
            <v>0</v>
          </cell>
          <cell r="G58">
            <v>0</v>
          </cell>
          <cell r="H58">
            <v>0</v>
          </cell>
          <cell r="I58">
            <v>0</v>
          </cell>
          <cell r="J58">
            <v>0</v>
          </cell>
        </row>
        <row r="59">
          <cell r="A59">
            <v>1564</v>
          </cell>
          <cell r="B59" t="str">
            <v>Elaboracion De Otros Derivados Del Cafe</v>
          </cell>
          <cell r="C59">
            <v>0</v>
          </cell>
          <cell r="D59">
            <v>0</v>
          </cell>
          <cell r="E59">
            <v>0</v>
          </cell>
          <cell r="F59">
            <v>0</v>
          </cell>
          <cell r="G59">
            <v>0</v>
          </cell>
          <cell r="H59">
            <v>0</v>
          </cell>
          <cell r="I59">
            <v>0</v>
          </cell>
          <cell r="J59">
            <v>0</v>
          </cell>
        </row>
        <row r="60">
          <cell r="A60">
            <v>1571</v>
          </cell>
          <cell r="B60" t="str">
            <v>Fabricación Y Refinación De Azucar</v>
          </cell>
          <cell r="C60">
            <v>0</v>
          </cell>
          <cell r="D60">
            <v>0</v>
          </cell>
          <cell r="E60">
            <v>0</v>
          </cell>
          <cell r="F60">
            <v>0</v>
          </cell>
          <cell r="G60">
            <v>0</v>
          </cell>
          <cell r="H60">
            <v>0</v>
          </cell>
          <cell r="I60">
            <v>0</v>
          </cell>
          <cell r="J60">
            <v>0</v>
          </cell>
        </row>
        <row r="61">
          <cell r="A61">
            <v>1572</v>
          </cell>
          <cell r="B61" t="str">
            <v>Fabricacion De Panela</v>
          </cell>
          <cell r="C61">
            <v>0</v>
          </cell>
          <cell r="D61">
            <v>0</v>
          </cell>
          <cell r="E61">
            <v>0</v>
          </cell>
          <cell r="F61">
            <v>0</v>
          </cell>
          <cell r="G61">
            <v>0</v>
          </cell>
          <cell r="H61">
            <v>0</v>
          </cell>
          <cell r="I61">
            <v>0</v>
          </cell>
          <cell r="J61">
            <v>0</v>
          </cell>
        </row>
        <row r="62">
          <cell r="A62">
            <v>1581</v>
          </cell>
          <cell r="B62" t="str">
            <v>Elaboracion De Cacao, Chocolate Y Productos De Confiteria</v>
          </cell>
          <cell r="C62">
            <v>0</v>
          </cell>
          <cell r="D62">
            <v>0</v>
          </cell>
          <cell r="E62">
            <v>0</v>
          </cell>
          <cell r="F62">
            <v>0</v>
          </cell>
          <cell r="G62">
            <v>0</v>
          </cell>
          <cell r="H62">
            <v>0</v>
          </cell>
          <cell r="I62">
            <v>0</v>
          </cell>
          <cell r="J62">
            <v>0</v>
          </cell>
        </row>
        <row r="63">
          <cell r="A63">
            <v>1589</v>
          </cell>
          <cell r="B63" t="str">
            <v>Elaboracion De Otros Productos Alimenticios Ncp</v>
          </cell>
          <cell r="C63">
            <v>0</v>
          </cell>
          <cell r="D63">
            <v>0</v>
          </cell>
          <cell r="E63">
            <v>0</v>
          </cell>
          <cell r="F63">
            <v>0</v>
          </cell>
          <cell r="G63">
            <v>0</v>
          </cell>
          <cell r="H63">
            <v>0</v>
          </cell>
          <cell r="I63">
            <v>0</v>
          </cell>
          <cell r="J63">
            <v>0</v>
          </cell>
        </row>
        <row r="64">
          <cell r="A64">
            <v>1591</v>
          </cell>
          <cell r="B64" t="str">
            <v>Destilacion, Rectificacion Y Mezcla De Bebidas Alcoholicas; Produccion De Alcohol Etílico A Partir De Sustancias Fermentadas</v>
          </cell>
          <cell r="C64">
            <v>0</v>
          </cell>
          <cell r="D64">
            <v>0</v>
          </cell>
          <cell r="E64">
            <v>0</v>
          </cell>
          <cell r="F64">
            <v>0</v>
          </cell>
          <cell r="G64">
            <v>0</v>
          </cell>
          <cell r="H64">
            <v>0</v>
          </cell>
          <cell r="I64">
            <v>0</v>
          </cell>
          <cell r="J64">
            <v>0</v>
          </cell>
        </row>
        <row r="65">
          <cell r="A65">
            <v>1592</v>
          </cell>
          <cell r="B65" t="str">
            <v>Elaboracion De Bebidas Fermentadas No Destiladas</v>
          </cell>
          <cell r="C65">
            <v>0</v>
          </cell>
          <cell r="D65">
            <v>0</v>
          </cell>
          <cell r="E65">
            <v>0</v>
          </cell>
          <cell r="F65">
            <v>0</v>
          </cell>
          <cell r="G65">
            <v>0</v>
          </cell>
          <cell r="H65">
            <v>0</v>
          </cell>
          <cell r="I65">
            <v>0</v>
          </cell>
          <cell r="J65">
            <v>0</v>
          </cell>
        </row>
        <row r="66">
          <cell r="A66">
            <v>1593</v>
          </cell>
          <cell r="B66" t="str">
            <v>Produccion De Malta, Elaboracion De Cervezas Y Otras Bebidas Malteadas</v>
          </cell>
          <cell r="C66">
            <v>0</v>
          </cell>
          <cell r="D66">
            <v>0</v>
          </cell>
          <cell r="E66">
            <v>0</v>
          </cell>
          <cell r="F66">
            <v>0</v>
          </cell>
          <cell r="G66">
            <v>0</v>
          </cell>
          <cell r="H66">
            <v>0</v>
          </cell>
          <cell r="I66">
            <v>0</v>
          </cell>
          <cell r="J66">
            <v>0</v>
          </cell>
        </row>
        <row r="67">
          <cell r="A67">
            <v>1594</v>
          </cell>
          <cell r="B67" t="str">
            <v>Elaboracion De Bebidas No Alcoholicas; Produccion De Aguas Minerales</v>
          </cell>
          <cell r="C67">
            <v>0</v>
          </cell>
          <cell r="D67">
            <v>0</v>
          </cell>
          <cell r="E67">
            <v>0</v>
          </cell>
          <cell r="F67">
            <v>0</v>
          </cell>
          <cell r="G67">
            <v>0</v>
          </cell>
          <cell r="H67">
            <v>0</v>
          </cell>
          <cell r="I67">
            <v>0</v>
          </cell>
          <cell r="J67">
            <v>0</v>
          </cell>
        </row>
        <row r="68">
          <cell r="A68">
            <v>1600</v>
          </cell>
          <cell r="B68" t="str">
            <v>Fabricacion De Productos De Tabaco</v>
          </cell>
          <cell r="C68">
            <v>0</v>
          </cell>
          <cell r="D68">
            <v>0</v>
          </cell>
          <cell r="E68">
            <v>0</v>
          </cell>
          <cell r="F68">
            <v>0</v>
          </cell>
          <cell r="G68">
            <v>0</v>
          </cell>
          <cell r="H68">
            <v>0</v>
          </cell>
          <cell r="I68">
            <v>0</v>
          </cell>
          <cell r="J68">
            <v>0</v>
          </cell>
        </row>
        <row r="69">
          <cell r="A69">
            <v>1710</v>
          </cell>
          <cell r="B69" t="str">
            <v>Preparacion E Hilatura De Fibras Textiles</v>
          </cell>
          <cell r="C69">
            <v>0</v>
          </cell>
          <cell r="D69">
            <v>0</v>
          </cell>
          <cell r="E69">
            <v>0</v>
          </cell>
          <cell r="F69">
            <v>0</v>
          </cell>
          <cell r="G69">
            <v>0</v>
          </cell>
          <cell r="H69">
            <v>0</v>
          </cell>
          <cell r="I69">
            <v>0</v>
          </cell>
          <cell r="J69">
            <v>0</v>
          </cell>
        </row>
        <row r="70">
          <cell r="A70">
            <v>1720</v>
          </cell>
          <cell r="B70" t="str">
            <v>Tejedura De Productos Textiles</v>
          </cell>
          <cell r="C70">
            <v>0</v>
          </cell>
          <cell r="D70">
            <v>0</v>
          </cell>
          <cell r="E70">
            <v>0</v>
          </cell>
          <cell r="F70">
            <v>0</v>
          </cell>
          <cell r="G70">
            <v>0</v>
          </cell>
          <cell r="H70">
            <v>0</v>
          </cell>
          <cell r="I70">
            <v>0</v>
          </cell>
          <cell r="J70">
            <v>0</v>
          </cell>
        </row>
        <row r="71">
          <cell r="A71">
            <v>1730</v>
          </cell>
          <cell r="B71" t="str">
            <v>Acabado De Productos Textiles No Producidos En La Misma Unidad De Produccion</v>
          </cell>
          <cell r="C71">
            <v>0</v>
          </cell>
          <cell r="D71">
            <v>0</v>
          </cell>
          <cell r="E71">
            <v>0</v>
          </cell>
          <cell r="F71">
            <v>0</v>
          </cell>
          <cell r="G71">
            <v>0</v>
          </cell>
          <cell r="H71">
            <v>0</v>
          </cell>
          <cell r="I71">
            <v>0</v>
          </cell>
          <cell r="J71">
            <v>0</v>
          </cell>
        </row>
        <row r="72">
          <cell r="A72">
            <v>1741</v>
          </cell>
          <cell r="B72" t="str">
            <v>Confeccion De Articulos Con Materiales Textiles No Producidos En La Misma Unidad, Excepto Prendas De Vestir</v>
          </cell>
          <cell r="C72">
            <v>0</v>
          </cell>
          <cell r="D72">
            <v>0</v>
          </cell>
          <cell r="E72">
            <v>0</v>
          </cell>
          <cell r="F72">
            <v>0</v>
          </cell>
          <cell r="G72">
            <v>0</v>
          </cell>
          <cell r="H72">
            <v>0</v>
          </cell>
          <cell r="I72">
            <v>0</v>
          </cell>
          <cell r="J72">
            <v>0</v>
          </cell>
        </row>
        <row r="73">
          <cell r="A73">
            <v>1742</v>
          </cell>
          <cell r="B73" t="str">
            <v>Fabricacion De Tapices Y Alfombras Para Pisos</v>
          </cell>
          <cell r="C73">
            <v>0</v>
          </cell>
          <cell r="D73">
            <v>0</v>
          </cell>
          <cell r="E73">
            <v>0</v>
          </cell>
          <cell r="F73">
            <v>0</v>
          </cell>
          <cell r="G73">
            <v>0</v>
          </cell>
          <cell r="H73">
            <v>0</v>
          </cell>
          <cell r="I73">
            <v>0</v>
          </cell>
          <cell r="J73">
            <v>0</v>
          </cell>
        </row>
        <row r="74">
          <cell r="A74">
            <v>1743</v>
          </cell>
          <cell r="B74" t="str">
            <v>Fabricacion De Cuerdas, Cordeles, Cables, Bramantes Y Redes</v>
          </cell>
          <cell r="C74">
            <v>0</v>
          </cell>
          <cell r="D74">
            <v>0</v>
          </cell>
          <cell r="E74">
            <v>0</v>
          </cell>
          <cell r="F74">
            <v>0</v>
          </cell>
          <cell r="G74">
            <v>0</v>
          </cell>
          <cell r="H74">
            <v>0</v>
          </cell>
          <cell r="I74">
            <v>0</v>
          </cell>
          <cell r="J74">
            <v>0</v>
          </cell>
        </row>
        <row r="75">
          <cell r="A75">
            <v>1749</v>
          </cell>
          <cell r="B75" t="str">
            <v>Fabricacion De Otros Articulos Textiles Ncp</v>
          </cell>
          <cell r="C75">
            <v>0</v>
          </cell>
          <cell r="D75">
            <v>0</v>
          </cell>
          <cell r="E75">
            <v>0</v>
          </cell>
          <cell r="F75">
            <v>0</v>
          </cell>
          <cell r="G75">
            <v>0</v>
          </cell>
          <cell r="H75">
            <v>0</v>
          </cell>
          <cell r="I75">
            <v>0</v>
          </cell>
          <cell r="J75">
            <v>0</v>
          </cell>
        </row>
        <row r="76">
          <cell r="A76">
            <v>1750</v>
          </cell>
          <cell r="B76" t="str">
            <v>Fabricacion De Tejidos Y Articulos De Punto Y Ganchillo</v>
          </cell>
          <cell r="C76">
            <v>0</v>
          </cell>
          <cell r="D76">
            <v>0</v>
          </cell>
          <cell r="E76">
            <v>0</v>
          </cell>
          <cell r="F76">
            <v>0</v>
          </cell>
          <cell r="G76">
            <v>0</v>
          </cell>
          <cell r="H76">
            <v>0</v>
          </cell>
          <cell r="I76">
            <v>0</v>
          </cell>
          <cell r="J76">
            <v>0</v>
          </cell>
        </row>
        <row r="77">
          <cell r="A77">
            <v>1810</v>
          </cell>
          <cell r="B77" t="str">
            <v>Fabricacion De Prendas De Vestir Excepto Prendas De Piel</v>
          </cell>
          <cell r="C77">
            <v>0</v>
          </cell>
          <cell r="D77">
            <v>0</v>
          </cell>
          <cell r="E77">
            <v>0</v>
          </cell>
          <cell r="F77">
            <v>0</v>
          </cell>
          <cell r="G77">
            <v>0</v>
          </cell>
          <cell r="H77">
            <v>0</v>
          </cell>
          <cell r="I77">
            <v>0</v>
          </cell>
          <cell r="J77">
            <v>0</v>
          </cell>
        </row>
        <row r="78">
          <cell r="A78">
            <v>1820</v>
          </cell>
          <cell r="B78" t="str">
            <v>Preprarado Y Teñido De Pieles; Fabricacion De Articulos De Piel</v>
          </cell>
          <cell r="C78">
            <v>0</v>
          </cell>
          <cell r="D78">
            <v>0</v>
          </cell>
          <cell r="E78">
            <v>0</v>
          </cell>
          <cell r="F78">
            <v>0</v>
          </cell>
          <cell r="G78">
            <v>0</v>
          </cell>
          <cell r="H78">
            <v>0</v>
          </cell>
          <cell r="I78">
            <v>0</v>
          </cell>
          <cell r="J78">
            <v>0</v>
          </cell>
        </row>
        <row r="79">
          <cell r="A79">
            <v>1910</v>
          </cell>
          <cell r="B79" t="str">
            <v>Curtido Y Preparado De Cueros</v>
          </cell>
          <cell r="C79">
            <v>0</v>
          </cell>
          <cell r="D79">
            <v>0</v>
          </cell>
          <cell r="E79">
            <v>0</v>
          </cell>
          <cell r="F79">
            <v>0</v>
          </cell>
          <cell r="G79">
            <v>0</v>
          </cell>
          <cell r="H79">
            <v>0</v>
          </cell>
          <cell r="I79">
            <v>0</v>
          </cell>
          <cell r="J79">
            <v>0</v>
          </cell>
        </row>
        <row r="80">
          <cell r="A80">
            <v>1921</v>
          </cell>
          <cell r="B80" t="str">
            <v>Fabricacion De Calzado De Cuero Y Piel; Con Cualquier Tipo De Suela, Excepto El Calzado Deportivo</v>
          </cell>
          <cell r="C80">
            <v>0</v>
          </cell>
          <cell r="D80">
            <v>0</v>
          </cell>
          <cell r="E80">
            <v>0</v>
          </cell>
          <cell r="F80">
            <v>0</v>
          </cell>
          <cell r="G80">
            <v>0</v>
          </cell>
          <cell r="H80">
            <v>0</v>
          </cell>
          <cell r="I80">
            <v>0</v>
          </cell>
          <cell r="J80">
            <v>0</v>
          </cell>
        </row>
        <row r="81">
          <cell r="A81">
            <v>1922</v>
          </cell>
          <cell r="B81" t="str">
            <v>Fabricacion De Calzado De Materiales Textiles; Con Cualquier Tipo De Suela, Excepto Calzado Deportivo</v>
          </cell>
          <cell r="C81">
            <v>0</v>
          </cell>
          <cell r="D81">
            <v>0</v>
          </cell>
          <cell r="E81">
            <v>0</v>
          </cell>
          <cell r="F81">
            <v>0</v>
          </cell>
          <cell r="G81">
            <v>0</v>
          </cell>
          <cell r="H81">
            <v>0</v>
          </cell>
          <cell r="I81">
            <v>0</v>
          </cell>
          <cell r="J81">
            <v>0</v>
          </cell>
        </row>
        <row r="82">
          <cell r="A82">
            <v>1923</v>
          </cell>
          <cell r="B82" t="str">
            <v>Fabricacion De Calzado De Caucho Excepto El Calzado Deportivo</v>
          </cell>
          <cell r="C82">
            <v>0</v>
          </cell>
          <cell r="D82">
            <v>0</v>
          </cell>
          <cell r="E82">
            <v>0</v>
          </cell>
          <cell r="F82">
            <v>0</v>
          </cell>
          <cell r="G82">
            <v>0</v>
          </cell>
          <cell r="H82">
            <v>0</v>
          </cell>
          <cell r="I82">
            <v>0</v>
          </cell>
          <cell r="J82">
            <v>0</v>
          </cell>
        </row>
        <row r="83">
          <cell r="A83">
            <v>1924</v>
          </cell>
          <cell r="B83" t="str">
            <v>Fabricacion De Calzado Plastico Excepto El Calzado Deportivo</v>
          </cell>
          <cell r="C83">
            <v>0</v>
          </cell>
          <cell r="D83">
            <v>0</v>
          </cell>
          <cell r="E83">
            <v>0</v>
          </cell>
          <cell r="F83">
            <v>0</v>
          </cell>
          <cell r="G83">
            <v>0</v>
          </cell>
          <cell r="H83">
            <v>0</v>
          </cell>
          <cell r="I83">
            <v>0</v>
          </cell>
          <cell r="J83">
            <v>0</v>
          </cell>
        </row>
        <row r="84">
          <cell r="A84">
            <v>1925</v>
          </cell>
          <cell r="B84" t="str">
            <v>Fabricacion De Calzado Deportivo, Excepto El Moldeado</v>
          </cell>
          <cell r="C84">
            <v>0</v>
          </cell>
          <cell r="D84">
            <v>0</v>
          </cell>
          <cell r="E84">
            <v>0</v>
          </cell>
          <cell r="F84">
            <v>0</v>
          </cell>
          <cell r="G84">
            <v>0</v>
          </cell>
          <cell r="H84">
            <v>0</v>
          </cell>
          <cell r="I84">
            <v>0</v>
          </cell>
          <cell r="J84">
            <v>0</v>
          </cell>
        </row>
        <row r="85">
          <cell r="A85">
            <v>1926</v>
          </cell>
          <cell r="B85" t="str">
            <v>Fabricacion De Partes De Calzado</v>
          </cell>
          <cell r="C85">
            <v>0</v>
          </cell>
          <cell r="D85">
            <v>0</v>
          </cell>
          <cell r="E85">
            <v>0</v>
          </cell>
          <cell r="F85">
            <v>0</v>
          </cell>
          <cell r="G85">
            <v>0</v>
          </cell>
          <cell r="H85">
            <v>0</v>
          </cell>
          <cell r="I85">
            <v>0</v>
          </cell>
          <cell r="J85">
            <v>0</v>
          </cell>
        </row>
        <row r="86">
          <cell r="A86">
            <v>1929</v>
          </cell>
          <cell r="B86" t="str">
            <v>Fabricacion De Calzado Ncp</v>
          </cell>
          <cell r="C86">
            <v>0</v>
          </cell>
          <cell r="D86">
            <v>0</v>
          </cell>
          <cell r="E86">
            <v>0</v>
          </cell>
          <cell r="F86">
            <v>0</v>
          </cell>
          <cell r="G86">
            <v>0</v>
          </cell>
          <cell r="H86">
            <v>0</v>
          </cell>
          <cell r="I86">
            <v>0</v>
          </cell>
          <cell r="J86">
            <v>0</v>
          </cell>
        </row>
        <row r="87">
          <cell r="A87">
            <v>1931</v>
          </cell>
          <cell r="B87" t="str">
            <v>Fabricacion De Articulos De Viaje, Bolsos De Mano, Y Articulos Similares elaborados en cuero, fabricacion de articulos de talabaqueria y guernicion</v>
          </cell>
          <cell r="C87">
            <v>0</v>
          </cell>
          <cell r="D87">
            <v>0</v>
          </cell>
          <cell r="E87">
            <v>0</v>
          </cell>
          <cell r="F87">
            <v>0</v>
          </cell>
          <cell r="G87">
            <v>0</v>
          </cell>
          <cell r="H87">
            <v>0</v>
          </cell>
          <cell r="I87">
            <v>0</v>
          </cell>
          <cell r="J87">
            <v>0</v>
          </cell>
        </row>
        <row r="88">
          <cell r="A88">
            <v>1932</v>
          </cell>
          <cell r="B88" t="str">
            <v>Fabircacion De Articulos De Viaje, Bolsos De Mano Y Articulos Similares, Elaborados En Materiales Sinteticos, Plastico E Imitaciones De Cuero</v>
          </cell>
          <cell r="C88">
            <v>0</v>
          </cell>
          <cell r="D88">
            <v>0</v>
          </cell>
          <cell r="E88">
            <v>0</v>
          </cell>
          <cell r="F88">
            <v>0</v>
          </cell>
          <cell r="G88">
            <v>0</v>
          </cell>
          <cell r="H88">
            <v>0</v>
          </cell>
          <cell r="I88">
            <v>0</v>
          </cell>
          <cell r="J88">
            <v>0</v>
          </cell>
        </row>
        <row r="89">
          <cell r="A89">
            <v>1939</v>
          </cell>
          <cell r="B89" t="str">
            <v>Fabricacion De Articulos De Viaje, Bolsos De Mano Y Articulos Similares Elaborados Con Materiales Ncp</v>
          </cell>
          <cell r="C89">
            <v>0</v>
          </cell>
          <cell r="D89">
            <v>0</v>
          </cell>
          <cell r="E89">
            <v>0</v>
          </cell>
          <cell r="F89">
            <v>0</v>
          </cell>
          <cell r="G89">
            <v>0</v>
          </cell>
          <cell r="H89">
            <v>0</v>
          </cell>
          <cell r="I89">
            <v>0</v>
          </cell>
          <cell r="J89">
            <v>0</v>
          </cell>
        </row>
        <row r="90">
          <cell r="A90">
            <v>2010</v>
          </cell>
          <cell r="B90" t="str">
            <v>Aserrado, Acepillado E Impregnacion De La Madera</v>
          </cell>
          <cell r="C90">
            <v>0</v>
          </cell>
          <cell r="D90">
            <v>0</v>
          </cell>
          <cell r="E90">
            <v>0</v>
          </cell>
          <cell r="F90">
            <v>0</v>
          </cell>
          <cell r="G90">
            <v>0</v>
          </cell>
          <cell r="H90">
            <v>0</v>
          </cell>
          <cell r="I90">
            <v>0</v>
          </cell>
          <cell r="J90">
            <v>0</v>
          </cell>
        </row>
        <row r="91">
          <cell r="A91">
            <v>2020</v>
          </cell>
          <cell r="B91" t="str">
            <v>Fabricacion De Hojas De Madera Para Enchapado; Fabricacion De Tableros Contrachapados, Tableros Laminados, Tableros De Particulas Y Otros Tableros</v>
          </cell>
          <cell r="C91">
            <v>0</v>
          </cell>
          <cell r="D91">
            <v>0</v>
          </cell>
          <cell r="E91">
            <v>0</v>
          </cell>
          <cell r="F91">
            <v>0</v>
          </cell>
          <cell r="G91">
            <v>0</v>
          </cell>
          <cell r="H91">
            <v>0</v>
          </cell>
          <cell r="I91">
            <v>0</v>
          </cell>
          <cell r="J91">
            <v>0</v>
          </cell>
        </row>
        <row r="92">
          <cell r="A92">
            <v>2030</v>
          </cell>
          <cell r="B92" t="str">
            <v>Fabricacion De Partes Y Piezas De Carpinteria Para Edificios Y Construccion</v>
          </cell>
          <cell r="C92">
            <v>0</v>
          </cell>
          <cell r="D92">
            <v>0</v>
          </cell>
          <cell r="E92">
            <v>0</v>
          </cell>
          <cell r="F92">
            <v>0</v>
          </cell>
          <cell r="G92">
            <v>0</v>
          </cell>
          <cell r="H92">
            <v>0</v>
          </cell>
          <cell r="I92">
            <v>0</v>
          </cell>
          <cell r="J92">
            <v>0</v>
          </cell>
        </row>
        <row r="93">
          <cell r="A93">
            <v>2040</v>
          </cell>
          <cell r="B93" t="str">
            <v>Fabricacion De Recipientes De Madera</v>
          </cell>
          <cell r="C93">
            <v>0</v>
          </cell>
          <cell r="D93">
            <v>0</v>
          </cell>
          <cell r="E93">
            <v>0</v>
          </cell>
          <cell r="F93">
            <v>0</v>
          </cell>
          <cell r="G93">
            <v>0</v>
          </cell>
          <cell r="H93">
            <v>0</v>
          </cell>
          <cell r="I93">
            <v>0</v>
          </cell>
          <cell r="J93">
            <v>0</v>
          </cell>
        </row>
        <row r="94">
          <cell r="A94">
            <v>2090</v>
          </cell>
          <cell r="B94" t="str">
            <v>Fabricacion De Otros Productos De Madera; Fabricacion De Articulos De Corcho, Cesteria Y Esparteria</v>
          </cell>
          <cell r="C94">
            <v>0</v>
          </cell>
          <cell r="D94">
            <v>0</v>
          </cell>
          <cell r="E94">
            <v>0</v>
          </cell>
          <cell r="F94">
            <v>0</v>
          </cell>
          <cell r="G94">
            <v>0</v>
          </cell>
          <cell r="H94">
            <v>0</v>
          </cell>
          <cell r="I94">
            <v>0</v>
          </cell>
          <cell r="J94">
            <v>0</v>
          </cell>
        </row>
        <row r="95">
          <cell r="A95">
            <v>2101</v>
          </cell>
          <cell r="B95" t="str">
            <v>Fabricacion De Pastas Celulosicas; Papel Y Carton</v>
          </cell>
          <cell r="C95">
            <v>0</v>
          </cell>
          <cell r="D95">
            <v>0</v>
          </cell>
          <cell r="E95">
            <v>0</v>
          </cell>
          <cell r="F95">
            <v>0</v>
          </cell>
          <cell r="G95">
            <v>0</v>
          </cell>
          <cell r="H95">
            <v>0</v>
          </cell>
          <cell r="I95">
            <v>0</v>
          </cell>
          <cell r="J95">
            <v>0</v>
          </cell>
        </row>
        <row r="96">
          <cell r="A96">
            <v>2102</v>
          </cell>
          <cell r="B96" t="str">
            <v>Fabricacion De Papel Y Carton Ondulado, Fabricacion De Envases, Empaques Y De Embalajes De Papel Y Carton</v>
          </cell>
          <cell r="C96">
            <v>0</v>
          </cell>
          <cell r="D96">
            <v>0</v>
          </cell>
          <cell r="E96">
            <v>0</v>
          </cell>
          <cell r="F96">
            <v>0</v>
          </cell>
          <cell r="G96">
            <v>0</v>
          </cell>
          <cell r="H96">
            <v>0</v>
          </cell>
          <cell r="I96">
            <v>0</v>
          </cell>
          <cell r="J96">
            <v>0</v>
          </cell>
        </row>
        <row r="97">
          <cell r="A97">
            <v>2109</v>
          </cell>
          <cell r="B97" t="str">
            <v>Fabricacion De Otros Articulos De Papel Y Carton</v>
          </cell>
          <cell r="C97">
            <v>0</v>
          </cell>
          <cell r="D97">
            <v>0</v>
          </cell>
          <cell r="E97">
            <v>0</v>
          </cell>
          <cell r="F97">
            <v>0</v>
          </cell>
          <cell r="G97">
            <v>0</v>
          </cell>
          <cell r="H97">
            <v>0</v>
          </cell>
          <cell r="I97">
            <v>0</v>
          </cell>
          <cell r="J97">
            <v>0</v>
          </cell>
        </row>
        <row r="98">
          <cell r="A98">
            <v>2211</v>
          </cell>
          <cell r="B98" t="str">
            <v>Ediciion De Libors, Folletos, Partituras Y Otras Publicaciones</v>
          </cell>
          <cell r="C98">
            <v>0</v>
          </cell>
          <cell r="D98">
            <v>0</v>
          </cell>
          <cell r="E98">
            <v>0</v>
          </cell>
          <cell r="F98">
            <v>0</v>
          </cell>
          <cell r="G98">
            <v>0</v>
          </cell>
          <cell r="H98">
            <v>0</v>
          </cell>
          <cell r="I98">
            <v>0</v>
          </cell>
          <cell r="J98">
            <v>0</v>
          </cell>
        </row>
        <row r="99">
          <cell r="A99">
            <v>2212</v>
          </cell>
          <cell r="B99" t="str">
            <v>Edici9On De Periodicos, Rebvistas Y Publicaciones Periodicas</v>
          </cell>
          <cell r="C99">
            <v>0</v>
          </cell>
          <cell r="D99">
            <v>0</v>
          </cell>
          <cell r="E99">
            <v>0</v>
          </cell>
          <cell r="F99">
            <v>0</v>
          </cell>
          <cell r="G99">
            <v>0</v>
          </cell>
          <cell r="H99">
            <v>0</v>
          </cell>
          <cell r="I99">
            <v>0</v>
          </cell>
          <cell r="J99">
            <v>0</v>
          </cell>
        </row>
        <row r="100">
          <cell r="A100">
            <v>2213</v>
          </cell>
          <cell r="B100" t="str">
            <v>Edicion De Materiales Grabados</v>
          </cell>
          <cell r="C100">
            <v>0</v>
          </cell>
          <cell r="D100">
            <v>0</v>
          </cell>
          <cell r="E100">
            <v>0</v>
          </cell>
          <cell r="F100">
            <v>0</v>
          </cell>
          <cell r="G100">
            <v>0</v>
          </cell>
          <cell r="H100">
            <v>0</v>
          </cell>
          <cell r="I100">
            <v>0</v>
          </cell>
          <cell r="J100">
            <v>0</v>
          </cell>
        </row>
        <row r="101">
          <cell r="A101">
            <v>2219</v>
          </cell>
          <cell r="B101" t="str">
            <v>Otros Trabajos De Edición</v>
          </cell>
          <cell r="C101">
            <v>0</v>
          </cell>
          <cell r="D101">
            <v>0</v>
          </cell>
          <cell r="E101">
            <v>0</v>
          </cell>
          <cell r="F101">
            <v>0</v>
          </cell>
          <cell r="G101">
            <v>0</v>
          </cell>
          <cell r="H101">
            <v>0</v>
          </cell>
          <cell r="I101">
            <v>0</v>
          </cell>
          <cell r="J101">
            <v>0</v>
          </cell>
        </row>
        <row r="102">
          <cell r="A102">
            <v>2220</v>
          </cell>
          <cell r="B102" t="str">
            <v>Actividades De Impresion</v>
          </cell>
          <cell r="C102">
            <v>0</v>
          </cell>
          <cell r="D102">
            <v>0</v>
          </cell>
          <cell r="E102">
            <v>0</v>
          </cell>
          <cell r="F102">
            <v>0</v>
          </cell>
          <cell r="G102">
            <v>0</v>
          </cell>
          <cell r="H102">
            <v>0</v>
          </cell>
          <cell r="I102">
            <v>0</v>
          </cell>
          <cell r="J102">
            <v>0</v>
          </cell>
        </row>
        <row r="103">
          <cell r="A103">
            <v>2231</v>
          </cell>
          <cell r="B103" t="str">
            <v>Arte, Diseño Y Composicion</v>
          </cell>
          <cell r="C103">
            <v>0</v>
          </cell>
          <cell r="D103">
            <v>0</v>
          </cell>
          <cell r="E103">
            <v>0</v>
          </cell>
          <cell r="F103">
            <v>0</v>
          </cell>
          <cell r="G103">
            <v>0</v>
          </cell>
          <cell r="H103">
            <v>0</v>
          </cell>
          <cell r="I103">
            <v>0</v>
          </cell>
          <cell r="J103">
            <v>0</v>
          </cell>
        </row>
        <row r="104">
          <cell r="A104">
            <v>2232</v>
          </cell>
          <cell r="B104" t="str">
            <v>Fotomecanica Y Analogos</v>
          </cell>
          <cell r="C104">
            <v>0</v>
          </cell>
          <cell r="D104">
            <v>0</v>
          </cell>
          <cell r="E104">
            <v>0</v>
          </cell>
          <cell r="F104">
            <v>0</v>
          </cell>
          <cell r="G104">
            <v>0</v>
          </cell>
          <cell r="H104">
            <v>0</v>
          </cell>
          <cell r="I104">
            <v>0</v>
          </cell>
          <cell r="J104">
            <v>0</v>
          </cell>
        </row>
        <row r="105">
          <cell r="A105">
            <v>2233</v>
          </cell>
          <cell r="B105" t="str">
            <v>Encuadernacion</v>
          </cell>
          <cell r="C105">
            <v>0</v>
          </cell>
          <cell r="D105">
            <v>0</v>
          </cell>
          <cell r="E105">
            <v>0</v>
          </cell>
          <cell r="F105">
            <v>0</v>
          </cell>
          <cell r="G105">
            <v>0</v>
          </cell>
          <cell r="H105">
            <v>0</v>
          </cell>
          <cell r="I105">
            <v>0</v>
          </cell>
          <cell r="J105">
            <v>0</v>
          </cell>
        </row>
        <row r="106">
          <cell r="A106">
            <v>2234</v>
          </cell>
          <cell r="B106" t="str">
            <v>Acabado Y Recubrimiento</v>
          </cell>
          <cell r="C106">
            <v>0</v>
          </cell>
          <cell r="D106">
            <v>0</v>
          </cell>
          <cell r="E106">
            <v>0</v>
          </cell>
          <cell r="F106">
            <v>0</v>
          </cell>
          <cell r="G106">
            <v>0</v>
          </cell>
          <cell r="H106">
            <v>0</v>
          </cell>
          <cell r="I106">
            <v>0</v>
          </cell>
          <cell r="J106">
            <v>0</v>
          </cell>
        </row>
        <row r="107">
          <cell r="A107">
            <v>2239</v>
          </cell>
          <cell r="B107" t="str">
            <v>Otros Servicios Conexos Ncp</v>
          </cell>
          <cell r="C107">
            <v>0</v>
          </cell>
          <cell r="D107">
            <v>0</v>
          </cell>
          <cell r="E107">
            <v>0</v>
          </cell>
          <cell r="F107">
            <v>0</v>
          </cell>
          <cell r="G107">
            <v>0</v>
          </cell>
          <cell r="H107">
            <v>0</v>
          </cell>
          <cell r="I107">
            <v>0</v>
          </cell>
          <cell r="J107">
            <v>0</v>
          </cell>
        </row>
        <row r="108">
          <cell r="A108">
            <v>2240</v>
          </cell>
          <cell r="B108" t="str">
            <v>Reproduccion De Materiales Grabados</v>
          </cell>
          <cell r="C108">
            <v>0</v>
          </cell>
          <cell r="D108">
            <v>0</v>
          </cell>
          <cell r="E108">
            <v>0</v>
          </cell>
          <cell r="F108">
            <v>0</v>
          </cell>
          <cell r="G108">
            <v>0</v>
          </cell>
          <cell r="H108">
            <v>0</v>
          </cell>
          <cell r="I108">
            <v>0</v>
          </cell>
          <cell r="J108">
            <v>0</v>
          </cell>
        </row>
        <row r="109">
          <cell r="A109">
            <v>2310</v>
          </cell>
          <cell r="B109" t="str">
            <v>Fabricacion De Productos De Hornos De Coque</v>
          </cell>
          <cell r="C109">
            <v>0</v>
          </cell>
          <cell r="D109">
            <v>0</v>
          </cell>
          <cell r="E109">
            <v>0</v>
          </cell>
          <cell r="F109">
            <v>0</v>
          </cell>
          <cell r="G109">
            <v>0</v>
          </cell>
          <cell r="H109">
            <v>0</v>
          </cell>
          <cell r="I109">
            <v>0</v>
          </cell>
          <cell r="J109">
            <v>0</v>
          </cell>
        </row>
        <row r="110">
          <cell r="A110">
            <v>2321</v>
          </cell>
          <cell r="B110" t="str">
            <v>Fabricacion De Productos De La Refinacion Del Petroleo, Elaborados En Refineria</v>
          </cell>
          <cell r="C110">
            <v>0</v>
          </cell>
          <cell r="D110">
            <v>0</v>
          </cell>
          <cell r="E110">
            <v>0</v>
          </cell>
          <cell r="F110">
            <v>0</v>
          </cell>
          <cell r="G110">
            <v>0</v>
          </cell>
          <cell r="H110">
            <v>0</v>
          </cell>
          <cell r="I110">
            <v>0</v>
          </cell>
          <cell r="J110">
            <v>0</v>
          </cell>
        </row>
        <row r="111">
          <cell r="A111">
            <v>2322</v>
          </cell>
          <cell r="B111" t="str">
            <v>Elaboracion De Productos Derivados Del Petroleo, Fuera De Refineria</v>
          </cell>
          <cell r="C111">
            <v>0</v>
          </cell>
          <cell r="D111">
            <v>0</v>
          </cell>
          <cell r="E111">
            <v>0</v>
          </cell>
          <cell r="F111">
            <v>0</v>
          </cell>
          <cell r="G111">
            <v>0</v>
          </cell>
          <cell r="H111">
            <v>0</v>
          </cell>
          <cell r="I111">
            <v>0</v>
          </cell>
          <cell r="J111">
            <v>0</v>
          </cell>
        </row>
        <row r="112">
          <cell r="A112">
            <v>2330</v>
          </cell>
          <cell r="B112" t="str">
            <v>Elaboracion De Combustible Nuclear</v>
          </cell>
          <cell r="C112">
            <v>0</v>
          </cell>
          <cell r="D112">
            <v>0</v>
          </cell>
          <cell r="E112">
            <v>0</v>
          </cell>
          <cell r="F112">
            <v>0</v>
          </cell>
          <cell r="G112">
            <v>0</v>
          </cell>
          <cell r="H112">
            <v>0</v>
          </cell>
          <cell r="I112">
            <v>0</v>
          </cell>
          <cell r="J112">
            <v>0</v>
          </cell>
        </row>
        <row r="113">
          <cell r="A113">
            <v>2411</v>
          </cell>
          <cell r="B113" t="str">
            <v>Fabricacion De Sustancias Quimicas Basicas, Excepto Abonos Y Compuestos Inorganicos Nitrogenados</v>
          </cell>
          <cell r="C113">
            <v>0</v>
          </cell>
          <cell r="D113">
            <v>0</v>
          </cell>
          <cell r="E113">
            <v>0</v>
          </cell>
          <cell r="F113">
            <v>0</v>
          </cell>
          <cell r="G113">
            <v>0</v>
          </cell>
          <cell r="H113">
            <v>0</v>
          </cell>
          <cell r="I113">
            <v>0</v>
          </cell>
          <cell r="J113">
            <v>0</v>
          </cell>
        </row>
        <row r="114">
          <cell r="A114">
            <v>2412</v>
          </cell>
          <cell r="B114" t="str">
            <v>Fabricacion De Abonos Y Compuestos Inorganicos Nitrogenados</v>
          </cell>
          <cell r="C114">
            <v>0</v>
          </cell>
          <cell r="D114">
            <v>0</v>
          </cell>
          <cell r="E114">
            <v>0</v>
          </cell>
          <cell r="F114">
            <v>0</v>
          </cell>
          <cell r="G114">
            <v>0</v>
          </cell>
          <cell r="H114">
            <v>0</v>
          </cell>
          <cell r="I114">
            <v>0</v>
          </cell>
          <cell r="J114">
            <v>0</v>
          </cell>
        </row>
        <row r="115">
          <cell r="A115">
            <v>2413</v>
          </cell>
          <cell r="B115" t="str">
            <v>Fabricacion De Plasticos En Formas Primarias</v>
          </cell>
          <cell r="C115">
            <v>0</v>
          </cell>
          <cell r="D115">
            <v>0</v>
          </cell>
          <cell r="E115">
            <v>0</v>
          </cell>
          <cell r="F115">
            <v>0</v>
          </cell>
          <cell r="G115">
            <v>0</v>
          </cell>
          <cell r="H115">
            <v>0</v>
          </cell>
          <cell r="I115">
            <v>0</v>
          </cell>
          <cell r="J115">
            <v>0</v>
          </cell>
        </row>
        <row r="116">
          <cell r="A116">
            <v>2414</v>
          </cell>
          <cell r="B116" t="str">
            <v>Fabricacion De Caucho Sintetico En Formas Primarias</v>
          </cell>
          <cell r="C116">
            <v>0</v>
          </cell>
          <cell r="D116">
            <v>0</v>
          </cell>
          <cell r="E116">
            <v>0</v>
          </cell>
          <cell r="F116">
            <v>0</v>
          </cell>
          <cell r="G116">
            <v>0</v>
          </cell>
          <cell r="H116">
            <v>0</v>
          </cell>
          <cell r="I116">
            <v>0</v>
          </cell>
          <cell r="J116">
            <v>0</v>
          </cell>
        </row>
        <row r="117">
          <cell r="A117">
            <v>2421</v>
          </cell>
          <cell r="B117" t="str">
            <v>Fabricacion De Plaguicidas Y Otros Productos Quimicos De Uso Agropecuario</v>
          </cell>
          <cell r="C117">
            <v>0</v>
          </cell>
          <cell r="D117">
            <v>0</v>
          </cell>
          <cell r="E117">
            <v>0</v>
          </cell>
          <cell r="F117">
            <v>0</v>
          </cell>
          <cell r="G117">
            <v>0</v>
          </cell>
          <cell r="H117">
            <v>0</v>
          </cell>
          <cell r="I117">
            <v>0</v>
          </cell>
          <cell r="J117">
            <v>0</v>
          </cell>
        </row>
        <row r="118">
          <cell r="A118">
            <v>2422</v>
          </cell>
          <cell r="B118" t="str">
            <v>Fabricacion De Pinturas, Barnices Y Revestimientos Similares, Tintas Para Impresión Y Masillas</v>
          </cell>
          <cell r="C118">
            <v>0</v>
          </cell>
          <cell r="D118">
            <v>0</v>
          </cell>
          <cell r="E118">
            <v>0</v>
          </cell>
          <cell r="F118">
            <v>0</v>
          </cell>
          <cell r="G118">
            <v>0</v>
          </cell>
          <cell r="H118">
            <v>0</v>
          </cell>
          <cell r="I118">
            <v>0</v>
          </cell>
          <cell r="J118">
            <v>0</v>
          </cell>
        </row>
        <row r="119">
          <cell r="A119">
            <v>2423</v>
          </cell>
          <cell r="B119" t="str">
            <v>Fabricacion De Productos Farmaceuticos, Sustancias Quimicas Medicinales Y Productos Botanicos</v>
          </cell>
          <cell r="C119">
            <v>0</v>
          </cell>
          <cell r="D119">
            <v>0</v>
          </cell>
          <cell r="E119">
            <v>0</v>
          </cell>
          <cell r="F119">
            <v>0</v>
          </cell>
          <cell r="G119">
            <v>0</v>
          </cell>
          <cell r="H119">
            <v>0</v>
          </cell>
          <cell r="I119">
            <v>0</v>
          </cell>
          <cell r="J119">
            <v>0</v>
          </cell>
        </row>
        <row r="120">
          <cell r="A120">
            <v>2424</v>
          </cell>
          <cell r="B120" t="str">
            <v>Fabricacion De Jabones Y Detergentes, Preparados Para Limpiar Y Pulir; Perfumes Y Preparados De Tocador</v>
          </cell>
          <cell r="C120">
            <v>0</v>
          </cell>
          <cell r="D120">
            <v>0</v>
          </cell>
          <cell r="E120">
            <v>0</v>
          </cell>
          <cell r="F120">
            <v>0</v>
          </cell>
          <cell r="G120">
            <v>0</v>
          </cell>
          <cell r="H120">
            <v>0</v>
          </cell>
          <cell r="I120">
            <v>0</v>
          </cell>
          <cell r="J120">
            <v>0</v>
          </cell>
        </row>
        <row r="121">
          <cell r="A121">
            <v>2429</v>
          </cell>
          <cell r="B121" t="str">
            <v>Fabricacion De Otros Productos Quimicos Ncp</v>
          </cell>
          <cell r="C121">
            <v>0</v>
          </cell>
          <cell r="D121">
            <v>0</v>
          </cell>
          <cell r="E121">
            <v>0</v>
          </cell>
          <cell r="F121">
            <v>0</v>
          </cell>
          <cell r="G121">
            <v>0</v>
          </cell>
          <cell r="H121">
            <v>0</v>
          </cell>
          <cell r="I121">
            <v>0</v>
          </cell>
          <cell r="J121">
            <v>0</v>
          </cell>
        </row>
        <row r="122">
          <cell r="A122">
            <v>2430</v>
          </cell>
          <cell r="B122" t="str">
            <v>Fabricacion De Fibras Sinteticas Y Artificiales</v>
          </cell>
          <cell r="C122">
            <v>0</v>
          </cell>
          <cell r="D122">
            <v>0</v>
          </cell>
          <cell r="E122">
            <v>0</v>
          </cell>
          <cell r="F122">
            <v>0</v>
          </cell>
          <cell r="G122">
            <v>0</v>
          </cell>
          <cell r="H122">
            <v>0</v>
          </cell>
          <cell r="I122">
            <v>0</v>
          </cell>
          <cell r="J122">
            <v>0</v>
          </cell>
        </row>
        <row r="123">
          <cell r="A123">
            <v>2511</v>
          </cell>
          <cell r="B123" t="str">
            <v>Fabricacion De Llantas Y Neumaticos De Caucho</v>
          </cell>
          <cell r="C123">
            <v>0</v>
          </cell>
          <cell r="D123">
            <v>0</v>
          </cell>
          <cell r="E123">
            <v>0</v>
          </cell>
          <cell r="F123">
            <v>0</v>
          </cell>
          <cell r="G123">
            <v>0</v>
          </cell>
          <cell r="H123">
            <v>0</v>
          </cell>
          <cell r="I123">
            <v>0</v>
          </cell>
          <cell r="J123">
            <v>0</v>
          </cell>
        </row>
        <row r="124">
          <cell r="A124">
            <v>2512</v>
          </cell>
          <cell r="B124" t="str">
            <v>Reencauche De Llantas Usadas</v>
          </cell>
          <cell r="C124">
            <v>0</v>
          </cell>
          <cell r="D124">
            <v>0</v>
          </cell>
          <cell r="E124">
            <v>0</v>
          </cell>
          <cell r="F124">
            <v>0</v>
          </cell>
          <cell r="G124">
            <v>0</v>
          </cell>
          <cell r="H124">
            <v>0</v>
          </cell>
          <cell r="I124">
            <v>0</v>
          </cell>
          <cell r="J124">
            <v>0</v>
          </cell>
        </row>
        <row r="125">
          <cell r="A125">
            <v>2513</v>
          </cell>
          <cell r="B125" t="str">
            <v>Fabricacion De Formas Basicas De Caucho</v>
          </cell>
          <cell r="C125">
            <v>0</v>
          </cell>
          <cell r="D125">
            <v>0</v>
          </cell>
          <cell r="E125">
            <v>0</v>
          </cell>
          <cell r="F125">
            <v>0</v>
          </cell>
          <cell r="G125">
            <v>0</v>
          </cell>
          <cell r="H125">
            <v>0</v>
          </cell>
          <cell r="I125">
            <v>0</v>
          </cell>
          <cell r="J125">
            <v>0</v>
          </cell>
        </row>
        <row r="126">
          <cell r="A126">
            <v>2519</v>
          </cell>
          <cell r="B126" t="str">
            <v>Fabricacion De Otros Productos De Caucho Ncp</v>
          </cell>
          <cell r="C126">
            <v>0</v>
          </cell>
          <cell r="D126">
            <v>0</v>
          </cell>
          <cell r="E126">
            <v>0</v>
          </cell>
          <cell r="F126">
            <v>0</v>
          </cell>
          <cell r="G126">
            <v>0</v>
          </cell>
          <cell r="H126">
            <v>0</v>
          </cell>
          <cell r="I126">
            <v>0</v>
          </cell>
          <cell r="J126">
            <v>0</v>
          </cell>
        </row>
        <row r="127">
          <cell r="A127">
            <v>2521</v>
          </cell>
          <cell r="B127" t="str">
            <v>Fabricacion De Formas Basicas De Plastico</v>
          </cell>
          <cell r="C127">
            <v>0</v>
          </cell>
          <cell r="D127">
            <v>0</v>
          </cell>
          <cell r="E127">
            <v>0</v>
          </cell>
          <cell r="F127">
            <v>0</v>
          </cell>
          <cell r="G127">
            <v>0</v>
          </cell>
          <cell r="H127">
            <v>0</v>
          </cell>
          <cell r="I127">
            <v>0</v>
          </cell>
          <cell r="J127">
            <v>0</v>
          </cell>
        </row>
        <row r="128">
          <cell r="A128">
            <v>2529</v>
          </cell>
          <cell r="B128" t="str">
            <v>Fabricacion De Articulos De Plastico Ncp</v>
          </cell>
          <cell r="C128">
            <v>0</v>
          </cell>
          <cell r="D128">
            <v>0</v>
          </cell>
          <cell r="E128">
            <v>0</v>
          </cell>
          <cell r="F128">
            <v>0</v>
          </cell>
          <cell r="G128">
            <v>0</v>
          </cell>
          <cell r="H128">
            <v>0</v>
          </cell>
          <cell r="I128">
            <v>0</v>
          </cell>
          <cell r="J128">
            <v>0</v>
          </cell>
        </row>
        <row r="129">
          <cell r="A129">
            <v>2610</v>
          </cell>
          <cell r="B129" t="str">
            <v>Fabricacion De Vidrio y De Productos De Vidrio</v>
          </cell>
          <cell r="C129">
            <v>0</v>
          </cell>
          <cell r="D129">
            <v>0</v>
          </cell>
          <cell r="E129">
            <v>0</v>
          </cell>
          <cell r="F129">
            <v>0</v>
          </cell>
          <cell r="G129">
            <v>0</v>
          </cell>
          <cell r="H129">
            <v>0</v>
          </cell>
          <cell r="I129">
            <v>0</v>
          </cell>
          <cell r="J129">
            <v>0</v>
          </cell>
        </row>
        <row r="130">
          <cell r="A130">
            <v>2691</v>
          </cell>
          <cell r="B130" t="str">
            <v>Fabricacion De Productos De Ceramica No Refractaria, Para Uso No Estructural</v>
          </cell>
          <cell r="C130">
            <v>0</v>
          </cell>
          <cell r="D130">
            <v>0</v>
          </cell>
          <cell r="E130">
            <v>0</v>
          </cell>
          <cell r="F130">
            <v>0</v>
          </cell>
          <cell r="G130">
            <v>0</v>
          </cell>
          <cell r="H130">
            <v>0</v>
          </cell>
          <cell r="I130">
            <v>0</v>
          </cell>
          <cell r="J130">
            <v>0</v>
          </cell>
        </row>
        <row r="131">
          <cell r="A131">
            <v>2692</v>
          </cell>
          <cell r="B131" t="str">
            <v>Fabricacion De Productos De Ceramica Refractaria</v>
          </cell>
          <cell r="C131">
            <v>0</v>
          </cell>
          <cell r="D131">
            <v>0</v>
          </cell>
          <cell r="E131">
            <v>0</v>
          </cell>
          <cell r="F131">
            <v>0</v>
          </cell>
          <cell r="G131">
            <v>0</v>
          </cell>
          <cell r="H131">
            <v>0</v>
          </cell>
          <cell r="I131">
            <v>0</v>
          </cell>
          <cell r="J131">
            <v>0</v>
          </cell>
        </row>
        <row r="132">
          <cell r="A132">
            <v>2693</v>
          </cell>
          <cell r="B132" t="str">
            <v>Fabricacion De Productos De Arcilla Y Ceramica No Refractaria, Para Uso Estructural</v>
          </cell>
          <cell r="C132">
            <v>0</v>
          </cell>
          <cell r="D132">
            <v>0</v>
          </cell>
          <cell r="E132">
            <v>0</v>
          </cell>
          <cell r="F132">
            <v>0</v>
          </cell>
          <cell r="G132">
            <v>0</v>
          </cell>
          <cell r="H132">
            <v>0</v>
          </cell>
          <cell r="I132">
            <v>0</v>
          </cell>
          <cell r="J132">
            <v>0</v>
          </cell>
        </row>
        <row r="133">
          <cell r="A133">
            <v>2694</v>
          </cell>
          <cell r="B133" t="str">
            <v>Fabricacion De Cemento, Cal Y Yeso</v>
          </cell>
          <cell r="C133">
            <v>0</v>
          </cell>
          <cell r="D133">
            <v>0</v>
          </cell>
          <cell r="E133">
            <v>0</v>
          </cell>
          <cell r="F133">
            <v>0</v>
          </cell>
          <cell r="G133">
            <v>0</v>
          </cell>
          <cell r="H133">
            <v>0</v>
          </cell>
          <cell r="I133">
            <v>0</v>
          </cell>
          <cell r="J133">
            <v>0</v>
          </cell>
        </row>
        <row r="134">
          <cell r="A134">
            <v>2695</v>
          </cell>
          <cell r="B134" t="str">
            <v>Fabricacion De Articulos De Hormigon, Cemento Y Yeso</v>
          </cell>
          <cell r="C134">
            <v>0</v>
          </cell>
          <cell r="D134">
            <v>0</v>
          </cell>
          <cell r="E134">
            <v>0</v>
          </cell>
          <cell r="F134">
            <v>0</v>
          </cell>
          <cell r="G134">
            <v>0</v>
          </cell>
          <cell r="H134">
            <v>0</v>
          </cell>
          <cell r="I134">
            <v>0</v>
          </cell>
          <cell r="J134">
            <v>0</v>
          </cell>
        </row>
        <row r="135">
          <cell r="A135">
            <v>2696</v>
          </cell>
          <cell r="B135" t="str">
            <v>Corte, Tallado Y Acabado De La Piedra</v>
          </cell>
          <cell r="C135">
            <v>0</v>
          </cell>
          <cell r="D135">
            <v>0</v>
          </cell>
          <cell r="E135">
            <v>0</v>
          </cell>
          <cell r="F135">
            <v>0</v>
          </cell>
          <cell r="G135">
            <v>0</v>
          </cell>
          <cell r="H135">
            <v>0</v>
          </cell>
          <cell r="I135">
            <v>0</v>
          </cell>
          <cell r="J135">
            <v>0</v>
          </cell>
        </row>
        <row r="136">
          <cell r="A136">
            <v>2699</v>
          </cell>
          <cell r="B136" t="str">
            <v>Fabricacion De Otros Productos Minerales No Metalicos Ncp</v>
          </cell>
          <cell r="C136">
            <v>0</v>
          </cell>
          <cell r="D136">
            <v>0</v>
          </cell>
          <cell r="E136">
            <v>0</v>
          </cell>
          <cell r="F136">
            <v>0</v>
          </cell>
          <cell r="G136">
            <v>0</v>
          </cell>
          <cell r="H136">
            <v>0</v>
          </cell>
          <cell r="I136">
            <v>0</v>
          </cell>
          <cell r="J136">
            <v>0</v>
          </cell>
        </row>
        <row r="137">
          <cell r="A137">
            <v>2710</v>
          </cell>
          <cell r="B137" t="str">
            <v>Industrias Basicas De Hierro Y Acero</v>
          </cell>
          <cell r="C137">
            <v>0</v>
          </cell>
          <cell r="D137">
            <v>0</v>
          </cell>
          <cell r="E137">
            <v>0</v>
          </cell>
          <cell r="F137">
            <v>0</v>
          </cell>
          <cell r="G137">
            <v>0</v>
          </cell>
          <cell r="H137">
            <v>0</v>
          </cell>
          <cell r="I137">
            <v>0</v>
          </cell>
          <cell r="J137">
            <v>0</v>
          </cell>
        </row>
        <row r="138">
          <cell r="A138">
            <v>2721</v>
          </cell>
          <cell r="B138" t="str">
            <v>Industrias Basicas De Metales Preciosos</v>
          </cell>
          <cell r="C138">
            <v>0</v>
          </cell>
          <cell r="D138">
            <v>0</v>
          </cell>
          <cell r="E138">
            <v>0</v>
          </cell>
          <cell r="F138">
            <v>0</v>
          </cell>
          <cell r="G138">
            <v>0</v>
          </cell>
          <cell r="H138">
            <v>0</v>
          </cell>
          <cell r="I138">
            <v>0</v>
          </cell>
          <cell r="J138">
            <v>0</v>
          </cell>
        </row>
        <row r="139">
          <cell r="A139">
            <v>2729</v>
          </cell>
          <cell r="B139" t="str">
            <v>Industrias Basicas De Otros Metales No Ferrosos</v>
          </cell>
          <cell r="C139">
            <v>0</v>
          </cell>
          <cell r="D139">
            <v>0</v>
          </cell>
          <cell r="E139">
            <v>0</v>
          </cell>
          <cell r="F139">
            <v>0</v>
          </cell>
          <cell r="G139">
            <v>0</v>
          </cell>
          <cell r="H139">
            <v>0</v>
          </cell>
          <cell r="I139">
            <v>0</v>
          </cell>
          <cell r="J139">
            <v>0</v>
          </cell>
        </row>
        <row r="140">
          <cell r="A140">
            <v>2731</v>
          </cell>
          <cell r="B140" t="str">
            <v>Fundicion De Hierro Y De Acero</v>
          </cell>
          <cell r="C140">
            <v>0</v>
          </cell>
          <cell r="D140">
            <v>0</v>
          </cell>
          <cell r="E140">
            <v>0</v>
          </cell>
          <cell r="F140">
            <v>0</v>
          </cell>
          <cell r="G140">
            <v>0</v>
          </cell>
          <cell r="H140">
            <v>0</v>
          </cell>
          <cell r="I140">
            <v>0</v>
          </cell>
          <cell r="J140">
            <v>0</v>
          </cell>
        </row>
        <row r="141">
          <cell r="A141">
            <v>2732</v>
          </cell>
          <cell r="B141" t="str">
            <v>Fundicion De Metales No Ferrosos</v>
          </cell>
          <cell r="C141">
            <v>0</v>
          </cell>
          <cell r="D141">
            <v>0</v>
          </cell>
          <cell r="E141">
            <v>0</v>
          </cell>
          <cell r="F141">
            <v>0</v>
          </cell>
          <cell r="G141">
            <v>0</v>
          </cell>
          <cell r="H141">
            <v>0</v>
          </cell>
          <cell r="I141">
            <v>0</v>
          </cell>
          <cell r="J141">
            <v>0</v>
          </cell>
        </row>
        <row r="142">
          <cell r="A142">
            <v>2811</v>
          </cell>
          <cell r="B142" t="str">
            <v>Fabricacion De Productos Metalicos Para Uso Estructural</v>
          </cell>
          <cell r="C142">
            <v>0</v>
          </cell>
          <cell r="D142">
            <v>0</v>
          </cell>
          <cell r="E142">
            <v>0</v>
          </cell>
          <cell r="F142">
            <v>0</v>
          </cell>
          <cell r="G142">
            <v>0</v>
          </cell>
          <cell r="H142">
            <v>0</v>
          </cell>
          <cell r="I142">
            <v>0</v>
          </cell>
          <cell r="J142">
            <v>0</v>
          </cell>
        </row>
        <row r="143">
          <cell r="A143">
            <v>2812</v>
          </cell>
          <cell r="B143" t="str">
            <v>Fabricacion De Tanques, Depositos Y Recipientes De Metal</v>
          </cell>
          <cell r="C143">
            <v>0</v>
          </cell>
          <cell r="D143">
            <v>0</v>
          </cell>
          <cell r="E143">
            <v>0</v>
          </cell>
          <cell r="F143">
            <v>0</v>
          </cell>
          <cell r="G143">
            <v>0</v>
          </cell>
          <cell r="H143">
            <v>0</v>
          </cell>
          <cell r="I143">
            <v>0</v>
          </cell>
          <cell r="J143">
            <v>0</v>
          </cell>
        </row>
        <row r="144">
          <cell r="A144">
            <v>2813</v>
          </cell>
          <cell r="B144" t="str">
            <v>Fabricacion De Generadores De Vapor, Excepto Calderas De Agua Caliente Para Calefaccion Central</v>
          </cell>
          <cell r="C144">
            <v>0</v>
          </cell>
          <cell r="D144">
            <v>0</v>
          </cell>
          <cell r="E144">
            <v>0</v>
          </cell>
          <cell r="F144">
            <v>0</v>
          </cell>
          <cell r="G144">
            <v>0</v>
          </cell>
          <cell r="H144">
            <v>0</v>
          </cell>
          <cell r="I144">
            <v>0</v>
          </cell>
          <cell r="J144">
            <v>0</v>
          </cell>
        </row>
        <row r="145">
          <cell r="A145">
            <v>2891</v>
          </cell>
          <cell r="B145" t="str">
            <v>Forja, Prensado, Estampado Y Laminado De Metal; Pulvimetalurgia</v>
          </cell>
          <cell r="C145">
            <v>0</v>
          </cell>
          <cell r="D145">
            <v>0</v>
          </cell>
          <cell r="E145">
            <v>0</v>
          </cell>
          <cell r="F145">
            <v>0</v>
          </cell>
          <cell r="G145">
            <v>0</v>
          </cell>
          <cell r="H145">
            <v>0</v>
          </cell>
          <cell r="I145">
            <v>0</v>
          </cell>
          <cell r="J145">
            <v>0</v>
          </cell>
        </row>
        <row r="146">
          <cell r="A146">
            <v>2892</v>
          </cell>
          <cell r="B146" t="str">
            <v>Tratamiento Y Revestimiento De Metales; Trabajos De Ingenieria Mecanica En General Realizados A Cambio De Una Retribucion O Por Contrata</v>
          </cell>
          <cell r="C146">
            <v>0</v>
          </cell>
          <cell r="D146">
            <v>0</v>
          </cell>
          <cell r="E146">
            <v>0</v>
          </cell>
          <cell r="F146">
            <v>0</v>
          </cell>
          <cell r="G146">
            <v>0</v>
          </cell>
          <cell r="H146">
            <v>0</v>
          </cell>
          <cell r="I146">
            <v>0</v>
          </cell>
          <cell r="J146">
            <v>0</v>
          </cell>
        </row>
        <row r="147">
          <cell r="A147">
            <v>2893</v>
          </cell>
          <cell r="B147" t="str">
            <v>Fabricacion De Articulos De Cuchilleria, Herramientas De Mano Y Articulos De Ferreteria</v>
          </cell>
          <cell r="C147">
            <v>0</v>
          </cell>
          <cell r="D147">
            <v>0</v>
          </cell>
          <cell r="E147">
            <v>0</v>
          </cell>
          <cell r="F147">
            <v>0</v>
          </cell>
          <cell r="G147">
            <v>0</v>
          </cell>
          <cell r="H147">
            <v>0</v>
          </cell>
          <cell r="I147">
            <v>0</v>
          </cell>
          <cell r="J147">
            <v>0</v>
          </cell>
        </row>
        <row r="148">
          <cell r="A148">
            <v>2899</v>
          </cell>
          <cell r="B148" t="str">
            <v>Fabricacion De Otros Productos Elaborados De Metal Ncp</v>
          </cell>
          <cell r="C148">
            <v>0</v>
          </cell>
          <cell r="D148">
            <v>0</v>
          </cell>
          <cell r="E148">
            <v>0</v>
          </cell>
          <cell r="F148">
            <v>0</v>
          </cell>
          <cell r="G148">
            <v>0</v>
          </cell>
          <cell r="H148">
            <v>0</v>
          </cell>
          <cell r="I148">
            <v>0</v>
          </cell>
          <cell r="J148">
            <v>0</v>
          </cell>
        </row>
        <row r="149">
          <cell r="A149">
            <v>2911</v>
          </cell>
          <cell r="B149" t="str">
            <v>Fabricacion De Motores Y Turbinas, Excepto Motores Para Aeronaves, Vehiculos Automotores Y Motocicletas</v>
          </cell>
          <cell r="C149">
            <v>0</v>
          </cell>
          <cell r="D149">
            <v>0</v>
          </cell>
          <cell r="E149">
            <v>0</v>
          </cell>
          <cell r="F149">
            <v>0</v>
          </cell>
          <cell r="G149">
            <v>0</v>
          </cell>
          <cell r="H149">
            <v>0</v>
          </cell>
          <cell r="I149">
            <v>0</v>
          </cell>
          <cell r="J149">
            <v>0</v>
          </cell>
        </row>
        <row r="150">
          <cell r="A150">
            <v>2912</v>
          </cell>
          <cell r="B150" t="str">
            <v>Fabricacion De Bombas, Compresores, Grifos Y Valvulas</v>
          </cell>
          <cell r="C150">
            <v>0</v>
          </cell>
          <cell r="D150">
            <v>0</v>
          </cell>
          <cell r="E150">
            <v>0</v>
          </cell>
          <cell r="F150">
            <v>0</v>
          </cell>
          <cell r="G150">
            <v>0</v>
          </cell>
          <cell r="H150">
            <v>0</v>
          </cell>
          <cell r="I150">
            <v>0</v>
          </cell>
          <cell r="J150">
            <v>0</v>
          </cell>
        </row>
        <row r="151">
          <cell r="A151">
            <v>2913</v>
          </cell>
          <cell r="B151" t="str">
            <v>Fabricacion De Cojinetes, Engranajes, Trenes De Engranajes Y Piezas De Transmision</v>
          </cell>
          <cell r="C151">
            <v>0</v>
          </cell>
          <cell r="D151">
            <v>0</v>
          </cell>
          <cell r="E151">
            <v>0</v>
          </cell>
          <cell r="F151">
            <v>0</v>
          </cell>
          <cell r="G151">
            <v>0</v>
          </cell>
          <cell r="H151">
            <v>0</v>
          </cell>
          <cell r="I151">
            <v>0</v>
          </cell>
          <cell r="J151">
            <v>0</v>
          </cell>
        </row>
        <row r="152">
          <cell r="A152">
            <v>2914</v>
          </cell>
          <cell r="B152" t="str">
            <v>Fabricacion De Hornos, Hogares Y Quemadores Industriales</v>
          </cell>
          <cell r="C152">
            <v>0</v>
          </cell>
          <cell r="D152">
            <v>0</v>
          </cell>
          <cell r="E152">
            <v>0</v>
          </cell>
          <cell r="F152">
            <v>0</v>
          </cell>
          <cell r="G152">
            <v>0</v>
          </cell>
          <cell r="H152">
            <v>0</v>
          </cell>
          <cell r="I152">
            <v>0</v>
          </cell>
          <cell r="J152">
            <v>0</v>
          </cell>
        </row>
        <row r="153">
          <cell r="A153">
            <v>2915</v>
          </cell>
          <cell r="B153" t="str">
            <v>Fabricacion De Equipo De Elevación Y Manipulacion</v>
          </cell>
          <cell r="C153">
            <v>0</v>
          </cell>
          <cell r="D153">
            <v>0</v>
          </cell>
          <cell r="E153">
            <v>0</v>
          </cell>
          <cell r="F153">
            <v>0</v>
          </cell>
          <cell r="G153">
            <v>0</v>
          </cell>
          <cell r="H153">
            <v>0</v>
          </cell>
          <cell r="I153">
            <v>0</v>
          </cell>
          <cell r="J153">
            <v>0</v>
          </cell>
        </row>
        <row r="154">
          <cell r="A154">
            <v>2919</v>
          </cell>
          <cell r="B154" t="str">
            <v>Fabricacion De Otros Tipos De Maquinaria De Uso General Ncp</v>
          </cell>
          <cell r="C154">
            <v>0</v>
          </cell>
          <cell r="D154">
            <v>0</v>
          </cell>
          <cell r="E154">
            <v>0</v>
          </cell>
          <cell r="F154">
            <v>0</v>
          </cell>
          <cell r="G154">
            <v>0</v>
          </cell>
          <cell r="H154">
            <v>0</v>
          </cell>
          <cell r="I154">
            <v>0</v>
          </cell>
          <cell r="J154">
            <v>0</v>
          </cell>
        </row>
        <row r="155">
          <cell r="A155">
            <v>2921</v>
          </cell>
          <cell r="B155" t="str">
            <v>Fabricacion De Maquinaria Agropecuaria Y Forestal</v>
          </cell>
          <cell r="C155">
            <v>0</v>
          </cell>
          <cell r="D155">
            <v>0</v>
          </cell>
          <cell r="E155">
            <v>0</v>
          </cell>
          <cell r="F155">
            <v>0</v>
          </cell>
          <cell r="G155">
            <v>0</v>
          </cell>
          <cell r="H155">
            <v>0</v>
          </cell>
          <cell r="I155">
            <v>0</v>
          </cell>
          <cell r="J155">
            <v>0</v>
          </cell>
        </row>
        <row r="156">
          <cell r="A156">
            <v>2922</v>
          </cell>
          <cell r="B156" t="str">
            <v>Fabricacion De Maquinas Herramienta</v>
          </cell>
          <cell r="C156">
            <v>0</v>
          </cell>
          <cell r="D156">
            <v>0</v>
          </cell>
          <cell r="E156">
            <v>0</v>
          </cell>
          <cell r="F156">
            <v>0</v>
          </cell>
          <cell r="G156">
            <v>0</v>
          </cell>
          <cell r="H156">
            <v>0</v>
          </cell>
          <cell r="I156">
            <v>0</v>
          </cell>
          <cell r="J156">
            <v>0</v>
          </cell>
        </row>
        <row r="157">
          <cell r="A157">
            <v>2923</v>
          </cell>
          <cell r="B157" t="str">
            <v>Fabricacion De Maquinaria Para La Metalurgia</v>
          </cell>
          <cell r="C157">
            <v>0</v>
          </cell>
          <cell r="D157">
            <v>0</v>
          </cell>
          <cell r="E157">
            <v>0</v>
          </cell>
          <cell r="F157">
            <v>0</v>
          </cell>
          <cell r="G157">
            <v>0</v>
          </cell>
          <cell r="H157">
            <v>0</v>
          </cell>
          <cell r="I157">
            <v>0</v>
          </cell>
          <cell r="J157">
            <v>0</v>
          </cell>
        </row>
        <row r="158">
          <cell r="A158">
            <v>2924</v>
          </cell>
          <cell r="B158" t="str">
            <v>Fabricacion De Maquinaria Para La Explotacion De Minas Y Canteras Y Para La Construccion</v>
          </cell>
          <cell r="C158">
            <v>0</v>
          </cell>
          <cell r="D158">
            <v>0</v>
          </cell>
          <cell r="E158">
            <v>0</v>
          </cell>
          <cell r="F158">
            <v>0</v>
          </cell>
          <cell r="G158">
            <v>0</v>
          </cell>
          <cell r="H158">
            <v>0</v>
          </cell>
          <cell r="I158">
            <v>0</v>
          </cell>
          <cell r="J158">
            <v>0</v>
          </cell>
        </row>
        <row r="159">
          <cell r="A159">
            <v>2925</v>
          </cell>
          <cell r="B159" t="str">
            <v>Fabricacion De Maquinaria Para La Elaboracion De Alimentos, Bebidas Y Tabaco</v>
          </cell>
          <cell r="C159">
            <v>0</v>
          </cell>
          <cell r="D159">
            <v>0</v>
          </cell>
          <cell r="E159">
            <v>0</v>
          </cell>
          <cell r="F159">
            <v>0</v>
          </cell>
          <cell r="G159">
            <v>0</v>
          </cell>
          <cell r="H159">
            <v>0</v>
          </cell>
          <cell r="I159">
            <v>0</v>
          </cell>
          <cell r="J159">
            <v>0</v>
          </cell>
        </row>
        <row r="160">
          <cell r="A160">
            <v>2926</v>
          </cell>
          <cell r="B160" t="str">
            <v>Fabricacion De Maquinaria Para La Elaboracion De Productos Textiles, Prendas De Vestir Y Cueros</v>
          </cell>
          <cell r="C160">
            <v>0</v>
          </cell>
          <cell r="D160">
            <v>0</v>
          </cell>
          <cell r="E160">
            <v>0</v>
          </cell>
          <cell r="F160">
            <v>0</v>
          </cell>
          <cell r="G160">
            <v>0</v>
          </cell>
          <cell r="H160">
            <v>0</v>
          </cell>
          <cell r="I160">
            <v>0</v>
          </cell>
          <cell r="J160">
            <v>0</v>
          </cell>
        </row>
        <row r="161">
          <cell r="A161">
            <v>2927</v>
          </cell>
          <cell r="B161" t="str">
            <v>Fabricacion De Armas Y Municiones</v>
          </cell>
          <cell r="C161">
            <v>0</v>
          </cell>
          <cell r="D161">
            <v>0</v>
          </cell>
          <cell r="E161">
            <v>0</v>
          </cell>
          <cell r="F161">
            <v>0</v>
          </cell>
          <cell r="G161">
            <v>0</v>
          </cell>
          <cell r="H161">
            <v>0</v>
          </cell>
          <cell r="I161">
            <v>0</v>
          </cell>
          <cell r="J161">
            <v>0</v>
          </cell>
        </row>
        <row r="162">
          <cell r="A162">
            <v>2929</v>
          </cell>
          <cell r="B162" t="str">
            <v>Fabricacion De Otros Tipos De Maquinaria De Uso Especial Ncp</v>
          </cell>
          <cell r="C162">
            <v>0</v>
          </cell>
          <cell r="D162">
            <v>0</v>
          </cell>
          <cell r="E162">
            <v>0</v>
          </cell>
          <cell r="F162">
            <v>0</v>
          </cell>
          <cell r="G162">
            <v>0</v>
          </cell>
          <cell r="H162">
            <v>0</v>
          </cell>
          <cell r="I162">
            <v>0</v>
          </cell>
          <cell r="J162">
            <v>0</v>
          </cell>
        </row>
        <row r="163">
          <cell r="A163">
            <v>2930</v>
          </cell>
          <cell r="B163" t="str">
            <v>Fabricaion De Aparatos De Uso Domestico Ncp</v>
          </cell>
          <cell r="C163">
            <v>0</v>
          </cell>
          <cell r="D163">
            <v>0</v>
          </cell>
          <cell r="E163">
            <v>0</v>
          </cell>
          <cell r="F163">
            <v>0</v>
          </cell>
          <cell r="G163">
            <v>0</v>
          </cell>
          <cell r="H163">
            <v>0</v>
          </cell>
          <cell r="I163">
            <v>0</v>
          </cell>
          <cell r="J163">
            <v>0</v>
          </cell>
        </row>
        <row r="164">
          <cell r="A164">
            <v>3000</v>
          </cell>
          <cell r="B164" t="str">
            <v>Fabricacion De Maquinaria De Oficina, Contabilidad E Informatica</v>
          </cell>
          <cell r="C164">
            <v>0</v>
          </cell>
          <cell r="D164">
            <v>0</v>
          </cell>
          <cell r="E164">
            <v>0</v>
          </cell>
          <cell r="F164">
            <v>0</v>
          </cell>
          <cell r="G164">
            <v>0</v>
          </cell>
          <cell r="H164">
            <v>0</v>
          </cell>
          <cell r="I164">
            <v>0</v>
          </cell>
          <cell r="J164">
            <v>0</v>
          </cell>
        </row>
        <row r="165">
          <cell r="A165">
            <v>3110</v>
          </cell>
          <cell r="B165" t="str">
            <v>Fabricacion De Motores, Generadores Y Transformadores</v>
          </cell>
          <cell r="C165">
            <v>0</v>
          </cell>
          <cell r="D165">
            <v>0</v>
          </cell>
          <cell r="E165">
            <v>0</v>
          </cell>
          <cell r="F165">
            <v>0</v>
          </cell>
          <cell r="G165">
            <v>0</v>
          </cell>
          <cell r="H165">
            <v>0</v>
          </cell>
          <cell r="I165">
            <v>0</v>
          </cell>
          <cell r="J165">
            <v>0</v>
          </cell>
        </row>
        <row r="166">
          <cell r="A166">
            <v>3120</v>
          </cell>
          <cell r="B166" t="str">
            <v>Fabricacion De Aparatos De Distribucion Y Control De La Energía Electrica</v>
          </cell>
          <cell r="C166">
            <v>0</v>
          </cell>
          <cell r="D166">
            <v>0</v>
          </cell>
          <cell r="E166">
            <v>0</v>
          </cell>
          <cell r="F166">
            <v>0</v>
          </cell>
          <cell r="G166">
            <v>0</v>
          </cell>
          <cell r="H166">
            <v>0</v>
          </cell>
          <cell r="I166">
            <v>0</v>
          </cell>
          <cell r="J166">
            <v>0</v>
          </cell>
        </row>
        <row r="167">
          <cell r="A167">
            <v>3130</v>
          </cell>
          <cell r="B167" t="str">
            <v>Fabricacion De Hilos Y Cables Aislados</v>
          </cell>
          <cell r="C167">
            <v>0</v>
          </cell>
          <cell r="D167">
            <v>0</v>
          </cell>
          <cell r="E167">
            <v>0</v>
          </cell>
          <cell r="F167">
            <v>0</v>
          </cell>
          <cell r="G167">
            <v>0</v>
          </cell>
          <cell r="H167">
            <v>0</v>
          </cell>
          <cell r="I167">
            <v>0</v>
          </cell>
          <cell r="J167">
            <v>0</v>
          </cell>
        </row>
        <row r="168">
          <cell r="A168">
            <v>3140</v>
          </cell>
          <cell r="B168" t="str">
            <v>Fabricacion De Acumuladoresy De Pilas Electricas</v>
          </cell>
          <cell r="C168">
            <v>0</v>
          </cell>
          <cell r="D168">
            <v>0</v>
          </cell>
          <cell r="E168">
            <v>0</v>
          </cell>
          <cell r="F168">
            <v>0</v>
          </cell>
          <cell r="G168">
            <v>0</v>
          </cell>
          <cell r="H168">
            <v>0</v>
          </cell>
          <cell r="I168">
            <v>0</v>
          </cell>
          <cell r="J168">
            <v>0</v>
          </cell>
        </row>
        <row r="169">
          <cell r="A169">
            <v>3150</v>
          </cell>
          <cell r="B169" t="str">
            <v>Fabricacion De Lamparas Electricas Y Equipo De Iluminacion</v>
          </cell>
          <cell r="C169">
            <v>0</v>
          </cell>
          <cell r="D169">
            <v>0</v>
          </cell>
          <cell r="E169">
            <v>0</v>
          </cell>
          <cell r="F169">
            <v>0</v>
          </cell>
          <cell r="G169">
            <v>0</v>
          </cell>
          <cell r="H169">
            <v>0</v>
          </cell>
          <cell r="I169">
            <v>0</v>
          </cell>
          <cell r="J169">
            <v>0</v>
          </cell>
        </row>
        <row r="170">
          <cell r="A170">
            <v>3190</v>
          </cell>
          <cell r="B170" t="str">
            <v>Fabricacion De Otros Tipos De Equipo Electrico Ncp</v>
          </cell>
          <cell r="C170">
            <v>0</v>
          </cell>
          <cell r="D170">
            <v>0</v>
          </cell>
          <cell r="E170">
            <v>0</v>
          </cell>
          <cell r="F170">
            <v>0</v>
          </cell>
          <cell r="G170">
            <v>0</v>
          </cell>
          <cell r="H170">
            <v>0</v>
          </cell>
          <cell r="I170">
            <v>0</v>
          </cell>
          <cell r="J170">
            <v>0</v>
          </cell>
        </row>
        <row r="171">
          <cell r="A171">
            <v>3210</v>
          </cell>
          <cell r="B171" t="str">
            <v>Fabricacion De Tubos Y Valvulas Electronicas Y De Otros Componentes Electronicos</v>
          </cell>
          <cell r="C171">
            <v>0</v>
          </cell>
          <cell r="D171">
            <v>0</v>
          </cell>
          <cell r="E171">
            <v>0</v>
          </cell>
          <cell r="F171">
            <v>0</v>
          </cell>
          <cell r="G171">
            <v>0</v>
          </cell>
          <cell r="H171">
            <v>0</v>
          </cell>
          <cell r="I171">
            <v>0</v>
          </cell>
          <cell r="J171">
            <v>0</v>
          </cell>
        </row>
        <row r="172">
          <cell r="A172">
            <v>3220</v>
          </cell>
          <cell r="B172" t="str">
            <v>Fabricacion De Transmisores De Radio Y Television Y De Aparatos Para Telefonia Y Telegrafia</v>
          </cell>
          <cell r="C172">
            <v>0</v>
          </cell>
          <cell r="D172">
            <v>0</v>
          </cell>
          <cell r="E172">
            <v>0</v>
          </cell>
          <cell r="F172">
            <v>0</v>
          </cell>
          <cell r="G172">
            <v>0</v>
          </cell>
          <cell r="H172">
            <v>0</v>
          </cell>
          <cell r="I172">
            <v>0</v>
          </cell>
          <cell r="J172">
            <v>0</v>
          </cell>
        </row>
        <row r="173">
          <cell r="A173">
            <v>3230</v>
          </cell>
          <cell r="B173" t="str">
            <v>Fabricacion De Receptores De Radio Y Television, De Aparatos De Grabacion De Reproduccion Del Sonido O Imagen, Y De Productos Conexos</v>
          </cell>
          <cell r="C173">
            <v>0</v>
          </cell>
          <cell r="D173">
            <v>0</v>
          </cell>
          <cell r="E173">
            <v>0</v>
          </cell>
          <cell r="F173">
            <v>0</v>
          </cell>
          <cell r="G173">
            <v>0</v>
          </cell>
          <cell r="H173">
            <v>0</v>
          </cell>
          <cell r="I173">
            <v>0</v>
          </cell>
          <cell r="J173">
            <v>0</v>
          </cell>
        </row>
        <row r="174">
          <cell r="A174">
            <v>3311</v>
          </cell>
          <cell r="B174" t="str">
            <v>Fabricacion De Equipo Medico Y Quirurgico Y De Aparatos Ortesicos Y Protesicos</v>
          </cell>
          <cell r="C174">
            <v>0</v>
          </cell>
          <cell r="D174">
            <v>0</v>
          </cell>
          <cell r="E174">
            <v>0</v>
          </cell>
          <cell r="F174">
            <v>0</v>
          </cell>
          <cell r="G174">
            <v>0</v>
          </cell>
          <cell r="H174">
            <v>0</v>
          </cell>
          <cell r="I174">
            <v>0</v>
          </cell>
          <cell r="J174">
            <v>0</v>
          </cell>
        </row>
        <row r="175">
          <cell r="A175">
            <v>3312</v>
          </cell>
          <cell r="B175" t="str">
            <v>Fabricacion De Instrumentos Y Aparatos Para Medir, Verificar, Ensayar, Navegar Y Otros Fines, Excepto Equipo De Control De Procesos Industriales</v>
          </cell>
          <cell r="C175">
            <v>0</v>
          </cell>
          <cell r="D175">
            <v>0</v>
          </cell>
          <cell r="E175">
            <v>0</v>
          </cell>
          <cell r="F175">
            <v>0</v>
          </cell>
          <cell r="G175">
            <v>0</v>
          </cell>
          <cell r="H175">
            <v>0</v>
          </cell>
          <cell r="I175">
            <v>0</v>
          </cell>
          <cell r="J175">
            <v>0</v>
          </cell>
        </row>
        <row r="176">
          <cell r="A176">
            <v>3313</v>
          </cell>
          <cell r="B176" t="str">
            <v>Fabricacion De Equipo De Control De Procesos Industriales</v>
          </cell>
          <cell r="C176">
            <v>0</v>
          </cell>
          <cell r="D176">
            <v>0</v>
          </cell>
          <cell r="E176">
            <v>0</v>
          </cell>
          <cell r="F176">
            <v>0</v>
          </cell>
          <cell r="G176">
            <v>0</v>
          </cell>
          <cell r="H176">
            <v>0</v>
          </cell>
          <cell r="I176">
            <v>0</v>
          </cell>
          <cell r="J176">
            <v>0</v>
          </cell>
        </row>
        <row r="177">
          <cell r="A177">
            <v>3320</v>
          </cell>
          <cell r="B177" t="str">
            <v>Fabricacion De Instrumentos Opticos Y De Equipo Fotografico</v>
          </cell>
          <cell r="C177">
            <v>0</v>
          </cell>
          <cell r="D177">
            <v>0</v>
          </cell>
          <cell r="E177">
            <v>0</v>
          </cell>
          <cell r="F177">
            <v>0</v>
          </cell>
          <cell r="G177">
            <v>0</v>
          </cell>
          <cell r="H177">
            <v>0</v>
          </cell>
          <cell r="I177">
            <v>0</v>
          </cell>
          <cell r="J177">
            <v>0</v>
          </cell>
        </row>
        <row r="178">
          <cell r="A178">
            <v>3330</v>
          </cell>
          <cell r="B178" t="str">
            <v>Fabricacion De Relojes</v>
          </cell>
          <cell r="C178">
            <v>0</v>
          </cell>
          <cell r="D178">
            <v>0</v>
          </cell>
          <cell r="E178">
            <v>0</v>
          </cell>
          <cell r="F178">
            <v>0</v>
          </cell>
          <cell r="G178">
            <v>0</v>
          </cell>
          <cell r="H178">
            <v>0</v>
          </cell>
          <cell r="I178">
            <v>0</v>
          </cell>
          <cell r="J178">
            <v>0</v>
          </cell>
        </row>
        <row r="179">
          <cell r="A179">
            <v>3410</v>
          </cell>
          <cell r="B179" t="str">
            <v>Fabricacion De Vehiculos Automotores Y Sus Motores</v>
          </cell>
          <cell r="C179">
            <v>0</v>
          </cell>
          <cell r="D179">
            <v>0</v>
          </cell>
          <cell r="E179">
            <v>0</v>
          </cell>
          <cell r="F179">
            <v>0</v>
          </cell>
          <cell r="G179">
            <v>0</v>
          </cell>
          <cell r="H179">
            <v>0</v>
          </cell>
          <cell r="I179">
            <v>0</v>
          </cell>
          <cell r="J179">
            <v>0</v>
          </cell>
        </row>
        <row r="180">
          <cell r="A180">
            <v>3420</v>
          </cell>
          <cell r="B180" t="str">
            <v>Fabricacion De Carrocerias Para Vehiculos Automotores; Fabricacion De Remolques Y Semiremolques</v>
          </cell>
          <cell r="C180">
            <v>0</v>
          </cell>
          <cell r="D180">
            <v>0</v>
          </cell>
          <cell r="E180">
            <v>0</v>
          </cell>
          <cell r="F180">
            <v>0</v>
          </cell>
          <cell r="G180">
            <v>0</v>
          </cell>
          <cell r="H180">
            <v>0</v>
          </cell>
          <cell r="I180">
            <v>0</v>
          </cell>
          <cell r="J180">
            <v>0</v>
          </cell>
        </row>
        <row r="181">
          <cell r="A181">
            <v>3430</v>
          </cell>
          <cell r="B181" t="str">
            <v>Fabricacion De Partes, Piezas Y Accesorios(Autopartes) Para Vehiculos Automotores Y Para Sus Motores</v>
          </cell>
          <cell r="C181">
            <v>0</v>
          </cell>
          <cell r="D181">
            <v>0</v>
          </cell>
          <cell r="E181">
            <v>0</v>
          </cell>
          <cell r="F181">
            <v>0</v>
          </cell>
          <cell r="G181">
            <v>0</v>
          </cell>
          <cell r="H181">
            <v>0</v>
          </cell>
          <cell r="I181">
            <v>0</v>
          </cell>
          <cell r="J181">
            <v>0</v>
          </cell>
        </row>
        <row r="182">
          <cell r="A182">
            <v>3511</v>
          </cell>
          <cell r="B182" t="str">
            <v>Construccion Y Reparacion De Buques</v>
          </cell>
          <cell r="C182">
            <v>0</v>
          </cell>
          <cell r="D182">
            <v>0</v>
          </cell>
          <cell r="E182">
            <v>0</v>
          </cell>
          <cell r="F182">
            <v>0</v>
          </cell>
          <cell r="G182">
            <v>0</v>
          </cell>
          <cell r="H182">
            <v>0</v>
          </cell>
          <cell r="I182">
            <v>0</v>
          </cell>
          <cell r="J182">
            <v>0</v>
          </cell>
        </row>
        <row r="183">
          <cell r="A183">
            <v>3512</v>
          </cell>
          <cell r="B183" t="str">
            <v>Construccion Y Reparacion De Embarcaciones De Recreo Y De Deporte</v>
          </cell>
          <cell r="C183">
            <v>0</v>
          </cell>
          <cell r="D183">
            <v>0</v>
          </cell>
          <cell r="E183">
            <v>0</v>
          </cell>
          <cell r="F183">
            <v>0</v>
          </cell>
          <cell r="G183">
            <v>0</v>
          </cell>
          <cell r="H183">
            <v>0</v>
          </cell>
          <cell r="I183">
            <v>0</v>
          </cell>
          <cell r="J183">
            <v>0</v>
          </cell>
        </row>
        <row r="184">
          <cell r="A184">
            <v>3520</v>
          </cell>
          <cell r="B184" t="str">
            <v>Fabricacion De Locomotoras Y De Material Rodante Para Ferrocarriles Y Tranvias</v>
          </cell>
          <cell r="C184">
            <v>0</v>
          </cell>
          <cell r="D184">
            <v>0</v>
          </cell>
          <cell r="E184">
            <v>0</v>
          </cell>
          <cell r="F184">
            <v>0</v>
          </cell>
          <cell r="G184">
            <v>0</v>
          </cell>
          <cell r="H184">
            <v>0</v>
          </cell>
          <cell r="I184">
            <v>0</v>
          </cell>
          <cell r="J184">
            <v>0</v>
          </cell>
        </row>
        <row r="185">
          <cell r="A185">
            <v>3530</v>
          </cell>
          <cell r="B185" t="str">
            <v>Fabricacion De Aeronaves Y De Naves Espaciales</v>
          </cell>
          <cell r="C185">
            <v>0</v>
          </cell>
          <cell r="D185">
            <v>0</v>
          </cell>
          <cell r="E185">
            <v>0</v>
          </cell>
          <cell r="F185">
            <v>0</v>
          </cell>
          <cell r="G185">
            <v>0</v>
          </cell>
          <cell r="H185">
            <v>0</v>
          </cell>
          <cell r="I185">
            <v>0</v>
          </cell>
          <cell r="J185">
            <v>0</v>
          </cell>
        </row>
        <row r="186">
          <cell r="A186">
            <v>3591</v>
          </cell>
          <cell r="B186" t="str">
            <v>Fabricaion De Motocicletas</v>
          </cell>
          <cell r="C186">
            <v>0</v>
          </cell>
          <cell r="D186">
            <v>0</v>
          </cell>
          <cell r="E186">
            <v>0</v>
          </cell>
          <cell r="F186">
            <v>0</v>
          </cell>
          <cell r="G186">
            <v>0</v>
          </cell>
          <cell r="H186">
            <v>0</v>
          </cell>
          <cell r="I186">
            <v>0</v>
          </cell>
          <cell r="J186">
            <v>0</v>
          </cell>
        </row>
        <row r="187">
          <cell r="A187">
            <v>3592</v>
          </cell>
          <cell r="B187" t="str">
            <v>Fabricacion De Bicicletas Y De Sillones De Ruedas Para Discapacitados</v>
          </cell>
          <cell r="C187">
            <v>0</v>
          </cell>
          <cell r="D187">
            <v>0</v>
          </cell>
          <cell r="E187">
            <v>0</v>
          </cell>
          <cell r="F187">
            <v>0</v>
          </cell>
          <cell r="G187">
            <v>0</v>
          </cell>
          <cell r="H187">
            <v>0</v>
          </cell>
          <cell r="I187">
            <v>0</v>
          </cell>
          <cell r="J187">
            <v>0</v>
          </cell>
        </row>
        <row r="188">
          <cell r="A188">
            <v>3599</v>
          </cell>
          <cell r="B188" t="str">
            <v>Fabricacion De Otros Tipos De Equipo De Transporte Ncp</v>
          </cell>
          <cell r="C188">
            <v>0</v>
          </cell>
          <cell r="D188">
            <v>0</v>
          </cell>
          <cell r="E188">
            <v>0</v>
          </cell>
          <cell r="F188">
            <v>0</v>
          </cell>
          <cell r="G188">
            <v>0</v>
          </cell>
          <cell r="H188">
            <v>0</v>
          </cell>
          <cell r="I188">
            <v>0</v>
          </cell>
          <cell r="J188">
            <v>0</v>
          </cell>
        </row>
        <row r="189">
          <cell r="A189">
            <v>3611</v>
          </cell>
          <cell r="B189" t="str">
            <v>Fabricacion De Muebles Para El Hogar</v>
          </cell>
          <cell r="C189">
            <v>0</v>
          </cell>
          <cell r="D189">
            <v>0</v>
          </cell>
          <cell r="E189">
            <v>0</v>
          </cell>
          <cell r="F189">
            <v>0</v>
          </cell>
          <cell r="G189">
            <v>0</v>
          </cell>
          <cell r="H189">
            <v>0</v>
          </cell>
          <cell r="I189">
            <v>0</v>
          </cell>
          <cell r="J189">
            <v>0</v>
          </cell>
        </row>
        <row r="190">
          <cell r="A190">
            <v>3612</v>
          </cell>
          <cell r="B190" t="str">
            <v>Fabricaion De Muebles Para Oficina</v>
          </cell>
          <cell r="C190">
            <v>0</v>
          </cell>
          <cell r="D190">
            <v>0</v>
          </cell>
          <cell r="E190">
            <v>0</v>
          </cell>
          <cell r="F190">
            <v>0</v>
          </cell>
          <cell r="G190">
            <v>0</v>
          </cell>
          <cell r="H190">
            <v>0</v>
          </cell>
          <cell r="I190">
            <v>0</v>
          </cell>
          <cell r="J190">
            <v>0</v>
          </cell>
        </row>
        <row r="191">
          <cell r="A191">
            <v>3613</v>
          </cell>
          <cell r="B191" t="str">
            <v>Fabricacion De Muebles Para Comercio Y Servicios</v>
          </cell>
          <cell r="C191">
            <v>0</v>
          </cell>
          <cell r="D191">
            <v>0</v>
          </cell>
          <cell r="E191">
            <v>0</v>
          </cell>
          <cell r="F191">
            <v>0</v>
          </cell>
          <cell r="G191">
            <v>0</v>
          </cell>
          <cell r="H191">
            <v>0</v>
          </cell>
          <cell r="I191">
            <v>0</v>
          </cell>
          <cell r="J191">
            <v>0</v>
          </cell>
        </row>
        <row r="192">
          <cell r="A192">
            <v>3614</v>
          </cell>
          <cell r="B192" t="str">
            <v>Fabricacion De Colchones Y Somieres</v>
          </cell>
          <cell r="C192">
            <v>0</v>
          </cell>
          <cell r="D192">
            <v>0</v>
          </cell>
          <cell r="E192">
            <v>0</v>
          </cell>
          <cell r="F192">
            <v>0</v>
          </cell>
          <cell r="G192">
            <v>0</v>
          </cell>
          <cell r="H192">
            <v>0</v>
          </cell>
          <cell r="I192">
            <v>0</v>
          </cell>
          <cell r="J192">
            <v>0</v>
          </cell>
        </row>
        <row r="193">
          <cell r="A193">
            <v>3619</v>
          </cell>
          <cell r="B193" t="str">
            <v>Fabricacion De Otros Muebles Ncp</v>
          </cell>
          <cell r="C193">
            <v>0</v>
          </cell>
          <cell r="D193">
            <v>0</v>
          </cell>
          <cell r="E193">
            <v>0</v>
          </cell>
          <cell r="F193">
            <v>0</v>
          </cell>
          <cell r="G193">
            <v>0</v>
          </cell>
          <cell r="H193">
            <v>0</v>
          </cell>
          <cell r="I193">
            <v>0</v>
          </cell>
          <cell r="J193">
            <v>0</v>
          </cell>
        </row>
        <row r="194">
          <cell r="A194">
            <v>3691</v>
          </cell>
          <cell r="B194" t="str">
            <v>Fabricacion De Joyas Y De Articulos Conexos</v>
          </cell>
          <cell r="C194">
            <v>0</v>
          </cell>
          <cell r="D194">
            <v>0</v>
          </cell>
          <cell r="E194">
            <v>0</v>
          </cell>
          <cell r="F194">
            <v>0</v>
          </cell>
          <cell r="G194">
            <v>0</v>
          </cell>
          <cell r="H194">
            <v>0</v>
          </cell>
          <cell r="I194">
            <v>0</v>
          </cell>
          <cell r="J194">
            <v>0</v>
          </cell>
        </row>
        <row r="195">
          <cell r="A195">
            <v>3692</v>
          </cell>
          <cell r="B195" t="str">
            <v>Fabricacion De Instrumentos Musicales</v>
          </cell>
          <cell r="C195">
            <v>0</v>
          </cell>
          <cell r="D195">
            <v>0</v>
          </cell>
          <cell r="E195">
            <v>0</v>
          </cell>
          <cell r="F195">
            <v>0</v>
          </cell>
          <cell r="G195">
            <v>0</v>
          </cell>
          <cell r="H195">
            <v>0</v>
          </cell>
          <cell r="I195">
            <v>0</v>
          </cell>
          <cell r="J195">
            <v>0</v>
          </cell>
        </row>
        <row r="196">
          <cell r="A196">
            <v>3693</v>
          </cell>
          <cell r="B196" t="str">
            <v>Fabricacion De Articulos Deportivos</v>
          </cell>
          <cell r="C196">
            <v>0</v>
          </cell>
          <cell r="D196">
            <v>0</v>
          </cell>
          <cell r="E196">
            <v>0</v>
          </cell>
          <cell r="F196">
            <v>0</v>
          </cell>
          <cell r="G196">
            <v>0</v>
          </cell>
          <cell r="H196">
            <v>0</v>
          </cell>
          <cell r="I196">
            <v>0</v>
          </cell>
          <cell r="J196">
            <v>0</v>
          </cell>
        </row>
        <row r="197">
          <cell r="A197">
            <v>3694</v>
          </cell>
          <cell r="B197" t="str">
            <v>Fabricacion De Juegos Y Juguetes</v>
          </cell>
          <cell r="C197">
            <v>0</v>
          </cell>
          <cell r="D197">
            <v>0</v>
          </cell>
          <cell r="E197">
            <v>0</v>
          </cell>
          <cell r="F197">
            <v>0</v>
          </cell>
          <cell r="G197">
            <v>0</v>
          </cell>
          <cell r="H197">
            <v>0</v>
          </cell>
          <cell r="I197">
            <v>0</v>
          </cell>
          <cell r="J197">
            <v>0</v>
          </cell>
        </row>
        <row r="198">
          <cell r="A198">
            <v>3699</v>
          </cell>
          <cell r="B198" t="str">
            <v>Otras Industrias Manufactureras Ncp</v>
          </cell>
          <cell r="C198">
            <v>0</v>
          </cell>
          <cell r="D198">
            <v>0</v>
          </cell>
          <cell r="E198">
            <v>0</v>
          </cell>
          <cell r="F198">
            <v>0</v>
          </cell>
          <cell r="G198">
            <v>0</v>
          </cell>
          <cell r="H198">
            <v>0</v>
          </cell>
          <cell r="I198">
            <v>0</v>
          </cell>
          <cell r="J198">
            <v>0</v>
          </cell>
        </row>
        <row r="199">
          <cell r="A199">
            <v>3710</v>
          </cell>
          <cell r="B199" t="str">
            <v>Reciclaje De Desperdicios Y De Desechos Metalicos</v>
          </cell>
          <cell r="C199">
            <v>0</v>
          </cell>
          <cell r="D199">
            <v>0</v>
          </cell>
          <cell r="E199">
            <v>0</v>
          </cell>
          <cell r="F199">
            <v>0</v>
          </cell>
          <cell r="G199">
            <v>0</v>
          </cell>
          <cell r="H199">
            <v>0</v>
          </cell>
          <cell r="I199">
            <v>0</v>
          </cell>
          <cell r="J199">
            <v>0</v>
          </cell>
        </row>
        <row r="200">
          <cell r="A200">
            <v>3720</v>
          </cell>
          <cell r="B200" t="str">
            <v>Reciclaje De Desperdicios Y Desechos No Metalicos</v>
          </cell>
          <cell r="C200">
            <v>0</v>
          </cell>
          <cell r="D200">
            <v>0</v>
          </cell>
          <cell r="E200">
            <v>0</v>
          </cell>
          <cell r="F200">
            <v>0</v>
          </cell>
          <cell r="G200">
            <v>0</v>
          </cell>
          <cell r="H200">
            <v>0</v>
          </cell>
          <cell r="I200">
            <v>0</v>
          </cell>
          <cell r="J200">
            <v>0</v>
          </cell>
        </row>
        <row r="201">
          <cell r="A201">
            <v>4010</v>
          </cell>
          <cell r="B201" t="str">
            <v>Generacion, Captacion Y Distrivbucion De Energia Electrica</v>
          </cell>
          <cell r="C201">
            <v>0</v>
          </cell>
          <cell r="D201">
            <v>0</v>
          </cell>
          <cell r="E201">
            <v>0</v>
          </cell>
          <cell r="F201">
            <v>0</v>
          </cell>
          <cell r="G201">
            <v>0</v>
          </cell>
          <cell r="H201">
            <v>0</v>
          </cell>
          <cell r="I201">
            <v>0</v>
          </cell>
          <cell r="J201">
            <v>0</v>
          </cell>
        </row>
        <row r="202">
          <cell r="A202">
            <v>4020</v>
          </cell>
          <cell r="B202" t="str">
            <v>Fabricacion De Gas; Distribucion De Combustibles Gaseosos Por Tuberias</v>
          </cell>
          <cell r="C202">
            <v>0</v>
          </cell>
          <cell r="D202">
            <v>0</v>
          </cell>
          <cell r="E202">
            <v>0</v>
          </cell>
          <cell r="F202">
            <v>0</v>
          </cell>
          <cell r="G202">
            <v>0</v>
          </cell>
          <cell r="H202">
            <v>0</v>
          </cell>
          <cell r="I202">
            <v>0</v>
          </cell>
          <cell r="J202">
            <v>0</v>
          </cell>
        </row>
        <row r="203">
          <cell r="A203">
            <v>4030</v>
          </cell>
          <cell r="B203" t="str">
            <v>Suministro De Vapor Y Agua Caliente</v>
          </cell>
          <cell r="C203">
            <v>0</v>
          </cell>
          <cell r="D203">
            <v>0</v>
          </cell>
          <cell r="E203">
            <v>0</v>
          </cell>
          <cell r="F203">
            <v>0</v>
          </cell>
          <cell r="G203">
            <v>0</v>
          </cell>
          <cell r="H203">
            <v>0</v>
          </cell>
          <cell r="I203">
            <v>0</v>
          </cell>
          <cell r="J203">
            <v>0</v>
          </cell>
        </row>
        <row r="204">
          <cell r="A204">
            <v>4100</v>
          </cell>
          <cell r="B204" t="str">
            <v>Captacion, Depuracion Y Distribucion De Agua</v>
          </cell>
          <cell r="C204">
            <v>0</v>
          </cell>
          <cell r="D204">
            <v>0</v>
          </cell>
          <cell r="E204">
            <v>0</v>
          </cell>
          <cell r="F204">
            <v>0</v>
          </cell>
          <cell r="G204">
            <v>0</v>
          </cell>
          <cell r="H204">
            <v>0</v>
          </cell>
          <cell r="I204">
            <v>0</v>
          </cell>
          <cell r="J204">
            <v>0</v>
          </cell>
        </row>
        <row r="205">
          <cell r="A205">
            <v>4511</v>
          </cell>
          <cell r="B205" t="str">
            <v>Trabajos De Demolicion Y Preparacion De Terrenos Para La Construccion De Edificaciones</v>
          </cell>
          <cell r="C205">
            <v>0</v>
          </cell>
          <cell r="D205">
            <v>0</v>
          </cell>
          <cell r="E205">
            <v>0</v>
          </cell>
          <cell r="F205">
            <v>0</v>
          </cell>
          <cell r="G205">
            <v>0</v>
          </cell>
          <cell r="H205">
            <v>0</v>
          </cell>
          <cell r="I205">
            <v>0</v>
          </cell>
          <cell r="J205">
            <v>0</v>
          </cell>
        </row>
        <row r="206">
          <cell r="A206">
            <v>4512</v>
          </cell>
          <cell r="B206" t="str">
            <v>Trabajos De Preparacion De Terrenos Para Obras Civiles</v>
          </cell>
          <cell r="C206">
            <v>0</v>
          </cell>
          <cell r="D206">
            <v>0</v>
          </cell>
          <cell r="E206">
            <v>0</v>
          </cell>
          <cell r="F206">
            <v>0</v>
          </cell>
          <cell r="G206">
            <v>0</v>
          </cell>
          <cell r="H206">
            <v>0</v>
          </cell>
          <cell r="I206">
            <v>0</v>
          </cell>
          <cell r="J206">
            <v>0</v>
          </cell>
        </row>
        <row r="207">
          <cell r="A207">
            <v>4521</v>
          </cell>
          <cell r="B207" t="str">
            <v>Construccion De Edificaciones Para Uso Residencial</v>
          </cell>
          <cell r="C207">
            <v>0</v>
          </cell>
          <cell r="D207">
            <v>0</v>
          </cell>
          <cell r="E207">
            <v>0</v>
          </cell>
          <cell r="F207">
            <v>0</v>
          </cell>
          <cell r="G207">
            <v>0</v>
          </cell>
          <cell r="H207">
            <v>0</v>
          </cell>
          <cell r="I207">
            <v>0</v>
          </cell>
          <cell r="J207">
            <v>0</v>
          </cell>
        </row>
        <row r="208">
          <cell r="A208">
            <v>4522</v>
          </cell>
          <cell r="B208" t="str">
            <v>Construccion De Edificaciones Para Uso No Residencial</v>
          </cell>
          <cell r="C208">
            <v>0</v>
          </cell>
          <cell r="D208">
            <v>0</v>
          </cell>
          <cell r="E208">
            <v>0</v>
          </cell>
          <cell r="F208">
            <v>0</v>
          </cell>
          <cell r="G208">
            <v>0</v>
          </cell>
          <cell r="H208">
            <v>0</v>
          </cell>
          <cell r="I208">
            <v>0</v>
          </cell>
          <cell r="J208">
            <v>0</v>
          </cell>
        </row>
        <row r="209">
          <cell r="A209">
            <v>4530</v>
          </cell>
          <cell r="B209" t="str">
            <v>Construccion De Obras De Ingenieria Civil</v>
          </cell>
          <cell r="C209">
            <v>0</v>
          </cell>
          <cell r="D209">
            <v>0</v>
          </cell>
          <cell r="E209">
            <v>0</v>
          </cell>
          <cell r="F209">
            <v>0</v>
          </cell>
          <cell r="G209">
            <v>0</v>
          </cell>
          <cell r="H209">
            <v>0</v>
          </cell>
          <cell r="I209">
            <v>0</v>
          </cell>
          <cell r="J209">
            <v>0</v>
          </cell>
        </row>
        <row r="210">
          <cell r="A210">
            <v>4541</v>
          </cell>
          <cell r="B210" t="str">
            <v>Instalaciones Hidraulicas Y Trabajos Conexos</v>
          </cell>
          <cell r="C210">
            <v>0</v>
          </cell>
          <cell r="D210">
            <v>0</v>
          </cell>
          <cell r="E210">
            <v>0</v>
          </cell>
          <cell r="F210">
            <v>0</v>
          </cell>
          <cell r="G210">
            <v>0</v>
          </cell>
          <cell r="H210">
            <v>0</v>
          </cell>
          <cell r="I210">
            <v>0</v>
          </cell>
          <cell r="J210">
            <v>0</v>
          </cell>
        </row>
        <row r="211">
          <cell r="A211">
            <v>4542</v>
          </cell>
          <cell r="B211" t="str">
            <v>Trabajos De Electricidad</v>
          </cell>
          <cell r="C211">
            <v>0</v>
          </cell>
          <cell r="D211">
            <v>0</v>
          </cell>
          <cell r="E211">
            <v>0</v>
          </cell>
          <cell r="F211">
            <v>0</v>
          </cell>
          <cell r="G211">
            <v>0</v>
          </cell>
          <cell r="H211">
            <v>0</v>
          </cell>
          <cell r="I211">
            <v>0</v>
          </cell>
          <cell r="J211">
            <v>0</v>
          </cell>
        </row>
        <row r="212">
          <cell r="A212">
            <v>4543</v>
          </cell>
          <cell r="B212" t="str">
            <v>Trabajos De Instalacion De Equipos</v>
          </cell>
          <cell r="C212">
            <v>0</v>
          </cell>
          <cell r="D212">
            <v>0</v>
          </cell>
          <cell r="E212">
            <v>0</v>
          </cell>
          <cell r="F212">
            <v>0</v>
          </cell>
          <cell r="G212">
            <v>0</v>
          </cell>
          <cell r="H212">
            <v>0</v>
          </cell>
          <cell r="I212">
            <v>0</v>
          </cell>
          <cell r="J212">
            <v>0</v>
          </cell>
        </row>
        <row r="213">
          <cell r="A213">
            <v>4549</v>
          </cell>
          <cell r="B213" t="str">
            <v>Otros Trabajos De Acondicionamiento</v>
          </cell>
          <cell r="C213">
            <v>0</v>
          </cell>
          <cell r="D213">
            <v>0</v>
          </cell>
          <cell r="E213">
            <v>0</v>
          </cell>
          <cell r="F213">
            <v>0</v>
          </cell>
          <cell r="G213">
            <v>0</v>
          </cell>
          <cell r="H213">
            <v>0</v>
          </cell>
          <cell r="I213">
            <v>0</v>
          </cell>
          <cell r="J213">
            <v>0</v>
          </cell>
        </row>
        <row r="214">
          <cell r="A214">
            <v>4551</v>
          </cell>
          <cell r="B214" t="str">
            <v>Ornamentacion E Instalacion De Vidrios Y Ventanas</v>
          </cell>
          <cell r="C214">
            <v>0</v>
          </cell>
          <cell r="D214">
            <v>0</v>
          </cell>
          <cell r="E214">
            <v>0</v>
          </cell>
          <cell r="F214">
            <v>0</v>
          </cell>
          <cell r="G214">
            <v>0</v>
          </cell>
          <cell r="H214">
            <v>0</v>
          </cell>
          <cell r="I214">
            <v>0</v>
          </cell>
          <cell r="J214">
            <v>0</v>
          </cell>
        </row>
        <row r="215">
          <cell r="A215">
            <v>4552</v>
          </cell>
          <cell r="B215" t="str">
            <v>Trabajos De Pintura Y Terminacion De Muros Y Pisos</v>
          </cell>
          <cell r="C215">
            <v>0</v>
          </cell>
          <cell r="D215">
            <v>0</v>
          </cell>
          <cell r="E215">
            <v>0</v>
          </cell>
          <cell r="F215">
            <v>0</v>
          </cell>
          <cell r="G215">
            <v>0</v>
          </cell>
          <cell r="H215">
            <v>0</v>
          </cell>
          <cell r="I215">
            <v>0</v>
          </cell>
          <cell r="J215">
            <v>0</v>
          </cell>
        </row>
        <row r="216">
          <cell r="A216">
            <v>4559</v>
          </cell>
          <cell r="B216" t="str">
            <v>Otros Trabajos De Terminacion Y Acabado</v>
          </cell>
          <cell r="C216">
            <v>0</v>
          </cell>
          <cell r="D216">
            <v>0</v>
          </cell>
          <cell r="E216">
            <v>0</v>
          </cell>
          <cell r="F216">
            <v>0</v>
          </cell>
          <cell r="G216">
            <v>0</v>
          </cell>
          <cell r="H216">
            <v>0</v>
          </cell>
          <cell r="I216">
            <v>0</v>
          </cell>
          <cell r="J216">
            <v>0</v>
          </cell>
        </row>
        <row r="217">
          <cell r="A217">
            <v>4560</v>
          </cell>
          <cell r="B217" t="str">
            <v>Alquiler De Equipo Para Construccion Y Demolicion Dotado De Operarios</v>
          </cell>
          <cell r="C217">
            <v>0</v>
          </cell>
          <cell r="D217">
            <v>0</v>
          </cell>
          <cell r="E217">
            <v>0</v>
          </cell>
          <cell r="F217">
            <v>0</v>
          </cell>
          <cell r="G217">
            <v>0</v>
          </cell>
          <cell r="H217">
            <v>0</v>
          </cell>
          <cell r="I217">
            <v>0</v>
          </cell>
          <cell r="J217">
            <v>0</v>
          </cell>
        </row>
        <row r="218">
          <cell r="A218">
            <v>5011</v>
          </cell>
          <cell r="B218" t="str">
            <v>Comercio De Vehiculos Automotores Nuevos</v>
          </cell>
          <cell r="C218">
            <v>0</v>
          </cell>
          <cell r="D218">
            <v>0</v>
          </cell>
          <cell r="E218">
            <v>0</v>
          </cell>
          <cell r="F218">
            <v>0</v>
          </cell>
          <cell r="G218">
            <v>0</v>
          </cell>
          <cell r="H218">
            <v>0</v>
          </cell>
          <cell r="I218">
            <v>0</v>
          </cell>
          <cell r="J218">
            <v>0</v>
          </cell>
        </row>
        <row r="219">
          <cell r="A219">
            <v>5012</v>
          </cell>
          <cell r="B219" t="str">
            <v>Comercio De Vehiculos Automotores Usados</v>
          </cell>
          <cell r="C219">
            <v>0</v>
          </cell>
          <cell r="D219">
            <v>0</v>
          </cell>
          <cell r="E219">
            <v>0</v>
          </cell>
          <cell r="F219">
            <v>0</v>
          </cell>
          <cell r="G219">
            <v>0</v>
          </cell>
          <cell r="H219">
            <v>0</v>
          </cell>
          <cell r="I219">
            <v>0</v>
          </cell>
          <cell r="J219">
            <v>0</v>
          </cell>
        </row>
        <row r="220">
          <cell r="A220">
            <v>5020</v>
          </cell>
          <cell r="B220" t="str">
            <v>Mantenimiento Y Reparacion De Vehiculos Automotores</v>
          </cell>
          <cell r="C220">
            <v>0</v>
          </cell>
          <cell r="D220">
            <v>0</v>
          </cell>
          <cell r="E220">
            <v>0</v>
          </cell>
          <cell r="F220">
            <v>0</v>
          </cell>
          <cell r="G220">
            <v>0</v>
          </cell>
          <cell r="H220">
            <v>0</v>
          </cell>
          <cell r="I220">
            <v>0</v>
          </cell>
          <cell r="J220">
            <v>0</v>
          </cell>
        </row>
        <row r="221">
          <cell r="A221">
            <v>5030</v>
          </cell>
          <cell r="B221" t="str">
            <v>Comercio De Partes, Piezas (Autopartes) Y Accesorios (Lujos) Para Vehiculos Automotores</v>
          </cell>
          <cell r="C221">
            <v>0</v>
          </cell>
          <cell r="D221">
            <v>0</v>
          </cell>
          <cell r="E221">
            <v>0</v>
          </cell>
          <cell r="F221">
            <v>0</v>
          </cell>
          <cell r="G221">
            <v>0</v>
          </cell>
          <cell r="H221">
            <v>0</v>
          </cell>
          <cell r="I221">
            <v>0</v>
          </cell>
          <cell r="J221">
            <v>0</v>
          </cell>
        </row>
        <row r="222">
          <cell r="A222">
            <v>5040</v>
          </cell>
          <cell r="B222" t="str">
            <v>Comercio, Mantenimiento Y Reparacion De Motocicletas Y De Sus Partes, Piezas Y Accesorios</v>
          </cell>
          <cell r="C222">
            <v>0</v>
          </cell>
          <cell r="D222">
            <v>0</v>
          </cell>
          <cell r="E222">
            <v>0</v>
          </cell>
          <cell r="F222">
            <v>0</v>
          </cell>
          <cell r="G222">
            <v>0</v>
          </cell>
          <cell r="H222">
            <v>0</v>
          </cell>
          <cell r="I222">
            <v>0</v>
          </cell>
          <cell r="J222">
            <v>0</v>
          </cell>
        </row>
        <row r="223">
          <cell r="A223">
            <v>5051</v>
          </cell>
          <cell r="B223" t="str">
            <v>Comercio Al Por Menor De Combustible Para Automotores</v>
          </cell>
          <cell r="C223">
            <v>0</v>
          </cell>
          <cell r="D223">
            <v>0</v>
          </cell>
          <cell r="E223">
            <v>0</v>
          </cell>
          <cell r="F223">
            <v>0</v>
          </cell>
          <cell r="G223">
            <v>0</v>
          </cell>
          <cell r="H223">
            <v>0</v>
          </cell>
          <cell r="I223">
            <v>0</v>
          </cell>
          <cell r="J223">
            <v>0</v>
          </cell>
        </row>
        <row r="224">
          <cell r="A224">
            <v>5052</v>
          </cell>
          <cell r="B224" t="str">
            <v>Comercio Al Por Menor De Lubricantes (Aceites, Grasas), Aditivos Y Productos De Limpieza Para Vehiculos Automotores</v>
          </cell>
          <cell r="C224">
            <v>0</v>
          </cell>
          <cell r="D224">
            <v>0</v>
          </cell>
          <cell r="E224">
            <v>0</v>
          </cell>
          <cell r="F224">
            <v>0</v>
          </cell>
          <cell r="G224">
            <v>0</v>
          </cell>
          <cell r="H224">
            <v>0</v>
          </cell>
          <cell r="I224">
            <v>0</v>
          </cell>
          <cell r="J224">
            <v>0</v>
          </cell>
        </row>
        <row r="225">
          <cell r="A225">
            <v>5111</v>
          </cell>
          <cell r="B225" t="str">
            <v>Comercio Al Por Mayor A Cambio  De Una Retribucion O Por Contrata De Productos Agricolas (Excepto Cafe), Silvicolas Y De Animales Vivos Y Sus Produ</v>
          </cell>
          <cell r="C225">
            <v>0</v>
          </cell>
          <cell r="D225">
            <v>0</v>
          </cell>
          <cell r="E225">
            <v>0</v>
          </cell>
          <cell r="F225">
            <v>0</v>
          </cell>
          <cell r="G225">
            <v>0</v>
          </cell>
          <cell r="H225">
            <v>0</v>
          </cell>
          <cell r="I225">
            <v>0</v>
          </cell>
          <cell r="J225">
            <v>0</v>
          </cell>
        </row>
        <row r="226">
          <cell r="A226">
            <v>5112</v>
          </cell>
          <cell r="B226" t="str">
            <v>Comercio Al Por Mayor A Cambio De Una Retribucion O Por Contrata De Cafe Pergamino</v>
          </cell>
          <cell r="C226">
            <v>0</v>
          </cell>
          <cell r="D226">
            <v>0</v>
          </cell>
          <cell r="E226">
            <v>0</v>
          </cell>
          <cell r="F226">
            <v>0</v>
          </cell>
          <cell r="G226">
            <v>0</v>
          </cell>
          <cell r="H226">
            <v>0</v>
          </cell>
          <cell r="I226">
            <v>0</v>
          </cell>
          <cell r="J226">
            <v>0</v>
          </cell>
        </row>
        <row r="227">
          <cell r="A227">
            <v>5113</v>
          </cell>
          <cell r="B227" t="str">
            <v>Comercio Al Por Mayor A Cambio De Una Retribucion O Por Contrata De Productos Manufacturados</v>
          </cell>
          <cell r="C227">
            <v>0</v>
          </cell>
          <cell r="D227">
            <v>0</v>
          </cell>
          <cell r="E227">
            <v>0</v>
          </cell>
          <cell r="F227">
            <v>0</v>
          </cell>
          <cell r="G227">
            <v>0</v>
          </cell>
          <cell r="H227">
            <v>0</v>
          </cell>
          <cell r="I227">
            <v>0</v>
          </cell>
          <cell r="J227">
            <v>0</v>
          </cell>
        </row>
        <row r="228">
          <cell r="A228">
            <v>5119</v>
          </cell>
          <cell r="B228" t="str">
            <v>Comercio Al Por Mayor A Cambio De Uhna Retribucion O Por Contrata De Productos Ncp</v>
          </cell>
          <cell r="C228">
            <v>0</v>
          </cell>
          <cell r="D228">
            <v>0</v>
          </cell>
          <cell r="E228">
            <v>0</v>
          </cell>
          <cell r="F228">
            <v>0</v>
          </cell>
          <cell r="G228">
            <v>0</v>
          </cell>
          <cell r="H228">
            <v>0</v>
          </cell>
          <cell r="I228">
            <v>0</v>
          </cell>
          <cell r="J228">
            <v>0</v>
          </cell>
        </row>
        <row r="229">
          <cell r="A229">
            <v>5121</v>
          </cell>
          <cell r="B229" t="str">
            <v>Comercio Al Por Mayor De Materias Primas, Productos Agricolas, Excepto Cafe Y Flores</v>
          </cell>
          <cell r="C229">
            <v>0</v>
          </cell>
          <cell r="D229">
            <v>0</v>
          </cell>
          <cell r="E229">
            <v>0</v>
          </cell>
          <cell r="F229">
            <v>0</v>
          </cell>
          <cell r="G229">
            <v>0</v>
          </cell>
          <cell r="H229">
            <v>0</v>
          </cell>
          <cell r="I229">
            <v>0</v>
          </cell>
          <cell r="J229">
            <v>0</v>
          </cell>
        </row>
        <row r="230">
          <cell r="A230">
            <v>5122</v>
          </cell>
          <cell r="B230" t="str">
            <v>Comercio Al Por Mayor De Cafe Pergamino</v>
          </cell>
          <cell r="C230">
            <v>0</v>
          </cell>
          <cell r="D230">
            <v>0</v>
          </cell>
          <cell r="E230">
            <v>0</v>
          </cell>
          <cell r="F230">
            <v>0</v>
          </cell>
          <cell r="G230">
            <v>0</v>
          </cell>
          <cell r="H230">
            <v>0</v>
          </cell>
          <cell r="I230">
            <v>0</v>
          </cell>
          <cell r="J230">
            <v>0</v>
          </cell>
        </row>
        <row r="231">
          <cell r="A231">
            <v>5123</v>
          </cell>
          <cell r="B231" t="str">
            <v>Comercio Al Por Mayor De Flores Y Plantas Ornamentales</v>
          </cell>
          <cell r="C231">
            <v>0</v>
          </cell>
          <cell r="D231">
            <v>0</v>
          </cell>
          <cell r="E231">
            <v>0</v>
          </cell>
          <cell r="F231">
            <v>0</v>
          </cell>
          <cell r="G231">
            <v>0</v>
          </cell>
          <cell r="H231">
            <v>0</v>
          </cell>
          <cell r="I231">
            <v>0</v>
          </cell>
          <cell r="J231">
            <v>0</v>
          </cell>
        </row>
        <row r="232">
          <cell r="A232">
            <v>5124</v>
          </cell>
          <cell r="B232" t="str">
            <v>Comercio Al Por Mayor De Materias Primas Pecuarias, Animales Vivos</v>
          </cell>
          <cell r="C232">
            <v>0</v>
          </cell>
          <cell r="D232">
            <v>0</v>
          </cell>
          <cell r="E232">
            <v>0</v>
          </cell>
          <cell r="F232">
            <v>0</v>
          </cell>
          <cell r="G232">
            <v>0</v>
          </cell>
          <cell r="H232">
            <v>0</v>
          </cell>
          <cell r="I232">
            <v>0</v>
          </cell>
          <cell r="J232">
            <v>0</v>
          </cell>
        </row>
        <row r="233">
          <cell r="A233">
            <v>5125</v>
          </cell>
          <cell r="B233" t="str">
            <v>Comercio Al Por Mayor De Productos Alimenticios, Excepto Cafe Trillado</v>
          </cell>
          <cell r="C233">
            <v>0</v>
          </cell>
          <cell r="D233">
            <v>0</v>
          </cell>
          <cell r="E233">
            <v>0</v>
          </cell>
          <cell r="F233">
            <v>0</v>
          </cell>
          <cell r="G233">
            <v>0</v>
          </cell>
          <cell r="H233">
            <v>0</v>
          </cell>
          <cell r="I233">
            <v>0</v>
          </cell>
          <cell r="J233">
            <v>0</v>
          </cell>
        </row>
        <row r="234">
          <cell r="A234">
            <v>5126</v>
          </cell>
          <cell r="B234" t="str">
            <v>Comercio Al Por Mayor De Cafe Trillado</v>
          </cell>
          <cell r="C234">
            <v>0</v>
          </cell>
          <cell r="D234">
            <v>0</v>
          </cell>
          <cell r="E234">
            <v>0</v>
          </cell>
          <cell r="F234">
            <v>0</v>
          </cell>
          <cell r="G234">
            <v>0</v>
          </cell>
          <cell r="H234">
            <v>0</v>
          </cell>
          <cell r="I234">
            <v>0</v>
          </cell>
          <cell r="J234">
            <v>0</v>
          </cell>
        </row>
        <row r="235">
          <cell r="A235">
            <v>5127</v>
          </cell>
          <cell r="B235" t="str">
            <v>Comercio Al Por Mayor De Bebidas Y Productos Del Tabaco</v>
          </cell>
          <cell r="C235">
            <v>0</v>
          </cell>
          <cell r="D235">
            <v>0</v>
          </cell>
          <cell r="E235">
            <v>0</v>
          </cell>
          <cell r="F235">
            <v>0</v>
          </cell>
          <cell r="G235">
            <v>0</v>
          </cell>
          <cell r="H235">
            <v>0</v>
          </cell>
          <cell r="I235">
            <v>0</v>
          </cell>
          <cell r="J235">
            <v>0</v>
          </cell>
        </row>
        <row r="236">
          <cell r="A236">
            <v>5131</v>
          </cell>
          <cell r="B236" t="str">
            <v>Comercio al por mayor de productos textiles, productos confeccionados para uso domestico</v>
          </cell>
          <cell r="C236">
            <v>0</v>
          </cell>
          <cell r="D236">
            <v>0</v>
          </cell>
          <cell r="E236">
            <v>0</v>
          </cell>
          <cell r="F236">
            <v>0</v>
          </cell>
          <cell r="G236">
            <v>0</v>
          </cell>
          <cell r="H236">
            <v>0</v>
          </cell>
          <cell r="I236">
            <v>0</v>
          </cell>
          <cell r="J236">
            <v>0</v>
          </cell>
        </row>
        <row r="237">
          <cell r="A237">
            <v>5132</v>
          </cell>
          <cell r="B237" t="str">
            <v>Comercio Al Por Mayor De Prendas De Vestir, Accesorios De Prendas De Vestir Y Articulos Elaborados En Piel</v>
          </cell>
          <cell r="C237">
            <v>0</v>
          </cell>
          <cell r="D237">
            <v>0</v>
          </cell>
          <cell r="E237">
            <v>0</v>
          </cell>
          <cell r="F237">
            <v>0</v>
          </cell>
          <cell r="G237">
            <v>0</v>
          </cell>
          <cell r="H237">
            <v>0</v>
          </cell>
          <cell r="I237">
            <v>0</v>
          </cell>
          <cell r="J237">
            <v>0</v>
          </cell>
        </row>
        <row r="238">
          <cell r="A238">
            <v>5133</v>
          </cell>
          <cell r="B238" t="str">
            <v>Comercio Al Por Mayor De Calzado</v>
          </cell>
          <cell r="C238">
            <v>0</v>
          </cell>
          <cell r="D238">
            <v>0</v>
          </cell>
          <cell r="E238">
            <v>0</v>
          </cell>
          <cell r="F238">
            <v>0</v>
          </cell>
          <cell r="G238">
            <v>0</v>
          </cell>
          <cell r="H238">
            <v>0</v>
          </cell>
          <cell r="I238">
            <v>0</v>
          </cell>
          <cell r="J238">
            <v>0</v>
          </cell>
        </row>
        <row r="239">
          <cell r="A239">
            <v>5134</v>
          </cell>
          <cell r="B239" t="str">
            <v>Comercio Al Por Mayor De Aparatos, Articulos Y Equipos De Uso Domestico</v>
          </cell>
          <cell r="C239">
            <v>0</v>
          </cell>
          <cell r="D239">
            <v>0</v>
          </cell>
          <cell r="E239">
            <v>0</v>
          </cell>
          <cell r="F239">
            <v>0</v>
          </cell>
          <cell r="G239">
            <v>0</v>
          </cell>
          <cell r="H239">
            <v>0</v>
          </cell>
          <cell r="I239">
            <v>0</v>
          </cell>
          <cell r="J239">
            <v>0</v>
          </cell>
        </row>
        <row r="240">
          <cell r="A240">
            <v>5135</v>
          </cell>
          <cell r="B240" t="str">
            <v>Comercio Al Por Mayor De Productos Farmaceuticos, Medicinales, Cosmeticos Y De Tocador</v>
          </cell>
          <cell r="C240">
            <v>0</v>
          </cell>
          <cell r="D240">
            <v>0</v>
          </cell>
          <cell r="E240">
            <v>0</v>
          </cell>
          <cell r="F240">
            <v>0</v>
          </cell>
          <cell r="G240">
            <v>0</v>
          </cell>
          <cell r="H240">
            <v>0</v>
          </cell>
          <cell r="I240">
            <v>0</v>
          </cell>
          <cell r="J240">
            <v>0</v>
          </cell>
        </row>
        <row r="241">
          <cell r="A241">
            <v>5136</v>
          </cell>
          <cell r="B241" t="str">
            <v>Comercio Al Por Mayor De Equipos medicos, Quirurgicos Y De Aparatos Ortesicos Y Protesicos</v>
          </cell>
          <cell r="C241">
            <v>0</v>
          </cell>
          <cell r="D241">
            <v>0</v>
          </cell>
          <cell r="E241">
            <v>0</v>
          </cell>
          <cell r="F241">
            <v>0</v>
          </cell>
          <cell r="G241">
            <v>0</v>
          </cell>
          <cell r="H241">
            <v>0</v>
          </cell>
          <cell r="I241">
            <v>0</v>
          </cell>
          <cell r="J241">
            <v>0</v>
          </cell>
        </row>
        <row r="242">
          <cell r="A242">
            <v>5137</v>
          </cell>
          <cell r="B242" t="str">
            <v>Comercio Al Por Mayor De Papel Y Carton; Productos De Papel Y Carton</v>
          </cell>
          <cell r="C242">
            <v>0</v>
          </cell>
          <cell r="D242">
            <v>0</v>
          </cell>
          <cell r="E242">
            <v>0</v>
          </cell>
          <cell r="F242">
            <v>0</v>
          </cell>
          <cell r="G242">
            <v>0</v>
          </cell>
          <cell r="H242">
            <v>0</v>
          </cell>
          <cell r="I242">
            <v>0</v>
          </cell>
          <cell r="J242">
            <v>0</v>
          </cell>
        </row>
        <row r="243">
          <cell r="A243">
            <v>5139</v>
          </cell>
          <cell r="B243" t="str">
            <v>Comercio Al Por Mayor De Otros Productos De Consumo Ncp</v>
          </cell>
          <cell r="C243">
            <v>0</v>
          </cell>
          <cell r="D243">
            <v>0</v>
          </cell>
          <cell r="E243">
            <v>0</v>
          </cell>
          <cell r="F243">
            <v>0</v>
          </cell>
          <cell r="G243">
            <v>0</v>
          </cell>
          <cell r="H243">
            <v>0</v>
          </cell>
          <cell r="I243">
            <v>0</v>
          </cell>
          <cell r="J243">
            <v>0</v>
          </cell>
        </row>
        <row r="244">
          <cell r="A244">
            <v>5141</v>
          </cell>
          <cell r="B244" t="str">
            <v>Comercio Al Por Mayor De Materiales De Construccion, Ferreteria Y Vidrio</v>
          </cell>
          <cell r="C244">
            <v>0</v>
          </cell>
          <cell r="D244">
            <v>0</v>
          </cell>
          <cell r="E244">
            <v>0</v>
          </cell>
          <cell r="F244">
            <v>0</v>
          </cell>
          <cell r="G244">
            <v>0</v>
          </cell>
          <cell r="H244">
            <v>0</v>
          </cell>
          <cell r="I244">
            <v>0</v>
          </cell>
          <cell r="J244">
            <v>0</v>
          </cell>
        </row>
        <row r="245">
          <cell r="A245">
            <v>5142</v>
          </cell>
          <cell r="B245" t="str">
            <v>Comercio Al Por Mayor De Pinturas Y Productos Conexos</v>
          </cell>
          <cell r="C245">
            <v>0</v>
          </cell>
          <cell r="D245">
            <v>0</v>
          </cell>
          <cell r="E245">
            <v>0</v>
          </cell>
          <cell r="F245">
            <v>0</v>
          </cell>
          <cell r="G245">
            <v>0</v>
          </cell>
          <cell r="H245">
            <v>0</v>
          </cell>
          <cell r="I245">
            <v>0</v>
          </cell>
          <cell r="J245">
            <v>0</v>
          </cell>
        </row>
        <row r="246">
          <cell r="A246">
            <v>5151</v>
          </cell>
          <cell r="B246" t="str">
            <v>Comercio Al Por Mayor De Combustibles Solidos, Liquidos, Gaseosos Y Productos Conexos</v>
          </cell>
          <cell r="C246">
            <v>0</v>
          </cell>
          <cell r="D246">
            <v>0</v>
          </cell>
          <cell r="E246">
            <v>0</v>
          </cell>
          <cell r="F246">
            <v>0</v>
          </cell>
          <cell r="G246">
            <v>0</v>
          </cell>
          <cell r="H246">
            <v>0</v>
          </cell>
          <cell r="I246">
            <v>0</v>
          </cell>
          <cell r="J246">
            <v>0</v>
          </cell>
        </row>
        <row r="247">
          <cell r="A247">
            <v>5152</v>
          </cell>
          <cell r="B247" t="str">
            <v>Comercio Al Por Mayor De Metales Y Minerales Metaliferos En Formas Primarias</v>
          </cell>
          <cell r="C247">
            <v>0</v>
          </cell>
          <cell r="D247">
            <v>0</v>
          </cell>
          <cell r="E247">
            <v>0</v>
          </cell>
          <cell r="F247">
            <v>0</v>
          </cell>
          <cell r="G247">
            <v>0</v>
          </cell>
          <cell r="H247">
            <v>0</v>
          </cell>
          <cell r="I247">
            <v>0</v>
          </cell>
          <cell r="J247">
            <v>0</v>
          </cell>
        </row>
        <row r="248">
          <cell r="A248">
            <v>5153</v>
          </cell>
          <cell r="B248" t="str">
            <v>Comercio Al Por Mayor De Productos Quimicos Basicos, Plasticos Y Caucho En Formas Primarias Y Productos Quimicos De Uso Agropecuario</v>
          </cell>
          <cell r="C248">
            <v>0</v>
          </cell>
          <cell r="D248">
            <v>0</v>
          </cell>
          <cell r="E248">
            <v>0</v>
          </cell>
          <cell r="F248">
            <v>0</v>
          </cell>
          <cell r="G248">
            <v>0</v>
          </cell>
          <cell r="H248">
            <v>0</v>
          </cell>
          <cell r="I248">
            <v>0</v>
          </cell>
          <cell r="J248">
            <v>0</v>
          </cell>
        </row>
        <row r="249">
          <cell r="A249">
            <v>5154</v>
          </cell>
          <cell r="B249" t="str">
            <v>Comercio Al Por Mayor De Fibras Textiles</v>
          </cell>
          <cell r="C249">
            <v>0</v>
          </cell>
          <cell r="D249">
            <v>0</v>
          </cell>
          <cell r="E249">
            <v>0</v>
          </cell>
          <cell r="F249">
            <v>0</v>
          </cell>
          <cell r="G249">
            <v>0</v>
          </cell>
          <cell r="H249">
            <v>0</v>
          </cell>
          <cell r="I249">
            <v>0</v>
          </cell>
          <cell r="J249">
            <v>0</v>
          </cell>
        </row>
        <row r="250">
          <cell r="A250">
            <v>5155</v>
          </cell>
          <cell r="B250" t="str">
            <v>Comercio Al Por Mayor De Desperdicios O Desechos Industriales Y Material Para Reciclaje</v>
          </cell>
          <cell r="C250">
            <v>0</v>
          </cell>
          <cell r="D250">
            <v>0</v>
          </cell>
          <cell r="E250">
            <v>0</v>
          </cell>
          <cell r="F250">
            <v>0</v>
          </cell>
          <cell r="G250">
            <v>0</v>
          </cell>
          <cell r="H250">
            <v>0</v>
          </cell>
          <cell r="I250">
            <v>0</v>
          </cell>
          <cell r="J250">
            <v>0</v>
          </cell>
        </row>
        <row r="251">
          <cell r="A251">
            <v>5159</v>
          </cell>
          <cell r="B251" t="str">
            <v>Comercio Al Por Mayor De Otros Productos Intermedios Ncp</v>
          </cell>
          <cell r="C251">
            <v>0</v>
          </cell>
          <cell r="D251">
            <v>0</v>
          </cell>
          <cell r="E251">
            <v>0</v>
          </cell>
          <cell r="F251">
            <v>0</v>
          </cell>
          <cell r="G251">
            <v>0</v>
          </cell>
          <cell r="H251">
            <v>0</v>
          </cell>
          <cell r="I251">
            <v>0</v>
          </cell>
          <cell r="J251">
            <v>0</v>
          </cell>
        </row>
        <row r="252">
          <cell r="A252">
            <v>5161</v>
          </cell>
          <cell r="B252" t="str">
            <v>Comercio Al Por Mayor De Maquinaria Y Equipo Para La Agricultura , Mineria, Construccion Y La Industria</v>
          </cell>
          <cell r="C252">
            <v>0</v>
          </cell>
          <cell r="D252">
            <v>0</v>
          </cell>
          <cell r="E252">
            <v>0</v>
          </cell>
          <cell r="F252">
            <v>0</v>
          </cell>
          <cell r="G252">
            <v>0</v>
          </cell>
          <cell r="H252">
            <v>0</v>
          </cell>
          <cell r="I252">
            <v>0</v>
          </cell>
          <cell r="J252">
            <v>0</v>
          </cell>
        </row>
        <row r="253">
          <cell r="A253">
            <v>5162</v>
          </cell>
          <cell r="B253" t="str">
            <v>Comercio Al Por Mayor De Equipo De Transporte, Excepto Vehiculos Automotores Y Motocicletas</v>
          </cell>
          <cell r="C253">
            <v>0</v>
          </cell>
          <cell r="D253">
            <v>0</v>
          </cell>
          <cell r="E253">
            <v>0</v>
          </cell>
          <cell r="F253">
            <v>0</v>
          </cell>
          <cell r="G253">
            <v>0</v>
          </cell>
          <cell r="H253">
            <v>0</v>
          </cell>
          <cell r="I253">
            <v>0</v>
          </cell>
          <cell r="J253">
            <v>0</v>
          </cell>
        </row>
        <row r="254">
          <cell r="A254">
            <v>5163</v>
          </cell>
          <cell r="B254" t="str">
            <v>Comercio Al Por Mayor De Maquinaria Para Oficina, Contabilidad E Informatica</v>
          </cell>
          <cell r="C254">
            <v>0</v>
          </cell>
          <cell r="D254">
            <v>0</v>
          </cell>
          <cell r="E254">
            <v>0</v>
          </cell>
          <cell r="F254">
            <v>0</v>
          </cell>
          <cell r="G254">
            <v>0</v>
          </cell>
          <cell r="H254">
            <v>0</v>
          </cell>
          <cell r="I254">
            <v>0</v>
          </cell>
          <cell r="J254">
            <v>0</v>
          </cell>
        </row>
        <row r="255">
          <cell r="A255">
            <v>5169</v>
          </cell>
          <cell r="B255" t="str">
            <v>Comercio Al Por Mayor De Maquinaria Y Equipo Ncp</v>
          </cell>
          <cell r="C255">
            <v>0</v>
          </cell>
          <cell r="D255">
            <v>0</v>
          </cell>
          <cell r="E255">
            <v>0</v>
          </cell>
          <cell r="F255">
            <v>0</v>
          </cell>
          <cell r="G255">
            <v>0</v>
          </cell>
          <cell r="H255">
            <v>0</v>
          </cell>
          <cell r="I255">
            <v>0</v>
          </cell>
          <cell r="J255">
            <v>0</v>
          </cell>
        </row>
        <row r="256">
          <cell r="A256">
            <v>5170</v>
          </cell>
          <cell r="B256" t="str">
            <v>Mantenimiento Y Reparacion De Maquinaria Y Equipo</v>
          </cell>
          <cell r="C256">
            <v>0</v>
          </cell>
          <cell r="D256">
            <v>0</v>
          </cell>
          <cell r="E256">
            <v>0</v>
          </cell>
          <cell r="F256">
            <v>0</v>
          </cell>
          <cell r="G256">
            <v>0</v>
          </cell>
          <cell r="H256">
            <v>0</v>
          </cell>
          <cell r="I256">
            <v>0</v>
          </cell>
          <cell r="J256">
            <v>0</v>
          </cell>
        </row>
        <row r="257">
          <cell r="A257">
            <v>5190</v>
          </cell>
          <cell r="B257" t="str">
            <v>Comercio Al Por Mayor De Productos Diversos Ncp</v>
          </cell>
          <cell r="C257">
            <v>0</v>
          </cell>
          <cell r="D257">
            <v>0</v>
          </cell>
          <cell r="E257">
            <v>0</v>
          </cell>
          <cell r="F257">
            <v>0</v>
          </cell>
          <cell r="G257">
            <v>0</v>
          </cell>
          <cell r="H257">
            <v>0</v>
          </cell>
          <cell r="I257">
            <v>0</v>
          </cell>
          <cell r="J257">
            <v>0</v>
          </cell>
        </row>
        <row r="258">
          <cell r="A258">
            <v>5211</v>
          </cell>
          <cell r="B258" t="str">
            <v>Comercio Al Por Menor, En Establecimientos No Especializados, Con Surtido Compuesto Principalmente De Alimentos (Vivieres En General), Bebidas Y Ta</v>
          </cell>
          <cell r="C258">
            <v>0</v>
          </cell>
          <cell r="D258">
            <v>0</v>
          </cell>
          <cell r="E258">
            <v>0</v>
          </cell>
          <cell r="F258">
            <v>0</v>
          </cell>
          <cell r="G258">
            <v>0</v>
          </cell>
          <cell r="H258">
            <v>0</v>
          </cell>
          <cell r="I258">
            <v>0</v>
          </cell>
          <cell r="J258">
            <v>0</v>
          </cell>
        </row>
        <row r="259">
          <cell r="A259">
            <v>5219</v>
          </cell>
          <cell r="B259" t="str">
            <v>Comercio Al Por Menor En Establecimientos No Especializados Con Surtido Compuesto Principalmente Por Productos Diferentes De Alimentos (Viveres En</v>
          </cell>
          <cell r="C259">
            <v>0</v>
          </cell>
          <cell r="D259">
            <v>0</v>
          </cell>
          <cell r="E259">
            <v>0</v>
          </cell>
          <cell r="F259">
            <v>0</v>
          </cell>
          <cell r="G259">
            <v>0</v>
          </cell>
          <cell r="H259">
            <v>0</v>
          </cell>
          <cell r="I259">
            <v>0</v>
          </cell>
          <cell r="J259">
            <v>0</v>
          </cell>
        </row>
        <row r="260">
          <cell r="A260">
            <v>5221</v>
          </cell>
          <cell r="B260" t="str">
            <v>Comercio Al Por Menor De Frutas Y Verduras, En Establecimientos Especializados</v>
          </cell>
          <cell r="C260">
            <v>0</v>
          </cell>
          <cell r="D260">
            <v>0</v>
          </cell>
          <cell r="E260">
            <v>0</v>
          </cell>
          <cell r="F260">
            <v>0</v>
          </cell>
          <cell r="G260">
            <v>0</v>
          </cell>
          <cell r="H260">
            <v>0</v>
          </cell>
          <cell r="I260">
            <v>0</v>
          </cell>
          <cell r="J260">
            <v>0</v>
          </cell>
        </row>
        <row r="261">
          <cell r="A261">
            <v>5222</v>
          </cell>
          <cell r="B261" t="str">
            <v>Comercio Al Por Menor De Leche, Productos Lacteos Y Huevos En Establecimientos Especializados</v>
          </cell>
          <cell r="C261">
            <v>0</v>
          </cell>
          <cell r="D261">
            <v>0</v>
          </cell>
          <cell r="E261">
            <v>0</v>
          </cell>
          <cell r="F261">
            <v>0</v>
          </cell>
          <cell r="G261">
            <v>0</v>
          </cell>
          <cell r="H261">
            <v>0</v>
          </cell>
          <cell r="I261">
            <v>0</v>
          </cell>
          <cell r="J261">
            <v>0</v>
          </cell>
        </row>
        <row r="262">
          <cell r="A262">
            <v>5223</v>
          </cell>
          <cell r="B262" t="str">
            <v>Comercio Al Por Menor De Carnes (Incluye Aves De Corral), Productos Carnicos, Pescados Y Productos De Mar, En Establecimientos Especializados</v>
          </cell>
          <cell r="C262">
            <v>0</v>
          </cell>
          <cell r="D262">
            <v>0</v>
          </cell>
          <cell r="E262">
            <v>0</v>
          </cell>
          <cell r="F262">
            <v>0</v>
          </cell>
          <cell r="G262">
            <v>0</v>
          </cell>
          <cell r="H262">
            <v>0</v>
          </cell>
          <cell r="I262">
            <v>0</v>
          </cell>
          <cell r="J262">
            <v>0</v>
          </cell>
        </row>
        <row r="263">
          <cell r="A263">
            <v>5224</v>
          </cell>
          <cell r="B263" t="str">
            <v>Comercio Al Por Menor De Productos De Confiteria En Establecimientos Especializados</v>
          </cell>
          <cell r="C263">
            <v>0</v>
          </cell>
          <cell r="D263">
            <v>0</v>
          </cell>
          <cell r="E263">
            <v>0</v>
          </cell>
          <cell r="F263">
            <v>0</v>
          </cell>
          <cell r="G263">
            <v>0</v>
          </cell>
          <cell r="H263">
            <v>0</v>
          </cell>
          <cell r="I263">
            <v>0</v>
          </cell>
          <cell r="J263">
            <v>0</v>
          </cell>
        </row>
        <row r="264">
          <cell r="A264">
            <v>5225</v>
          </cell>
          <cell r="B264" t="str">
            <v>Comercio Al Por Menor De Bebidas Y Productos Del Tabaco En Establecimientos Especializados</v>
          </cell>
          <cell r="C264">
            <v>0</v>
          </cell>
          <cell r="D264">
            <v>0</v>
          </cell>
          <cell r="E264">
            <v>0</v>
          </cell>
          <cell r="F264">
            <v>0</v>
          </cell>
          <cell r="G264">
            <v>0</v>
          </cell>
          <cell r="H264">
            <v>0</v>
          </cell>
          <cell r="I264">
            <v>0</v>
          </cell>
          <cell r="J264">
            <v>0</v>
          </cell>
        </row>
        <row r="265">
          <cell r="A265">
            <v>5229</v>
          </cell>
          <cell r="B265" t="str">
            <v>Comercio Al Por Menor De Otros Productos Alimenticios Ncp, En Establecimientos Especializados</v>
          </cell>
          <cell r="C265">
            <v>0</v>
          </cell>
          <cell r="D265">
            <v>0</v>
          </cell>
          <cell r="E265">
            <v>0</v>
          </cell>
          <cell r="F265">
            <v>0</v>
          </cell>
          <cell r="G265">
            <v>0</v>
          </cell>
          <cell r="H265">
            <v>0</v>
          </cell>
          <cell r="I265">
            <v>0</v>
          </cell>
          <cell r="J265">
            <v>0</v>
          </cell>
        </row>
        <row r="266">
          <cell r="A266">
            <v>5231</v>
          </cell>
          <cell r="B266" t="str">
            <v>Comercio Al Por Menor De Productos Farmaceuticos, Medicinales Y Odontologicos; Articulos De Perfumeria, Cosmeticos Y De Tocador En Establecimientos</v>
          </cell>
          <cell r="C266">
            <v>0</v>
          </cell>
          <cell r="D266">
            <v>0</v>
          </cell>
          <cell r="E266">
            <v>0</v>
          </cell>
          <cell r="F266">
            <v>0</v>
          </cell>
          <cell r="G266">
            <v>0</v>
          </cell>
          <cell r="H266">
            <v>0</v>
          </cell>
          <cell r="I266">
            <v>0</v>
          </cell>
          <cell r="J266">
            <v>0</v>
          </cell>
        </row>
        <row r="267">
          <cell r="A267">
            <v>5232</v>
          </cell>
          <cell r="B267" t="str">
            <v>Comercio Al Por Menor De Productos Textiles En Establecimientos Especializados</v>
          </cell>
          <cell r="C267">
            <v>0</v>
          </cell>
          <cell r="D267">
            <v>0</v>
          </cell>
          <cell r="E267">
            <v>0</v>
          </cell>
          <cell r="F267">
            <v>0</v>
          </cell>
          <cell r="G267">
            <v>0</v>
          </cell>
          <cell r="H267">
            <v>0</v>
          </cell>
          <cell r="I267">
            <v>0</v>
          </cell>
          <cell r="J267">
            <v>0</v>
          </cell>
        </row>
        <row r="268">
          <cell r="A268">
            <v>5233</v>
          </cell>
          <cell r="B268" t="str">
            <v>Comercio Al Por Menor De Prendas De Vestir Y Sus Accesorios (Incluye Articulos De Piel), En Establecimientos Especializados</v>
          </cell>
          <cell r="C268">
            <v>0</v>
          </cell>
          <cell r="D268">
            <v>0</v>
          </cell>
          <cell r="E268">
            <v>0</v>
          </cell>
          <cell r="F268">
            <v>0</v>
          </cell>
          <cell r="G268">
            <v>0</v>
          </cell>
          <cell r="H268">
            <v>0</v>
          </cell>
          <cell r="I268">
            <v>0</v>
          </cell>
          <cell r="J268">
            <v>0</v>
          </cell>
        </row>
        <row r="269">
          <cell r="A269">
            <v>5234</v>
          </cell>
          <cell r="B269" t="str">
            <v>Comercio Al Por Menor De Todo Tipo De Calzado, Articulos De Cuero Y Sucedaneos Del Cuero, En Establecimientos Especializados</v>
          </cell>
          <cell r="C269">
            <v>0</v>
          </cell>
          <cell r="D269">
            <v>0</v>
          </cell>
          <cell r="E269">
            <v>0</v>
          </cell>
          <cell r="F269">
            <v>0</v>
          </cell>
          <cell r="G269">
            <v>0</v>
          </cell>
          <cell r="H269">
            <v>0</v>
          </cell>
          <cell r="I269">
            <v>0</v>
          </cell>
          <cell r="J269">
            <v>0</v>
          </cell>
        </row>
        <row r="270">
          <cell r="A270">
            <v>5235</v>
          </cell>
          <cell r="B270" t="str">
            <v>Comercio Al Por Menor De Electrodomesticos, En Establecimientos Especializados</v>
          </cell>
          <cell r="C270">
            <v>0</v>
          </cell>
          <cell r="D270">
            <v>0</v>
          </cell>
          <cell r="E270">
            <v>0</v>
          </cell>
          <cell r="F270">
            <v>0</v>
          </cell>
          <cell r="G270">
            <v>0</v>
          </cell>
          <cell r="H270">
            <v>0</v>
          </cell>
          <cell r="I270">
            <v>0</v>
          </cell>
          <cell r="J270">
            <v>0</v>
          </cell>
        </row>
        <row r="271">
          <cell r="A271">
            <v>5236</v>
          </cell>
          <cell r="B271" t="str">
            <v>Comercio Al Por Menor De Muebles Para El Hogar, En Establecimientos Especializados</v>
          </cell>
          <cell r="C271">
            <v>0</v>
          </cell>
          <cell r="D271">
            <v>0</v>
          </cell>
          <cell r="E271">
            <v>0</v>
          </cell>
          <cell r="F271">
            <v>0</v>
          </cell>
          <cell r="G271">
            <v>0</v>
          </cell>
          <cell r="H271">
            <v>0</v>
          </cell>
          <cell r="I271">
            <v>0</v>
          </cell>
          <cell r="J271">
            <v>0</v>
          </cell>
        </row>
        <row r="272">
          <cell r="A272">
            <v>5237</v>
          </cell>
          <cell r="B272" t="str">
            <v>Comercio Al Por Menor De Equipos Y Articulos De Uso Domestico Diferentes De Electrodomesticos Y Muebles Para El Hogar En Establecimientos Especiali</v>
          </cell>
          <cell r="C272">
            <v>0</v>
          </cell>
          <cell r="D272">
            <v>0</v>
          </cell>
          <cell r="E272">
            <v>0</v>
          </cell>
          <cell r="F272">
            <v>0</v>
          </cell>
          <cell r="G272">
            <v>0</v>
          </cell>
          <cell r="H272">
            <v>0</v>
          </cell>
          <cell r="I272">
            <v>0</v>
          </cell>
          <cell r="J272">
            <v>0</v>
          </cell>
        </row>
        <row r="273">
          <cell r="A273">
            <v>5239</v>
          </cell>
          <cell r="B273" t="str">
            <v>Comercio Al Por Menor De Productos Diversos Ncp, En Establecimientos Especializados</v>
          </cell>
          <cell r="C273">
            <v>0</v>
          </cell>
          <cell r="D273">
            <v>0</v>
          </cell>
          <cell r="E273">
            <v>0</v>
          </cell>
          <cell r="F273">
            <v>0</v>
          </cell>
          <cell r="G273">
            <v>0</v>
          </cell>
          <cell r="H273">
            <v>0</v>
          </cell>
          <cell r="I273">
            <v>0</v>
          </cell>
          <cell r="J273">
            <v>0</v>
          </cell>
        </row>
        <row r="274">
          <cell r="A274">
            <v>5241</v>
          </cell>
          <cell r="B274" t="str">
            <v>Comercio Al Por Menor De Articulos De Ferreteria, Cerrajeria Y Productos De Vidrio, Excepto Pinturas En Establecimientos Especializados</v>
          </cell>
          <cell r="C274">
            <v>0</v>
          </cell>
          <cell r="D274">
            <v>0</v>
          </cell>
          <cell r="E274">
            <v>0</v>
          </cell>
          <cell r="F274">
            <v>0</v>
          </cell>
          <cell r="G274">
            <v>0</v>
          </cell>
          <cell r="H274">
            <v>0</v>
          </cell>
          <cell r="I274">
            <v>0</v>
          </cell>
          <cell r="J274">
            <v>0</v>
          </cell>
        </row>
        <row r="275">
          <cell r="A275">
            <v>5242</v>
          </cell>
          <cell r="B275" t="str">
            <v>Comercio Al Por Menor Pinturas En Establecimientos Especializados</v>
          </cell>
          <cell r="C275">
            <v>0</v>
          </cell>
          <cell r="D275">
            <v>0</v>
          </cell>
          <cell r="E275">
            <v>0</v>
          </cell>
          <cell r="F275">
            <v>0</v>
          </cell>
          <cell r="G275">
            <v>0</v>
          </cell>
          <cell r="H275">
            <v>0</v>
          </cell>
          <cell r="I275">
            <v>0</v>
          </cell>
          <cell r="J275">
            <v>0</v>
          </cell>
        </row>
        <row r="276">
          <cell r="A276">
            <v>5243</v>
          </cell>
          <cell r="B276" t="str">
            <v>Comercio Al Por Menor De Muebles Para Oficina, Maquinaria Y Equipo De Oficina, Computadores Y Programas De Computador, En Establecimientos Especial</v>
          </cell>
          <cell r="C276">
            <v>0</v>
          </cell>
          <cell r="D276">
            <v>0</v>
          </cell>
          <cell r="E276">
            <v>0</v>
          </cell>
          <cell r="F276">
            <v>0</v>
          </cell>
          <cell r="G276">
            <v>0</v>
          </cell>
          <cell r="H276">
            <v>0</v>
          </cell>
          <cell r="I276">
            <v>0</v>
          </cell>
          <cell r="J276">
            <v>0</v>
          </cell>
        </row>
        <row r="277">
          <cell r="A277">
            <v>5244</v>
          </cell>
          <cell r="B277" t="str">
            <v>Comercio Al Por Menor De Libros, Periodicos, Materiales Y Articulos De Papeleria Y Escritorio, En Establecimientos Especializados</v>
          </cell>
          <cell r="C277">
            <v>0</v>
          </cell>
          <cell r="D277">
            <v>0</v>
          </cell>
          <cell r="E277">
            <v>0</v>
          </cell>
          <cell r="F277">
            <v>0</v>
          </cell>
          <cell r="G277">
            <v>0</v>
          </cell>
          <cell r="H277">
            <v>0</v>
          </cell>
          <cell r="I277">
            <v>0</v>
          </cell>
          <cell r="J277">
            <v>0</v>
          </cell>
        </row>
        <row r="278">
          <cell r="A278">
            <v>5245</v>
          </cell>
          <cell r="B278" t="str">
            <v>Comercio Al Por Menor De Equipo Fotografico, En Establecimientos Especializados</v>
          </cell>
          <cell r="C278">
            <v>0</v>
          </cell>
          <cell r="D278">
            <v>0</v>
          </cell>
          <cell r="E278">
            <v>0</v>
          </cell>
          <cell r="F278">
            <v>0</v>
          </cell>
          <cell r="G278">
            <v>0</v>
          </cell>
          <cell r="H278">
            <v>0</v>
          </cell>
          <cell r="I278">
            <v>0</v>
          </cell>
          <cell r="J278">
            <v>0</v>
          </cell>
        </row>
        <row r="279">
          <cell r="A279">
            <v>5246</v>
          </cell>
          <cell r="B279" t="str">
            <v>Comercio Al Por Menor De Equipo Optico Y De Precisión, En Establecimientos Especializados</v>
          </cell>
          <cell r="C279">
            <v>0</v>
          </cell>
          <cell r="D279">
            <v>0</v>
          </cell>
          <cell r="E279">
            <v>0</v>
          </cell>
          <cell r="F279">
            <v>0</v>
          </cell>
          <cell r="G279">
            <v>0</v>
          </cell>
          <cell r="H279">
            <v>0</v>
          </cell>
          <cell r="I279">
            <v>0</v>
          </cell>
          <cell r="J279">
            <v>0</v>
          </cell>
        </row>
        <row r="280">
          <cell r="A280">
            <v>5249</v>
          </cell>
          <cell r="B280" t="str">
            <v>Comercio Al Por Menor De Otros Nuevos Productos De Consumo Ncp En Establecimientos Especializados</v>
          </cell>
          <cell r="C280">
            <v>0</v>
          </cell>
          <cell r="D280">
            <v>0</v>
          </cell>
          <cell r="E280">
            <v>0</v>
          </cell>
          <cell r="F280">
            <v>0</v>
          </cell>
          <cell r="G280">
            <v>0</v>
          </cell>
          <cell r="H280">
            <v>0</v>
          </cell>
          <cell r="I280">
            <v>0</v>
          </cell>
          <cell r="J280">
            <v>0</v>
          </cell>
        </row>
        <row r="281">
          <cell r="A281">
            <v>5251</v>
          </cell>
          <cell r="B281" t="str">
            <v>Comercio Al Por Menor De Articulos Usados En Establecimientos Especializados</v>
          </cell>
          <cell r="C281">
            <v>0</v>
          </cell>
          <cell r="D281">
            <v>0</v>
          </cell>
          <cell r="E281">
            <v>0</v>
          </cell>
          <cell r="F281">
            <v>0</v>
          </cell>
          <cell r="G281">
            <v>0</v>
          </cell>
          <cell r="H281">
            <v>0</v>
          </cell>
          <cell r="I281">
            <v>0</v>
          </cell>
          <cell r="J281">
            <v>0</v>
          </cell>
        </row>
        <row r="282">
          <cell r="A282">
            <v>5252</v>
          </cell>
          <cell r="B282" t="str">
            <v>Actividades Comerciales De Las Casas De Empeño O Compraventas</v>
          </cell>
          <cell r="C282">
            <v>0</v>
          </cell>
          <cell r="D282">
            <v>0</v>
          </cell>
          <cell r="E282">
            <v>0</v>
          </cell>
          <cell r="F282">
            <v>0</v>
          </cell>
          <cell r="G282">
            <v>0</v>
          </cell>
          <cell r="H282">
            <v>0</v>
          </cell>
          <cell r="I282">
            <v>0</v>
          </cell>
          <cell r="J282">
            <v>0</v>
          </cell>
        </row>
        <row r="283">
          <cell r="A283">
            <v>5261</v>
          </cell>
          <cell r="B283" t="str">
            <v>Comercio Al Por Menor A Traves De Casas De Venta Por Correo</v>
          </cell>
          <cell r="C283">
            <v>0</v>
          </cell>
          <cell r="D283">
            <v>0</v>
          </cell>
          <cell r="E283">
            <v>0</v>
          </cell>
          <cell r="F283">
            <v>0</v>
          </cell>
          <cell r="G283">
            <v>0</v>
          </cell>
          <cell r="H283">
            <v>0</v>
          </cell>
          <cell r="I283">
            <v>0</v>
          </cell>
          <cell r="J283">
            <v>0</v>
          </cell>
        </row>
        <row r="284">
          <cell r="A284">
            <v>5262</v>
          </cell>
          <cell r="B284" t="str">
            <v>Comercio Al Por Menor En Puestos Moviles</v>
          </cell>
          <cell r="C284">
            <v>0</v>
          </cell>
          <cell r="D284">
            <v>0</v>
          </cell>
          <cell r="E284">
            <v>0</v>
          </cell>
          <cell r="F284">
            <v>0</v>
          </cell>
          <cell r="G284">
            <v>0</v>
          </cell>
          <cell r="H284">
            <v>0</v>
          </cell>
          <cell r="I284">
            <v>0</v>
          </cell>
          <cell r="J284">
            <v>0</v>
          </cell>
        </row>
        <row r="285">
          <cell r="A285">
            <v>5269</v>
          </cell>
          <cell r="B285" t="str">
            <v>Otros Tipos De Comercio Al Por Menor No Realizado En Establecimientos</v>
          </cell>
          <cell r="C285">
            <v>0</v>
          </cell>
          <cell r="D285">
            <v>0</v>
          </cell>
          <cell r="E285">
            <v>0</v>
          </cell>
          <cell r="F285">
            <v>0</v>
          </cell>
          <cell r="G285">
            <v>0</v>
          </cell>
          <cell r="H285">
            <v>0</v>
          </cell>
          <cell r="I285">
            <v>0</v>
          </cell>
          <cell r="J285">
            <v>0</v>
          </cell>
        </row>
        <row r="286">
          <cell r="A286">
            <v>5271</v>
          </cell>
          <cell r="B286" t="str">
            <v>Reparacion De Efectos Personales</v>
          </cell>
          <cell r="C286">
            <v>0</v>
          </cell>
          <cell r="D286">
            <v>0</v>
          </cell>
          <cell r="E286">
            <v>0</v>
          </cell>
          <cell r="F286">
            <v>0</v>
          </cell>
          <cell r="G286">
            <v>0</v>
          </cell>
          <cell r="H286">
            <v>0</v>
          </cell>
          <cell r="I286">
            <v>0</v>
          </cell>
          <cell r="J286">
            <v>0</v>
          </cell>
        </row>
        <row r="287">
          <cell r="A287">
            <v>5272</v>
          </cell>
          <cell r="B287" t="str">
            <v>Reparacion De Enseres Domesticos</v>
          </cell>
          <cell r="C287">
            <v>0</v>
          </cell>
          <cell r="D287">
            <v>0</v>
          </cell>
          <cell r="E287">
            <v>0</v>
          </cell>
          <cell r="F287">
            <v>0</v>
          </cell>
          <cell r="G287">
            <v>0</v>
          </cell>
          <cell r="H287">
            <v>0</v>
          </cell>
          <cell r="I287">
            <v>0</v>
          </cell>
          <cell r="J287">
            <v>0</v>
          </cell>
        </row>
        <row r="288">
          <cell r="A288">
            <v>5511</v>
          </cell>
          <cell r="B288" t="str">
            <v>Alojamiento En "Hoteles", "Hostales" Y "Apartahoteles"</v>
          </cell>
          <cell r="C288">
            <v>0</v>
          </cell>
          <cell r="D288">
            <v>0</v>
          </cell>
          <cell r="E288">
            <v>0</v>
          </cell>
          <cell r="F288">
            <v>0</v>
          </cell>
          <cell r="G288">
            <v>0</v>
          </cell>
          <cell r="H288">
            <v>0</v>
          </cell>
          <cell r="I288">
            <v>0</v>
          </cell>
          <cell r="J288">
            <v>0</v>
          </cell>
        </row>
        <row r="289">
          <cell r="A289">
            <v>5512</v>
          </cell>
          <cell r="B289" t="str">
            <v>Alojamiento En "Residencias,"Moteles", Y "Amoblados"</v>
          </cell>
          <cell r="C289">
            <v>0</v>
          </cell>
          <cell r="D289">
            <v>0</v>
          </cell>
          <cell r="E289">
            <v>0</v>
          </cell>
          <cell r="F289">
            <v>0</v>
          </cell>
          <cell r="G289">
            <v>0</v>
          </cell>
          <cell r="H289">
            <v>0</v>
          </cell>
          <cell r="I289">
            <v>0</v>
          </cell>
          <cell r="J289">
            <v>0</v>
          </cell>
        </row>
        <row r="290">
          <cell r="A290">
            <v>5513</v>
          </cell>
          <cell r="B290" t="str">
            <v>Alojamientos En "Centros Vacacionales" Y "Zonas De Camping"</v>
          </cell>
          <cell r="C290">
            <v>0</v>
          </cell>
          <cell r="D290">
            <v>0</v>
          </cell>
          <cell r="E290">
            <v>0</v>
          </cell>
          <cell r="F290">
            <v>0</v>
          </cell>
          <cell r="G290">
            <v>0</v>
          </cell>
          <cell r="H290">
            <v>0</v>
          </cell>
          <cell r="I290">
            <v>0</v>
          </cell>
          <cell r="J290">
            <v>0</v>
          </cell>
        </row>
        <row r="291">
          <cell r="A291">
            <v>5519</v>
          </cell>
          <cell r="B291" t="str">
            <v>Otros Tipos De Alojamiento Ncp</v>
          </cell>
          <cell r="C291">
            <v>0</v>
          </cell>
          <cell r="D291">
            <v>0</v>
          </cell>
          <cell r="E291">
            <v>0</v>
          </cell>
          <cell r="F291">
            <v>0</v>
          </cell>
          <cell r="G291">
            <v>0</v>
          </cell>
          <cell r="H291">
            <v>0</v>
          </cell>
          <cell r="I291">
            <v>0</v>
          </cell>
          <cell r="J291">
            <v>0</v>
          </cell>
        </row>
        <row r="292">
          <cell r="A292">
            <v>5521</v>
          </cell>
          <cell r="B292" t="str">
            <v>Expendio A La Mesa De Comidas Preparadas, En Restaurantes</v>
          </cell>
          <cell r="C292">
            <v>0</v>
          </cell>
          <cell r="D292">
            <v>0</v>
          </cell>
          <cell r="E292">
            <v>0</v>
          </cell>
          <cell r="F292">
            <v>0</v>
          </cell>
          <cell r="G292">
            <v>0</v>
          </cell>
          <cell r="H292">
            <v>0</v>
          </cell>
          <cell r="I292">
            <v>0</v>
          </cell>
          <cell r="J292">
            <v>0</v>
          </cell>
        </row>
        <row r="293">
          <cell r="A293">
            <v>5522</v>
          </cell>
          <cell r="B293" t="str">
            <v>Expendio, A La Mesa, De Comidas Preparadas En Cafeterias</v>
          </cell>
          <cell r="C293">
            <v>0</v>
          </cell>
          <cell r="D293">
            <v>0</v>
          </cell>
          <cell r="E293">
            <v>0</v>
          </cell>
          <cell r="F293">
            <v>0</v>
          </cell>
          <cell r="G293">
            <v>0</v>
          </cell>
          <cell r="H293">
            <v>0</v>
          </cell>
          <cell r="I293">
            <v>0</v>
          </cell>
          <cell r="J293">
            <v>0</v>
          </cell>
        </row>
        <row r="294">
          <cell r="A294">
            <v>5523</v>
          </cell>
          <cell r="B294" t="str">
            <v>Expendio, Por Autoservicio, De Comidas Preparadas En Restaurantes</v>
          </cell>
          <cell r="C294">
            <v>0</v>
          </cell>
          <cell r="D294">
            <v>0</v>
          </cell>
          <cell r="E294">
            <v>0</v>
          </cell>
          <cell r="F294">
            <v>0</v>
          </cell>
          <cell r="G294">
            <v>0</v>
          </cell>
          <cell r="H294">
            <v>0</v>
          </cell>
          <cell r="I294">
            <v>0</v>
          </cell>
          <cell r="J294">
            <v>0</v>
          </cell>
        </row>
        <row r="295">
          <cell r="A295">
            <v>5524</v>
          </cell>
          <cell r="B295" t="str">
            <v>Expendio, Por Autoservicio De Comidas Preparadas En Cafeterias</v>
          </cell>
          <cell r="C295">
            <v>0</v>
          </cell>
          <cell r="D295">
            <v>0</v>
          </cell>
          <cell r="E295">
            <v>0</v>
          </cell>
          <cell r="F295">
            <v>0</v>
          </cell>
          <cell r="G295">
            <v>0</v>
          </cell>
          <cell r="H295">
            <v>0</v>
          </cell>
          <cell r="I295">
            <v>0</v>
          </cell>
          <cell r="J295">
            <v>0</v>
          </cell>
        </row>
        <row r="296">
          <cell r="A296">
            <v>5529</v>
          </cell>
          <cell r="B296" t="str">
            <v>Otros Tipos De Expendio Ncp De Alimentos Preparados</v>
          </cell>
          <cell r="C296">
            <v>0</v>
          </cell>
          <cell r="D296">
            <v>0</v>
          </cell>
          <cell r="E296">
            <v>0</v>
          </cell>
          <cell r="F296">
            <v>0</v>
          </cell>
          <cell r="G296">
            <v>0</v>
          </cell>
          <cell r="H296">
            <v>0</v>
          </cell>
          <cell r="I296">
            <v>0</v>
          </cell>
          <cell r="J296">
            <v>0</v>
          </cell>
        </row>
        <row r="297">
          <cell r="A297">
            <v>5530</v>
          </cell>
          <cell r="B297" t="str">
            <v>Expendio De Bebidas Alcoholicas Para El Consumo Dentro Del Establecimiento</v>
          </cell>
          <cell r="C297">
            <v>0</v>
          </cell>
          <cell r="D297">
            <v>0</v>
          </cell>
          <cell r="E297">
            <v>0</v>
          </cell>
          <cell r="F297">
            <v>0</v>
          </cell>
          <cell r="G297">
            <v>0</v>
          </cell>
          <cell r="H297">
            <v>0</v>
          </cell>
          <cell r="I297">
            <v>0</v>
          </cell>
          <cell r="J297">
            <v>0</v>
          </cell>
        </row>
        <row r="298">
          <cell r="A298">
            <v>6010</v>
          </cell>
          <cell r="B298" t="str">
            <v>Transporte Por Via Ferrea</v>
          </cell>
          <cell r="C298">
            <v>0</v>
          </cell>
          <cell r="D298">
            <v>0</v>
          </cell>
          <cell r="E298">
            <v>0</v>
          </cell>
          <cell r="F298">
            <v>0</v>
          </cell>
          <cell r="G298">
            <v>0</v>
          </cell>
          <cell r="H298">
            <v>0</v>
          </cell>
          <cell r="I298">
            <v>0</v>
          </cell>
          <cell r="J298">
            <v>0</v>
          </cell>
        </row>
        <row r="299">
          <cell r="A299">
            <v>6021</v>
          </cell>
          <cell r="B299" t="str">
            <v>Transporte Urbano Colectivo Regular De Pasajeros</v>
          </cell>
          <cell r="C299">
            <v>0</v>
          </cell>
          <cell r="D299">
            <v>0</v>
          </cell>
          <cell r="E299">
            <v>0</v>
          </cell>
          <cell r="F299">
            <v>0</v>
          </cell>
          <cell r="G299">
            <v>0</v>
          </cell>
          <cell r="H299">
            <v>0</v>
          </cell>
          <cell r="I299">
            <v>0</v>
          </cell>
          <cell r="J299">
            <v>0</v>
          </cell>
        </row>
        <row r="300">
          <cell r="A300">
            <v>6022</v>
          </cell>
          <cell r="B300" t="str">
            <v>Transporte Intermunicipal Colectivo Regular De Pasajeros</v>
          </cell>
          <cell r="C300">
            <v>0</v>
          </cell>
          <cell r="D300">
            <v>0</v>
          </cell>
          <cell r="E300">
            <v>0</v>
          </cell>
          <cell r="F300">
            <v>0</v>
          </cell>
          <cell r="G300">
            <v>0</v>
          </cell>
          <cell r="H300">
            <v>0</v>
          </cell>
          <cell r="I300">
            <v>0</v>
          </cell>
          <cell r="J300">
            <v>0</v>
          </cell>
        </row>
        <row r="301">
          <cell r="A301">
            <v>6023</v>
          </cell>
          <cell r="B301" t="str">
            <v>Transporte Internacional Colectivo Regular De Pasajeros</v>
          </cell>
          <cell r="C301">
            <v>0</v>
          </cell>
          <cell r="D301">
            <v>0</v>
          </cell>
          <cell r="E301">
            <v>0</v>
          </cell>
          <cell r="F301">
            <v>0</v>
          </cell>
          <cell r="G301">
            <v>0</v>
          </cell>
          <cell r="H301">
            <v>0</v>
          </cell>
          <cell r="I301">
            <v>0</v>
          </cell>
          <cell r="J301">
            <v>0</v>
          </cell>
        </row>
        <row r="302">
          <cell r="A302">
            <v>6031</v>
          </cell>
          <cell r="B302" t="str">
            <v>Transporte No Reguolar Individual De Pasajeros</v>
          </cell>
          <cell r="C302">
            <v>0</v>
          </cell>
          <cell r="D302">
            <v>0</v>
          </cell>
          <cell r="E302">
            <v>0</v>
          </cell>
          <cell r="F302">
            <v>0</v>
          </cell>
          <cell r="G302">
            <v>0</v>
          </cell>
          <cell r="H302">
            <v>0</v>
          </cell>
          <cell r="I302">
            <v>0</v>
          </cell>
          <cell r="J302">
            <v>0</v>
          </cell>
        </row>
        <row r="303">
          <cell r="A303">
            <v>6032</v>
          </cell>
          <cell r="B303" t="str">
            <v>Transporte Colectivo No Regular De Pasajeros</v>
          </cell>
          <cell r="C303">
            <v>0</v>
          </cell>
          <cell r="D303">
            <v>0</v>
          </cell>
          <cell r="E303">
            <v>0</v>
          </cell>
          <cell r="F303">
            <v>0</v>
          </cell>
          <cell r="G303">
            <v>0</v>
          </cell>
          <cell r="H303">
            <v>0</v>
          </cell>
          <cell r="I303">
            <v>0</v>
          </cell>
          <cell r="J303">
            <v>0</v>
          </cell>
        </row>
        <row r="304">
          <cell r="A304">
            <v>6039</v>
          </cell>
          <cell r="B304" t="str">
            <v>Otros Tipos De Transporte No Regular De Pasajeros Ncp</v>
          </cell>
          <cell r="C304">
            <v>0</v>
          </cell>
          <cell r="D304">
            <v>0</v>
          </cell>
          <cell r="E304">
            <v>0</v>
          </cell>
          <cell r="F304">
            <v>0</v>
          </cell>
          <cell r="G304">
            <v>0</v>
          </cell>
          <cell r="H304">
            <v>0</v>
          </cell>
          <cell r="I304">
            <v>0</v>
          </cell>
          <cell r="J304">
            <v>0</v>
          </cell>
        </row>
        <row r="305">
          <cell r="A305">
            <v>6041</v>
          </cell>
          <cell r="B305" t="str">
            <v>Transporte Municipal De Carga Por Carretera</v>
          </cell>
          <cell r="C305">
            <v>0</v>
          </cell>
          <cell r="D305">
            <v>0</v>
          </cell>
          <cell r="E305">
            <v>0</v>
          </cell>
          <cell r="F305">
            <v>0</v>
          </cell>
          <cell r="G305">
            <v>0</v>
          </cell>
          <cell r="H305">
            <v>0</v>
          </cell>
          <cell r="I305">
            <v>0</v>
          </cell>
          <cell r="J305">
            <v>0</v>
          </cell>
        </row>
        <row r="306">
          <cell r="A306">
            <v>6042</v>
          </cell>
          <cell r="B306" t="str">
            <v>Transporte Intermunicipal De Carga Por Carretera</v>
          </cell>
          <cell r="C306">
            <v>0</v>
          </cell>
          <cell r="D306">
            <v>0</v>
          </cell>
          <cell r="E306">
            <v>0</v>
          </cell>
          <cell r="F306">
            <v>0</v>
          </cell>
          <cell r="G306">
            <v>0</v>
          </cell>
          <cell r="H306">
            <v>0</v>
          </cell>
          <cell r="I306">
            <v>0</v>
          </cell>
          <cell r="J306">
            <v>0</v>
          </cell>
        </row>
        <row r="307">
          <cell r="A307">
            <v>6043</v>
          </cell>
          <cell r="B307" t="str">
            <v>Transporte Internacional De Carga Por Carretera</v>
          </cell>
          <cell r="C307">
            <v>0</v>
          </cell>
          <cell r="D307">
            <v>0</v>
          </cell>
          <cell r="E307">
            <v>0</v>
          </cell>
          <cell r="F307">
            <v>0</v>
          </cell>
          <cell r="G307">
            <v>0</v>
          </cell>
          <cell r="H307">
            <v>0</v>
          </cell>
          <cell r="I307">
            <v>0</v>
          </cell>
          <cell r="J307">
            <v>0</v>
          </cell>
        </row>
        <row r="308">
          <cell r="A308">
            <v>6044</v>
          </cell>
          <cell r="B308" t="str">
            <v>Alquiler De Vehiculos De Carga Con Conductor</v>
          </cell>
          <cell r="C308">
            <v>0</v>
          </cell>
          <cell r="D308">
            <v>0</v>
          </cell>
          <cell r="E308">
            <v>0</v>
          </cell>
          <cell r="F308">
            <v>0</v>
          </cell>
          <cell r="G308">
            <v>0</v>
          </cell>
          <cell r="H308">
            <v>0</v>
          </cell>
          <cell r="I308">
            <v>0</v>
          </cell>
          <cell r="J308">
            <v>0</v>
          </cell>
        </row>
        <row r="309">
          <cell r="A309">
            <v>6050</v>
          </cell>
          <cell r="B309" t="str">
            <v>Transporte Por Tuberias</v>
          </cell>
          <cell r="C309">
            <v>0</v>
          </cell>
          <cell r="D309">
            <v>0</v>
          </cell>
          <cell r="E309">
            <v>0</v>
          </cell>
          <cell r="F309">
            <v>0</v>
          </cell>
          <cell r="G309">
            <v>0</v>
          </cell>
          <cell r="H309">
            <v>0</v>
          </cell>
          <cell r="I309">
            <v>0</v>
          </cell>
          <cell r="J309">
            <v>0</v>
          </cell>
        </row>
        <row r="310">
          <cell r="A310">
            <v>6111</v>
          </cell>
          <cell r="B310" t="str">
            <v>Transporte Maritimo Internacional</v>
          </cell>
          <cell r="C310">
            <v>0</v>
          </cell>
          <cell r="D310">
            <v>0</v>
          </cell>
          <cell r="E310">
            <v>0</v>
          </cell>
          <cell r="F310">
            <v>0</v>
          </cell>
          <cell r="G310">
            <v>0</v>
          </cell>
          <cell r="H310">
            <v>0</v>
          </cell>
          <cell r="I310">
            <v>0</v>
          </cell>
          <cell r="J310">
            <v>0</v>
          </cell>
        </row>
        <row r="311">
          <cell r="A311">
            <v>6112</v>
          </cell>
          <cell r="B311" t="str">
            <v>Transporte Maritimo De Cabotaje</v>
          </cell>
          <cell r="C311">
            <v>0</v>
          </cell>
          <cell r="D311">
            <v>0</v>
          </cell>
          <cell r="E311">
            <v>0</v>
          </cell>
          <cell r="F311">
            <v>0</v>
          </cell>
          <cell r="G311">
            <v>0</v>
          </cell>
          <cell r="H311">
            <v>0</v>
          </cell>
          <cell r="I311">
            <v>0</v>
          </cell>
          <cell r="J311">
            <v>0</v>
          </cell>
        </row>
        <row r="312">
          <cell r="A312">
            <v>6120</v>
          </cell>
          <cell r="B312" t="str">
            <v>Transporte Fluvial</v>
          </cell>
          <cell r="C312">
            <v>0</v>
          </cell>
          <cell r="D312">
            <v>0</v>
          </cell>
          <cell r="E312">
            <v>0</v>
          </cell>
          <cell r="F312">
            <v>0</v>
          </cell>
          <cell r="G312">
            <v>0</v>
          </cell>
          <cell r="H312">
            <v>0</v>
          </cell>
          <cell r="I312">
            <v>0</v>
          </cell>
          <cell r="J312">
            <v>0</v>
          </cell>
        </row>
        <row r="313">
          <cell r="A313">
            <v>6211</v>
          </cell>
          <cell r="B313" t="str">
            <v>Transporte Regular Nacional De Pasajeros Por Via Aerea</v>
          </cell>
          <cell r="C313">
            <v>0</v>
          </cell>
          <cell r="D313">
            <v>0</v>
          </cell>
          <cell r="E313">
            <v>0</v>
          </cell>
          <cell r="F313">
            <v>0</v>
          </cell>
          <cell r="G313">
            <v>0</v>
          </cell>
          <cell r="H313">
            <v>0</v>
          </cell>
          <cell r="I313">
            <v>0</v>
          </cell>
          <cell r="J313">
            <v>0</v>
          </cell>
        </row>
        <row r="314">
          <cell r="A314">
            <v>6212</v>
          </cell>
          <cell r="B314" t="str">
            <v>Transporte Regular Nacional De Carga Por Via Aerea</v>
          </cell>
          <cell r="C314">
            <v>0</v>
          </cell>
          <cell r="D314">
            <v>0</v>
          </cell>
          <cell r="E314">
            <v>0</v>
          </cell>
          <cell r="F314">
            <v>0</v>
          </cell>
          <cell r="G314">
            <v>0</v>
          </cell>
          <cell r="H314">
            <v>0</v>
          </cell>
          <cell r="I314">
            <v>0</v>
          </cell>
          <cell r="J314">
            <v>0</v>
          </cell>
        </row>
        <row r="315">
          <cell r="A315">
            <v>6213</v>
          </cell>
          <cell r="B315" t="str">
            <v>Transporte Regular Internacional De Pasajeros, Por Via Aerea</v>
          </cell>
          <cell r="C315">
            <v>0</v>
          </cell>
          <cell r="D315">
            <v>0</v>
          </cell>
          <cell r="E315">
            <v>0</v>
          </cell>
          <cell r="F315">
            <v>0</v>
          </cell>
          <cell r="G315">
            <v>0</v>
          </cell>
          <cell r="H315">
            <v>0</v>
          </cell>
          <cell r="I315">
            <v>0</v>
          </cell>
          <cell r="J315">
            <v>0</v>
          </cell>
        </row>
        <row r="316">
          <cell r="A316">
            <v>6214</v>
          </cell>
          <cell r="B316" t="str">
            <v>Transporte Regular Internacional De Carga, Por Via Aerea</v>
          </cell>
          <cell r="C316">
            <v>0</v>
          </cell>
          <cell r="D316">
            <v>0</v>
          </cell>
          <cell r="E316">
            <v>0</v>
          </cell>
          <cell r="F316">
            <v>0</v>
          </cell>
          <cell r="G316">
            <v>0</v>
          </cell>
          <cell r="H316">
            <v>0</v>
          </cell>
          <cell r="I316">
            <v>0</v>
          </cell>
          <cell r="J316">
            <v>0</v>
          </cell>
        </row>
        <row r="317">
          <cell r="A317">
            <v>6220</v>
          </cell>
          <cell r="B317" t="str">
            <v>Transporte No Regular, Por Via Aerea</v>
          </cell>
          <cell r="C317">
            <v>0</v>
          </cell>
          <cell r="D317">
            <v>0</v>
          </cell>
          <cell r="E317">
            <v>0</v>
          </cell>
          <cell r="F317">
            <v>0</v>
          </cell>
          <cell r="G317">
            <v>0</v>
          </cell>
          <cell r="H317">
            <v>0</v>
          </cell>
          <cell r="I317">
            <v>0</v>
          </cell>
          <cell r="J317">
            <v>0</v>
          </cell>
        </row>
        <row r="318">
          <cell r="A318">
            <v>6310</v>
          </cell>
          <cell r="B318" t="str">
            <v>Manipulacion De Carga</v>
          </cell>
          <cell r="C318">
            <v>0</v>
          </cell>
          <cell r="D318">
            <v>0</v>
          </cell>
          <cell r="E318">
            <v>0</v>
          </cell>
          <cell r="F318">
            <v>0</v>
          </cell>
          <cell r="G318">
            <v>0</v>
          </cell>
          <cell r="H318">
            <v>0</v>
          </cell>
          <cell r="I318">
            <v>0</v>
          </cell>
          <cell r="J318">
            <v>0</v>
          </cell>
        </row>
        <row r="319">
          <cell r="A319">
            <v>6320</v>
          </cell>
          <cell r="B319" t="str">
            <v>Almacenamiento Y Deposito</v>
          </cell>
          <cell r="C319">
            <v>0</v>
          </cell>
          <cell r="D319">
            <v>0</v>
          </cell>
          <cell r="E319">
            <v>0</v>
          </cell>
          <cell r="F319">
            <v>0</v>
          </cell>
          <cell r="G319">
            <v>0</v>
          </cell>
          <cell r="H319">
            <v>0</v>
          </cell>
          <cell r="I319">
            <v>0</v>
          </cell>
          <cell r="J319">
            <v>0</v>
          </cell>
        </row>
        <row r="320">
          <cell r="A320">
            <v>6331</v>
          </cell>
          <cell r="B320" t="str">
            <v>Actividades De Estaciones De Transporte Terrestre</v>
          </cell>
          <cell r="C320">
            <v>0</v>
          </cell>
          <cell r="D320">
            <v>0</v>
          </cell>
          <cell r="E320">
            <v>0</v>
          </cell>
          <cell r="F320">
            <v>0</v>
          </cell>
          <cell r="G320">
            <v>0</v>
          </cell>
          <cell r="H320">
            <v>0</v>
          </cell>
          <cell r="I320">
            <v>0</v>
          </cell>
          <cell r="J320">
            <v>0</v>
          </cell>
        </row>
        <row r="321">
          <cell r="A321">
            <v>6332</v>
          </cell>
          <cell r="B321" t="str">
            <v>Actividades De Estaciones De Transporte Acuatico</v>
          </cell>
          <cell r="C321">
            <v>0</v>
          </cell>
          <cell r="D321">
            <v>0</v>
          </cell>
          <cell r="E321">
            <v>0</v>
          </cell>
          <cell r="F321">
            <v>0</v>
          </cell>
          <cell r="G321">
            <v>0</v>
          </cell>
          <cell r="H321">
            <v>0</v>
          </cell>
          <cell r="I321">
            <v>0</v>
          </cell>
          <cell r="J321">
            <v>0</v>
          </cell>
        </row>
        <row r="322">
          <cell r="A322">
            <v>6333</v>
          </cell>
          <cell r="B322" t="str">
            <v>Actividades De Aeropuertos</v>
          </cell>
          <cell r="C322">
            <v>0</v>
          </cell>
          <cell r="D322">
            <v>0</v>
          </cell>
          <cell r="E322">
            <v>0</v>
          </cell>
          <cell r="F322">
            <v>0</v>
          </cell>
          <cell r="G322">
            <v>0</v>
          </cell>
          <cell r="H322">
            <v>0</v>
          </cell>
          <cell r="I322">
            <v>0</v>
          </cell>
          <cell r="J322">
            <v>0</v>
          </cell>
        </row>
        <row r="323">
          <cell r="A323">
            <v>6339</v>
          </cell>
          <cell r="B323" t="str">
            <v>Otras Actividades Complementarias Del Transporte</v>
          </cell>
          <cell r="C323">
            <v>0</v>
          </cell>
          <cell r="D323">
            <v>0</v>
          </cell>
          <cell r="E323">
            <v>0</v>
          </cell>
          <cell r="F323">
            <v>0</v>
          </cell>
          <cell r="G323">
            <v>0</v>
          </cell>
          <cell r="H323">
            <v>0</v>
          </cell>
          <cell r="I323">
            <v>0</v>
          </cell>
          <cell r="J323">
            <v>0</v>
          </cell>
        </row>
        <row r="324">
          <cell r="A324">
            <v>6340</v>
          </cell>
          <cell r="B324" t="str">
            <v>Actividades De Agencias De Viajes Y Organizadores De Viajes; Actividades De Asistencia A Turistas Ncp</v>
          </cell>
          <cell r="C324">
            <v>0</v>
          </cell>
          <cell r="D324">
            <v>0</v>
          </cell>
          <cell r="E324">
            <v>0</v>
          </cell>
          <cell r="F324">
            <v>0</v>
          </cell>
          <cell r="G324">
            <v>0</v>
          </cell>
          <cell r="H324">
            <v>0</v>
          </cell>
          <cell r="I324">
            <v>0</v>
          </cell>
          <cell r="J324">
            <v>0</v>
          </cell>
        </row>
        <row r="325">
          <cell r="A325">
            <v>6390</v>
          </cell>
          <cell r="B325" t="str">
            <v>Actividades De Otras Agencias De Transporte</v>
          </cell>
          <cell r="C325">
            <v>0</v>
          </cell>
          <cell r="D325">
            <v>0</v>
          </cell>
          <cell r="E325">
            <v>0</v>
          </cell>
          <cell r="F325">
            <v>0</v>
          </cell>
          <cell r="G325">
            <v>0</v>
          </cell>
          <cell r="H325">
            <v>0</v>
          </cell>
          <cell r="I325">
            <v>0</v>
          </cell>
          <cell r="J325">
            <v>0</v>
          </cell>
        </row>
        <row r="326">
          <cell r="A326">
            <v>6411</v>
          </cell>
          <cell r="B326" t="str">
            <v>Actividades Postales Nacionales</v>
          </cell>
          <cell r="C326">
            <v>0</v>
          </cell>
          <cell r="D326">
            <v>0</v>
          </cell>
          <cell r="E326">
            <v>0</v>
          </cell>
          <cell r="F326">
            <v>0</v>
          </cell>
          <cell r="G326">
            <v>0</v>
          </cell>
          <cell r="H326">
            <v>0</v>
          </cell>
          <cell r="I326">
            <v>0</v>
          </cell>
          <cell r="J326">
            <v>0</v>
          </cell>
        </row>
        <row r="327">
          <cell r="A327">
            <v>6412</v>
          </cell>
          <cell r="B327" t="str">
            <v>Actividades De Correo Distintas De Las Actividades Postales Nacionales</v>
          </cell>
          <cell r="C327">
            <v>0</v>
          </cell>
          <cell r="D327">
            <v>0</v>
          </cell>
          <cell r="E327">
            <v>0</v>
          </cell>
          <cell r="F327">
            <v>0</v>
          </cell>
          <cell r="G327">
            <v>0</v>
          </cell>
          <cell r="H327">
            <v>0</v>
          </cell>
          <cell r="I327">
            <v>0</v>
          </cell>
          <cell r="J327">
            <v>0</v>
          </cell>
        </row>
        <row r="328">
          <cell r="A328">
            <v>6421</v>
          </cell>
          <cell r="B328" t="str">
            <v>Servicios Telefonicos</v>
          </cell>
          <cell r="C328">
            <v>0</v>
          </cell>
          <cell r="D328">
            <v>0</v>
          </cell>
          <cell r="E328">
            <v>0</v>
          </cell>
          <cell r="F328">
            <v>0</v>
          </cell>
          <cell r="G328">
            <v>0</v>
          </cell>
          <cell r="H328">
            <v>0</v>
          </cell>
          <cell r="I328">
            <v>0</v>
          </cell>
          <cell r="J328">
            <v>0</v>
          </cell>
        </row>
        <row r="329">
          <cell r="A329">
            <v>6422</v>
          </cell>
          <cell r="B329" t="str">
            <v>Servicios De Transmision De Datos A Traves De Redes</v>
          </cell>
          <cell r="C329">
            <v>0</v>
          </cell>
          <cell r="D329">
            <v>0</v>
          </cell>
          <cell r="E329">
            <v>0</v>
          </cell>
          <cell r="F329">
            <v>0</v>
          </cell>
          <cell r="G329">
            <v>0</v>
          </cell>
          <cell r="H329">
            <v>0</v>
          </cell>
          <cell r="I329">
            <v>0</v>
          </cell>
          <cell r="J329">
            <v>0</v>
          </cell>
        </row>
        <row r="330">
          <cell r="A330">
            <v>6423</v>
          </cell>
          <cell r="B330" t="str">
            <v>Servicios De Transmision De Programas De Radio Y Television</v>
          </cell>
          <cell r="C330">
            <v>0</v>
          </cell>
          <cell r="D330">
            <v>0</v>
          </cell>
          <cell r="E330">
            <v>0</v>
          </cell>
          <cell r="F330">
            <v>0</v>
          </cell>
          <cell r="G330">
            <v>0</v>
          </cell>
          <cell r="H330">
            <v>0</v>
          </cell>
          <cell r="I330">
            <v>0</v>
          </cell>
          <cell r="J330">
            <v>0</v>
          </cell>
        </row>
        <row r="331">
          <cell r="A331">
            <v>6424</v>
          </cell>
          <cell r="B331" t="str">
            <v>Servicios De Transmision Por Cable</v>
          </cell>
          <cell r="C331">
            <v>0</v>
          </cell>
          <cell r="D331">
            <v>0</v>
          </cell>
          <cell r="E331">
            <v>0</v>
          </cell>
          <cell r="F331">
            <v>0</v>
          </cell>
          <cell r="G331">
            <v>0</v>
          </cell>
          <cell r="H331">
            <v>0</v>
          </cell>
          <cell r="I331">
            <v>0</v>
          </cell>
          <cell r="J331">
            <v>0</v>
          </cell>
        </row>
        <row r="332">
          <cell r="A332">
            <v>6425</v>
          </cell>
          <cell r="B332" t="str">
            <v>Otros Servicios De Telecomunicaciones</v>
          </cell>
          <cell r="C332">
            <v>0</v>
          </cell>
          <cell r="D332">
            <v>0</v>
          </cell>
          <cell r="E332">
            <v>0</v>
          </cell>
          <cell r="F332">
            <v>0</v>
          </cell>
          <cell r="G332">
            <v>0</v>
          </cell>
          <cell r="H332">
            <v>0</v>
          </cell>
          <cell r="I332">
            <v>0</v>
          </cell>
          <cell r="J332">
            <v>0</v>
          </cell>
        </row>
        <row r="333">
          <cell r="A333">
            <v>6426</v>
          </cell>
          <cell r="B333" t="str">
            <v>Servicios Relacionados Con Las Trelecomunicaciones</v>
          </cell>
          <cell r="C333">
            <v>0</v>
          </cell>
          <cell r="D333">
            <v>0</v>
          </cell>
          <cell r="E333">
            <v>0</v>
          </cell>
          <cell r="F333">
            <v>0</v>
          </cell>
          <cell r="G333">
            <v>0</v>
          </cell>
          <cell r="H333">
            <v>0</v>
          </cell>
          <cell r="I333">
            <v>0</v>
          </cell>
          <cell r="J333">
            <v>0</v>
          </cell>
        </row>
        <row r="334">
          <cell r="A334">
            <v>6511</v>
          </cell>
          <cell r="B334" t="str">
            <v>Banca Central</v>
          </cell>
          <cell r="C334">
            <v>0</v>
          </cell>
          <cell r="D334">
            <v>0</v>
          </cell>
          <cell r="E334">
            <v>0</v>
          </cell>
          <cell r="F334">
            <v>0</v>
          </cell>
          <cell r="G334">
            <v>0</v>
          </cell>
          <cell r="H334">
            <v>0</v>
          </cell>
          <cell r="I334">
            <v>0</v>
          </cell>
          <cell r="J334">
            <v>0</v>
          </cell>
        </row>
        <row r="335">
          <cell r="A335">
            <v>6512</v>
          </cell>
          <cell r="B335" t="str">
            <v>Actividades De Los Bancos Diferentes del Banco Central</v>
          </cell>
          <cell r="C335">
            <v>0</v>
          </cell>
          <cell r="D335">
            <v>0</v>
          </cell>
          <cell r="E335">
            <v>0</v>
          </cell>
          <cell r="F335">
            <v>0</v>
          </cell>
          <cell r="G335">
            <v>0</v>
          </cell>
          <cell r="H335">
            <v>0</v>
          </cell>
          <cell r="I335">
            <v>0</v>
          </cell>
          <cell r="J335">
            <v>0</v>
          </cell>
        </row>
        <row r="336">
          <cell r="A336">
            <v>6513</v>
          </cell>
          <cell r="B336" t="str">
            <v>Actividades De Las Corporaciones De Ahorro Y Vivienda</v>
          </cell>
          <cell r="C336">
            <v>0</v>
          </cell>
          <cell r="D336">
            <v>0</v>
          </cell>
          <cell r="E336">
            <v>0</v>
          </cell>
          <cell r="F336">
            <v>0</v>
          </cell>
          <cell r="G336">
            <v>0</v>
          </cell>
          <cell r="H336">
            <v>0</v>
          </cell>
          <cell r="I336">
            <v>0</v>
          </cell>
          <cell r="J336">
            <v>0</v>
          </cell>
        </row>
        <row r="337">
          <cell r="A337">
            <v>6514</v>
          </cell>
          <cell r="B337" t="str">
            <v>Actividades De Las Corporaciones Financieras</v>
          </cell>
          <cell r="C337">
            <v>0</v>
          </cell>
          <cell r="D337">
            <v>0</v>
          </cell>
          <cell r="E337">
            <v>0</v>
          </cell>
          <cell r="F337">
            <v>0</v>
          </cell>
          <cell r="G337">
            <v>0</v>
          </cell>
          <cell r="H337">
            <v>0</v>
          </cell>
          <cell r="I337">
            <v>0</v>
          </cell>
          <cell r="J337">
            <v>0</v>
          </cell>
        </row>
        <row r="338">
          <cell r="A338">
            <v>6515</v>
          </cell>
          <cell r="B338" t="str">
            <v>Actividades De Las Compañias De Financiamiento Comercial</v>
          </cell>
          <cell r="C338">
            <v>0</v>
          </cell>
          <cell r="D338">
            <v>0</v>
          </cell>
          <cell r="E338">
            <v>0</v>
          </cell>
          <cell r="F338">
            <v>0</v>
          </cell>
          <cell r="G338">
            <v>0</v>
          </cell>
          <cell r="H338">
            <v>0</v>
          </cell>
          <cell r="I338">
            <v>0</v>
          </cell>
          <cell r="J338">
            <v>0</v>
          </cell>
        </row>
        <row r="339">
          <cell r="A339">
            <v>6516</v>
          </cell>
          <cell r="B339" t="str">
            <v>Actividades De Las Cooperativas De Grado Superior De Caracter Financiero</v>
          </cell>
          <cell r="C339">
            <v>0</v>
          </cell>
          <cell r="D339">
            <v>0</v>
          </cell>
          <cell r="E339">
            <v>0</v>
          </cell>
          <cell r="F339">
            <v>0</v>
          </cell>
          <cell r="G339">
            <v>0</v>
          </cell>
          <cell r="H339">
            <v>0</v>
          </cell>
          <cell r="I339">
            <v>0</v>
          </cell>
          <cell r="J339">
            <v>0</v>
          </cell>
        </row>
        <row r="340">
          <cell r="A340">
            <v>6519</v>
          </cell>
          <cell r="B340" t="str">
            <v>Otros Tipos De Intermediacion Monetaria Ncp</v>
          </cell>
          <cell r="C340">
            <v>0</v>
          </cell>
          <cell r="D340">
            <v>0</v>
          </cell>
          <cell r="E340">
            <v>0</v>
          </cell>
          <cell r="F340">
            <v>0</v>
          </cell>
          <cell r="G340">
            <v>0</v>
          </cell>
          <cell r="H340">
            <v>0</v>
          </cell>
          <cell r="I340">
            <v>0</v>
          </cell>
          <cell r="J340">
            <v>0</v>
          </cell>
        </row>
        <row r="341">
          <cell r="A341">
            <v>6591</v>
          </cell>
          <cell r="B341" t="str">
            <v>Arrendamiento Financiero (Leasing)</v>
          </cell>
          <cell r="C341">
            <v>0</v>
          </cell>
          <cell r="D341">
            <v>0</v>
          </cell>
          <cell r="E341">
            <v>0</v>
          </cell>
          <cell r="F341">
            <v>0</v>
          </cell>
          <cell r="G341">
            <v>0</v>
          </cell>
          <cell r="H341">
            <v>0</v>
          </cell>
          <cell r="I341">
            <v>0</v>
          </cell>
          <cell r="J341">
            <v>0</v>
          </cell>
        </row>
        <row r="342">
          <cell r="A342">
            <v>6592</v>
          </cell>
          <cell r="B342" t="str">
            <v>Actividades De Las Sociedades De Fiducia</v>
          </cell>
          <cell r="C342">
            <v>0</v>
          </cell>
          <cell r="D342">
            <v>0</v>
          </cell>
          <cell r="E342">
            <v>0</v>
          </cell>
          <cell r="F342">
            <v>0</v>
          </cell>
          <cell r="G342">
            <v>0</v>
          </cell>
          <cell r="H342">
            <v>0</v>
          </cell>
          <cell r="I342">
            <v>0</v>
          </cell>
          <cell r="J342">
            <v>0</v>
          </cell>
        </row>
        <row r="343">
          <cell r="A343">
            <v>6593</v>
          </cell>
          <cell r="B343" t="str">
            <v>Actividades De Las Cooperativas Financieras Y Fondos De Empeados</v>
          </cell>
          <cell r="C343">
            <v>0</v>
          </cell>
          <cell r="D343">
            <v>0</v>
          </cell>
          <cell r="E343">
            <v>0</v>
          </cell>
          <cell r="F343">
            <v>0</v>
          </cell>
          <cell r="G343">
            <v>0</v>
          </cell>
          <cell r="H343">
            <v>0</v>
          </cell>
          <cell r="I343">
            <v>0</v>
          </cell>
          <cell r="J343">
            <v>0</v>
          </cell>
        </row>
        <row r="344">
          <cell r="A344">
            <v>6594</v>
          </cell>
          <cell r="B344" t="str">
            <v>Actividades De Las Sociedades De Capitalizacion</v>
          </cell>
          <cell r="C344">
            <v>0</v>
          </cell>
          <cell r="D344">
            <v>0</v>
          </cell>
          <cell r="E344">
            <v>0</v>
          </cell>
          <cell r="F344">
            <v>0</v>
          </cell>
          <cell r="G344">
            <v>0</v>
          </cell>
          <cell r="H344">
            <v>0</v>
          </cell>
          <cell r="I344">
            <v>0</v>
          </cell>
          <cell r="J344">
            <v>0</v>
          </cell>
        </row>
        <row r="345">
          <cell r="A345">
            <v>6595</v>
          </cell>
          <cell r="B345" t="str">
            <v>Actividades De Compra De Cartera (Factoring)</v>
          </cell>
          <cell r="C345">
            <v>0</v>
          </cell>
          <cell r="D345">
            <v>0</v>
          </cell>
          <cell r="E345">
            <v>0</v>
          </cell>
          <cell r="F345">
            <v>0</v>
          </cell>
          <cell r="G345">
            <v>0</v>
          </cell>
          <cell r="H345">
            <v>0</v>
          </cell>
          <cell r="I345">
            <v>0</v>
          </cell>
          <cell r="J345">
            <v>0</v>
          </cell>
        </row>
        <row r="346">
          <cell r="A346">
            <v>6596</v>
          </cell>
          <cell r="B346" t="str">
            <v>Otros Tipos De Credito</v>
          </cell>
          <cell r="C346">
            <v>0</v>
          </cell>
          <cell r="D346">
            <v>0</v>
          </cell>
          <cell r="E346">
            <v>0</v>
          </cell>
          <cell r="F346">
            <v>0</v>
          </cell>
          <cell r="G346">
            <v>0</v>
          </cell>
          <cell r="H346">
            <v>0</v>
          </cell>
          <cell r="I346">
            <v>0</v>
          </cell>
          <cell r="J346">
            <v>0</v>
          </cell>
        </row>
        <row r="347">
          <cell r="A347">
            <v>6599</v>
          </cell>
          <cell r="B347" t="str">
            <v>Otros Tipos De Intermediacion Financiera Ncp</v>
          </cell>
          <cell r="C347">
            <v>0</v>
          </cell>
          <cell r="D347">
            <v>0</v>
          </cell>
          <cell r="E347">
            <v>0</v>
          </cell>
          <cell r="F347">
            <v>0</v>
          </cell>
          <cell r="G347">
            <v>0</v>
          </cell>
          <cell r="H347">
            <v>0</v>
          </cell>
          <cell r="I347">
            <v>0</v>
          </cell>
          <cell r="J347">
            <v>0</v>
          </cell>
        </row>
        <row r="348">
          <cell r="A348">
            <v>6601</v>
          </cell>
          <cell r="B348" t="str">
            <v>Planes De Seguros Generales</v>
          </cell>
          <cell r="C348">
            <v>0</v>
          </cell>
          <cell r="D348">
            <v>0</v>
          </cell>
          <cell r="E348">
            <v>0</v>
          </cell>
          <cell r="F348">
            <v>0</v>
          </cell>
          <cell r="G348">
            <v>0</v>
          </cell>
          <cell r="H348">
            <v>0</v>
          </cell>
          <cell r="I348">
            <v>0</v>
          </cell>
          <cell r="J348">
            <v>0</v>
          </cell>
        </row>
        <row r="349">
          <cell r="A349">
            <v>6602</v>
          </cell>
          <cell r="B349" t="str">
            <v>Planes De Seguros De Vida</v>
          </cell>
          <cell r="C349">
            <v>0</v>
          </cell>
          <cell r="D349">
            <v>0</v>
          </cell>
          <cell r="E349">
            <v>0</v>
          </cell>
          <cell r="F349">
            <v>0</v>
          </cell>
          <cell r="G349">
            <v>0</v>
          </cell>
          <cell r="H349">
            <v>0</v>
          </cell>
          <cell r="I349">
            <v>0</v>
          </cell>
          <cell r="J349">
            <v>0</v>
          </cell>
        </row>
        <row r="350">
          <cell r="A350">
            <v>6603</v>
          </cell>
          <cell r="B350" t="str">
            <v>Planes De Reaseguros</v>
          </cell>
          <cell r="C350">
            <v>0</v>
          </cell>
          <cell r="D350">
            <v>0</v>
          </cell>
          <cell r="E350">
            <v>0</v>
          </cell>
          <cell r="F350">
            <v>0</v>
          </cell>
          <cell r="G350">
            <v>0</v>
          </cell>
          <cell r="H350">
            <v>0</v>
          </cell>
          <cell r="I350">
            <v>0</v>
          </cell>
          <cell r="J350">
            <v>0</v>
          </cell>
        </row>
        <row r="351">
          <cell r="A351">
            <v>6604</v>
          </cell>
          <cell r="B351" t="str">
            <v>Planes De Pensiones Y Cesantias</v>
          </cell>
          <cell r="C351">
            <v>0</v>
          </cell>
          <cell r="D351">
            <v>0</v>
          </cell>
          <cell r="E351">
            <v>0</v>
          </cell>
          <cell r="F351">
            <v>0</v>
          </cell>
          <cell r="G351">
            <v>0</v>
          </cell>
          <cell r="H351">
            <v>0</v>
          </cell>
          <cell r="I351">
            <v>0</v>
          </cell>
          <cell r="J351">
            <v>0</v>
          </cell>
        </row>
        <row r="352">
          <cell r="A352">
            <v>6711</v>
          </cell>
          <cell r="B352" t="str">
            <v>Administracion De Mercados Financieros</v>
          </cell>
          <cell r="C352">
            <v>0</v>
          </cell>
          <cell r="D352">
            <v>0</v>
          </cell>
          <cell r="E352">
            <v>0</v>
          </cell>
          <cell r="F352">
            <v>0</v>
          </cell>
          <cell r="G352">
            <v>0</v>
          </cell>
          <cell r="H352">
            <v>0</v>
          </cell>
          <cell r="I352">
            <v>0</v>
          </cell>
          <cell r="J352">
            <v>0</v>
          </cell>
        </row>
        <row r="353">
          <cell r="A353">
            <v>6712</v>
          </cell>
          <cell r="B353" t="str">
            <v>Actividades De Las Bolsas De Valores</v>
          </cell>
          <cell r="C353">
            <v>0</v>
          </cell>
          <cell r="D353">
            <v>0</v>
          </cell>
          <cell r="E353">
            <v>0</v>
          </cell>
          <cell r="F353">
            <v>0</v>
          </cell>
          <cell r="G353">
            <v>0</v>
          </cell>
          <cell r="H353">
            <v>0</v>
          </cell>
          <cell r="I353">
            <v>0</v>
          </cell>
          <cell r="J353">
            <v>0</v>
          </cell>
        </row>
        <row r="354">
          <cell r="A354">
            <v>6713</v>
          </cell>
          <cell r="B354" t="str">
            <v>Actividades De Comisionistas Y Corredores De Valores</v>
          </cell>
          <cell r="C354">
            <v>0</v>
          </cell>
          <cell r="D354">
            <v>0</v>
          </cell>
          <cell r="E354">
            <v>0</v>
          </cell>
          <cell r="F354">
            <v>0</v>
          </cell>
          <cell r="G354">
            <v>0</v>
          </cell>
          <cell r="H354">
            <v>0</v>
          </cell>
          <cell r="I354">
            <v>0</v>
          </cell>
          <cell r="J354">
            <v>0</v>
          </cell>
        </row>
        <row r="355">
          <cell r="A355">
            <v>6714</v>
          </cell>
          <cell r="B355" t="str">
            <v>Otras Actividades Relacionadas Con El Mercado De Valores</v>
          </cell>
          <cell r="C355">
            <v>0</v>
          </cell>
          <cell r="D355">
            <v>0</v>
          </cell>
          <cell r="E355">
            <v>0</v>
          </cell>
          <cell r="F355">
            <v>0</v>
          </cell>
          <cell r="G355">
            <v>0</v>
          </cell>
          <cell r="H355">
            <v>0</v>
          </cell>
          <cell r="I355">
            <v>0</v>
          </cell>
          <cell r="J355">
            <v>0</v>
          </cell>
        </row>
        <row r="356">
          <cell r="A356">
            <v>6715</v>
          </cell>
          <cell r="B356" t="str">
            <v>Actividades De Las Casas De Cambio</v>
          </cell>
          <cell r="C356">
            <v>0</v>
          </cell>
          <cell r="D356">
            <v>0</v>
          </cell>
          <cell r="E356">
            <v>0</v>
          </cell>
          <cell r="F356">
            <v>0</v>
          </cell>
          <cell r="G356">
            <v>0</v>
          </cell>
          <cell r="H356">
            <v>0</v>
          </cell>
          <cell r="I356">
            <v>0</v>
          </cell>
          <cell r="J356">
            <v>0</v>
          </cell>
        </row>
        <row r="357">
          <cell r="A357">
            <v>6719</v>
          </cell>
          <cell r="B357" t="str">
            <v>Actividades Auxiliares De La Administracion Financiera Ncp</v>
          </cell>
          <cell r="C357">
            <v>0</v>
          </cell>
          <cell r="D357">
            <v>0</v>
          </cell>
          <cell r="E357">
            <v>0</v>
          </cell>
          <cell r="F357">
            <v>0</v>
          </cell>
          <cell r="G357">
            <v>0</v>
          </cell>
          <cell r="H357">
            <v>0</v>
          </cell>
          <cell r="I357">
            <v>0</v>
          </cell>
          <cell r="J357">
            <v>0</v>
          </cell>
        </row>
        <row r="358">
          <cell r="A358">
            <v>6721</v>
          </cell>
          <cell r="B358" t="str">
            <v>Actividades Auxiliares De Los Seguros</v>
          </cell>
          <cell r="C358">
            <v>0</v>
          </cell>
          <cell r="D358">
            <v>0</v>
          </cell>
          <cell r="E358">
            <v>0</v>
          </cell>
          <cell r="F358">
            <v>0</v>
          </cell>
          <cell r="G358">
            <v>0</v>
          </cell>
          <cell r="H358">
            <v>0</v>
          </cell>
          <cell r="I358">
            <v>0</v>
          </cell>
          <cell r="J358">
            <v>0</v>
          </cell>
        </row>
        <row r="359">
          <cell r="A359">
            <v>6722</v>
          </cell>
          <cell r="B359" t="str">
            <v>Actividades Auxiliares De Los Fondos De Pensiones Y Cesantias</v>
          </cell>
          <cell r="C359">
            <v>0</v>
          </cell>
          <cell r="D359">
            <v>0</v>
          </cell>
          <cell r="E359">
            <v>0</v>
          </cell>
          <cell r="F359">
            <v>0</v>
          </cell>
          <cell r="G359">
            <v>0</v>
          </cell>
          <cell r="H359">
            <v>0</v>
          </cell>
          <cell r="I359">
            <v>0</v>
          </cell>
          <cell r="J359">
            <v>0</v>
          </cell>
        </row>
        <row r="360">
          <cell r="A360">
            <v>7010</v>
          </cell>
          <cell r="B360" t="str">
            <v>Actividades Inmobiliarias Realizadas Con Bienes Propios O Arrendados</v>
          </cell>
          <cell r="C360">
            <v>0</v>
          </cell>
          <cell r="D360">
            <v>0</v>
          </cell>
          <cell r="E360">
            <v>0</v>
          </cell>
          <cell r="F360">
            <v>0</v>
          </cell>
          <cell r="G360">
            <v>0</v>
          </cell>
          <cell r="H360">
            <v>0</v>
          </cell>
          <cell r="I360">
            <v>0</v>
          </cell>
          <cell r="J360">
            <v>0</v>
          </cell>
        </row>
        <row r="361">
          <cell r="A361">
            <v>7020</v>
          </cell>
          <cell r="B361" t="str">
            <v>Actividades Inmobiliarias A Cambio De Una Retribucion O Por Contrata</v>
          </cell>
          <cell r="C361">
            <v>0</v>
          </cell>
          <cell r="D361">
            <v>0</v>
          </cell>
          <cell r="E361">
            <v>0</v>
          </cell>
          <cell r="F361">
            <v>0</v>
          </cell>
          <cell r="G361">
            <v>0</v>
          </cell>
          <cell r="H361">
            <v>0</v>
          </cell>
          <cell r="I361">
            <v>0</v>
          </cell>
          <cell r="J361">
            <v>0</v>
          </cell>
        </row>
        <row r="362">
          <cell r="A362">
            <v>7111</v>
          </cell>
          <cell r="B362" t="str">
            <v>Alquiler De Equipo De Transporte Terrestre</v>
          </cell>
          <cell r="C362">
            <v>0</v>
          </cell>
          <cell r="D362">
            <v>0</v>
          </cell>
          <cell r="E362">
            <v>0</v>
          </cell>
          <cell r="F362">
            <v>0</v>
          </cell>
          <cell r="G362">
            <v>0</v>
          </cell>
          <cell r="H362">
            <v>0</v>
          </cell>
          <cell r="I362">
            <v>0</v>
          </cell>
          <cell r="J362">
            <v>0</v>
          </cell>
        </row>
        <row r="363">
          <cell r="A363">
            <v>7112</v>
          </cell>
          <cell r="B363" t="str">
            <v>Alquiler De Equipo De Transporte Acuatico</v>
          </cell>
          <cell r="C363">
            <v>0</v>
          </cell>
          <cell r="D363">
            <v>0</v>
          </cell>
          <cell r="E363">
            <v>0</v>
          </cell>
          <cell r="F363">
            <v>0</v>
          </cell>
          <cell r="G363">
            <v>0</v>
          </cell>
          <cell r="H363">
            <v>0</v>
          </cell>
          <cell r="I363">
            <v>0</v>
          </cell>
          <cell r="J363">
            <v>0</v>
          </cell>
        </row>
        <row r="364">
          <cell r="A364">
            <v>7113</v>
          </cell>
          <cell r="B364" t="str">
            <v>Alquiler De Equipo De Transporte Aereo</v>
          </cell>
          <cell r="C364">
            <v>0</v>
          </cell>
          <cell r="D364">
            <v>0</v>
          </cell>
          <cell r="E364">
            <v>0</v>
          </cell>
          <cell r="F364">
            <v>0</v>
          </cell>
          <cell r="G364">
            <v>0</v>
          </cell>
          <cell r="H364">
            <v>0</v>
          </cell>
          <cell r="I364">
            <v>0</v>
          </cell>
          <cell r="J364">
            <v>0</v>
          </cell>
        </row>
        <row r="365">
          <cell r="A365">
            <v>7121</v>
          </cell>
          <cell r="B365" t="str">
            <v>Alquiler De Maquinaria Y Equipo Agropecuario</v>
          </cell>
          <cell r="C365">
            <v>0</v>
          </cell>
          <cell r="D365">
            <v>0</v>
          </cell>
          <cell r="E365">
            <v>0</v>
          </cell>
          <cell r="F365">
            <v>0</v>
          </cell>
          <cell r="G365">
            <v>0</v>
          </cell>
          <cell r="H365">
            <v>0</v>
          </cell>
          <cell r="I365">
            <v>0</v>
          </cell>
          <cell r="J365">
            <v>0</v>
          </cell>
        </row>
        <row r="366">
          <cell r="A366">
            <v>7122</v>
          </cell>
          <cell r="B366" t="str">
            <v>Alquiler De Maquinaria Y Equipo De Construccion Y De Ingenieria Civil</v>
          </cell>
          <cell r="C366">
            <v>0</v>
          </cell>
          <cell r="D366">
            <v>0</v>
          </cell>
          <cell r="E366">
            <v>0</v>
          </cell>
          <cell r="F366">
            <v>0</v>
          </cell>
          <cell r="G366">
            <v>0</v>
          </cell>
          <cell r="H366">
            <v>0</v>
          </cell>
          <cell r="I366">
            <v>0</v>
          </cell>
          <cell r="J366">
            <v>0</v>
          </cell>
        </row>
        <row r="367">
          <cell r="A367">
            <v>7123</v>
          </cell>
          <cell r="B367" t="str">
            <v>Alquiler De Maquinaria Y Equipo De Oficina (Incluso Computadores)</v>
          </cell>
          <cell r="C367">
            <v>0</v>
          </cell>
          <cell r="D367">
            <v>0</v>
          </cell>
          <cell r="E367">
            <v>0</v>
          </cell>
          <cell r="F367">
            <v>0</v>
          </cell>
          <cell r="G367">
            <v>0</v>
          </cell>
          <cell r="H367">
            <v>0</v>
          </cell>
          <cell r="I367">
            <v>0</v>
          </cell>
          <cell r="J367">
            <v>0</v>
          </cell>
        </row>
        <row r="368">
          <cell r="A368">
            <v>7129</v>
          </cell>
          <cell r="B368" t="str">
            <v>Alquiler De Otros Tipos De Maquinaria Y Equipo Ncp</v>
          </cell>
          <cell r="C368">
            <v>0</v>
          </cell>
          <cell r="D368">
            <v>0</v>
          </cell>
          <cell r="E368">
            <v>0</v>
          </cell>
          <cell r="F368">
            <v>0</v>
          </cell>
          <cell r="G368">
            <v>0</v>
          </cell>
          <cell r="H368">
            <v>0</v>
          </cell>
          <cell r="I368">
            <v>0</v>
          </cell>
          <cell r="J368">
            <v>0</v>
          </cell>
        </row>
        <row r="369">
          <cell r="A369">
            <v>7130</v>
          </cell>
          <cell r="B369" t="str">
            <v>Alquiler De Efectos Personaels Y Enseres Domesticos Ncp</v>
          </cell>
          <cell r="C369">
            <v>0</v>
          </cell>
          <cell r="D369">
            <v>0</v>
          </cell>
          <cell r="E369">
            <v>0</v>
          </cell>
          <cell r="F369">
            <v>0</v>
          </cell>
          <cell r="G369">
            <v>0</v>
          </cell>
          <cell r="H369">
            <v>0</v>
          </cell>
          <cell r="I369">
            <v>0</v>
          </cell>
          <cell r="J369">
            <v>0</v>
          </cell>
        </row>
        <row r="370">
          <cell r="A370">
            <v>7210</v>
          </cell>
          <cell r="B370" t="str">
            <v>Consultores En Equipo De Informatica</v>
          </cell>
          <cell r="C370">
            <v>0</v>
          </cell>
          <cell r="D370">
            <v>0</v>
          </cell>
          <cell r="E370">
            <v>0</v>
          </cell>
          <cell r="F370">
            <v>0</v>
          </cell>
          <cell r="G370">
            <v>0</v>
          </cell>
          <cell r="H370">
            <v>0</v>
          </cell>
          <cell r="I370">
            <v>0</v>
          </cell>
          <cell r="J370">
            <v>0</v>
          </cell>
        </row>
        <row r="371">
          <cell r="A371">
            <v>7220</v>
          </cell>
          <cell r="B371" t="str">
            <v>Consultores En Programas De Informatica Y Suministro De Programas De Informatica</v>
          </cell>
          <cell r="C371">
            <v>0</v>
          </cell>
          <cell r="D371">
            <v>0</v>
          </cell>
          <cell r="E371">
            <v>0</v>
          </cell>
          <cell r="F371">
            <v>0</v>
          </cell>
          <cell r="G371">
            <v>0</v>
          </cell>
          <cell r="H371">
            <v>0</v>
          </cell>
          <cell r="I371">
            <v>0</v>
          </cell>
          <cell r="J371">
            <v>0</v>
          </cell>
        </row>
        <row r="372">
          <cell r="A372">
            <v>7230</v>
          </cell>
          <cell r="B372" t="str">
            <v>Procesamiento De Datos</v>
          </cell>
          <cell r="C372">
            <v>0</v>
          </cell>
          <cell r="D372">
            <v>0</v>
          </cell>
          <cell r="E372">
            <v>0</v>
          </cell>
          <cell r="F372">
            <v>0</v>
          </cell>
          <cell r="G372">
            <v>0</v>
          </cell>
          <cell r="H372">
            <v>0</v>
          </cell>
          <cell r="I372">
            <v>0</v>
          </cell>
          <cell r="J372">
            <v>0</v>
          </cell>
        </row>
        <row r="373">
          <cell r="A373">
            <v>7240</v>
          </cell>
          <cell r="B373" t="str">
            <v>Actividades Relacionadas Con Bases De Datos</v>
          </cell>
          <cell r="C373">
            <v>0</v>
          </cell>
          <cell r="D373">
            <v>0</v>
          </cell>
          <cell r="E373">
            <v>0</v>
          </cell>
          <cell r="F373">
            <v>0</v>
          </cell>
          <cell r="G373">
            <v>0</v>
          </cell>
          <cell r="H373">
            <v>0</v>
          </cell>
          <cell r="I373">
            <v>0</v>
          </cell>
          <cell r="J373">
            <v>0</v>
          </cell>
        </row>
        <row r="374">
          <cell r="A374">
            <v>7250</v>
          </cell>
          <cell r="B374" t="str">
            <v>Mantenimiento Y Reparacion De Maquinaria De Oficina, Contabilidad E Informatica</v>
          </cell>
          <cell r="C374">
            <v>0</v>
          </cell>
          <cell r="D374">
            <v>0</v>
          </cell>
          <cell r="E374">
            <v>0</v>
          </cell>
          <cell r="F374">
            <v>0</v>
          </cell>
          <cell r="G374">
            <v>0</v>
          </cell>
          <cell r="H374">
            <v>0</v>
          </cell>
          <cell r="I374">
            <v>0</v>
          </cell>
          <cell r="J374">
            <v>0</v>
          </cell>
        </row>
        <row r="375">
          <cell r="A375">
            <v>7290</v>
          </cell>
          <cell r="B375" t="str">
            <v>Otras Actividades De Informatica</v>
          </cell>
          <cell r="C375">
            <v>0</v>
          </cell>
          <cell r="D375">
            <v>0</v>
          </cell>
          <cell r="E375">
            <v>0</v>
          </cell>
          <cell r="F375">
            <v>0</v>
          </cell>
          <cell r="G375">
            <v>0</v>
          </cell>
          <cell r="H375">
            <v>0</v>
          </cell>
          <cell r="I375">
            <v>0</v>
          </cell>
          <cell r="J375">
            <v>0</v>
          </cell>
        </row>
        <row r="376">
          <cell r="A376">
            <v>7310</v>
          </cell>
          <cell r="B376" t="str">
            <v>Investigacion Y Desarrollo Experimental En El Campo De Las Ciencias Naturales Y La Ingenieria</v>
          </cell>
          <cell r="C376">
            <v>0</v>
          </cell>
          <cell r="D376">
            <v>0</v>
          </cell>
          <cell r="E376">
            <v>0</v>
          </cell>
          <cell r="F376">
            <v>0</v>
          </cell>
          <cell r="G376">
            <v>0</v>
          </cell>
          <cell r="H376">
            <v>0</v>
          </cell>
          <cell r="I376">
            <v>0</v>
          </cell>
          <cell r="J376">
            <v>0</v>
          </cell>
        </row>
        <row r="377">
          <cell r="A377">
            <v>7320</v>
          </cell>
          <cell r="B377" t="str">
            <v>Investigacion Y Desarrollo Experimental En El Campo De Las Ciencias Sociales Y La Humanidades</v>
          </cell>
          <cell r="C377">
            <v>0</v>
          </cell>
          <cell r="D377">
            <v>0</v>
          </cell>
          <cell r="E377">
            <v>0</v>
          </cell>
          <cell r="F377">
            <v>0</v>
          </cell>
          <cell r="G377">
            <v>0</v>
          </cell>
          <cell r="H377">
            <v>0</v>
          </cell>
          <cell r="I377">
            <v>0</v>
          </cell>
          <cell r="J377">
            <v>0</v>
          </cell>
        </row>
        <row r="378">
          <cell r="A378">
            <v>7411</v>
          </cell>
          <cell r="B378" t="str">
            <v>Actividades Juridicas</v>
          </cell>
          <cell r="C378">
            <v>0</v>
          </cell>
          <cell r="D378">
            <v>0</v>
          </cell>
          <cell r="E378">
            <v>0</v>
          </cell>
          <cell r="F378">
            <v>0</v>
          </cell>
          <cell r="G378">
            <v>0</v>
          </cell>
          <cell r="H378">
            <v>0</v>
          </cell>
          <cell r="I378">
            <v>0</v>
          </cell>
          <cell r="J378">
            <v>0</v>
          </cell>
        </row>
        <row r="379">
          <cell r="A379">
            <v>7412</v>
          </cell>
          <cell r="B379" t="str">
            <v>Actividades De Contabilidad, Teneduria De Libros Y Auditoria; Asesoramiento En Materia De Impuestos</v>
          </cell>
          <cell r="C379">
            <v>0</v>
          </cell>
          <cell r="D379">
            <v>0</v>
          </cell>
          <cell r="E379">
            <v>0</v>
          </cell>
          <cell r="F379">
            <v>0</v>
          </cell>
          <cell r="G379">
            <v>0</v>
          </cell>
          <cell r="H379">
            <v>0</v>
          </cell>
          <cell r="I379">
            <v>0</v>
          </cell>
          <cell r="J379">
            <v>0</v>
          </cell>
        </row>
        <row r="380">
          <cell r="A380">
            <v>7413</v>
          </cell>
          <cell r="B380" t="str">
            <v>Investigacion De Mercados Y Realizacion De Encuestas De Opinion Publica</v>
          </cell>
          <cell r="C380">
            <v>0</v>
          </cell>
          <cell r="D380">
            <v>0</v>
          </cell>
          <cell r="E380">
            <v>0</v>
          </cell>
          <cell r="F380">
            <v>0</v>
          </cell>
          <cell r="G380">
            <v>0</v>
          </cell>
          <cell r="H380">
            <v>0</v>
          </cell>
          <cell r="I380">
            <v>0</v>
          </cell>
          <cell r="J380">
            <v>0</v>
          </cell>
        </row>
        <row r="381">
          <cell r="A381">
            <v>7414</v>
          </cell>
          <cell r="B381" t="str">
            <v>Actividades De Asesoramiento Empresarial Y En Materia De Gestion</v>
          </cell>
          <cell r="C381">
            <v>0</v>
          </cell>
          <cell r="D381">
            <v>0</v>
          </cell>
          <cell r="E381">
            <v>0</v>
          </cell>
          <cell r="F381">
            <v>0</v>
          </cell>
          <cell r="G381">
            <v>0</v>
          </cell>
          <cell r="H381">
            <v>0</v>
          </cell>
          <cell r="I381">
            <v>0</v>
          </cell>
          <cell r="J381">
            <v>0</v>
          </cell>
        </row>
        <row r="382">
          <cell r="A382">
            <v>7421</v>
          </cell>
          <cell r="B382" t="str">
            <v>Actividades De Arquitectura E Ingenieria Y Actividades Conexas De Asesoramiento Tecnico</v>
          </cell>
          <cell r="C382">
            <v>0</v>
          </cell>
          <cell r="D382">
            <v>0</v>
          </cell>
          <cell r="E382">
            <v>0</v>
          </cell>
          <cell r="F382">
            <v>0</v>
          </cell>
          <cell r="G382">
            <v>0</v>
          </cell>
          <cell r="H382">
            <v>0</v>
          </cell>
          <cell r="I382">
            <v>0</v>
          </cell>
          <cell r="J382">
            <v>0</v>
          </cell>
        </row>
        <row r="383">
          <cell r="A383">
            <v>7422</v>
          </cell>
          <cell r="B383" t="str">
            <v>Ensayos Y Analisis Tecnicos</v>
          </cell>
          <cell r="C383">
            <v>0</v>
          </cell>
          <cell r="D383">
            <v>0</v>
          </cell>
          <cell r="E383">
            <v>0</v>
          </cell>
          <cell r="F383">
            <v>0</v>
          </cell>
          <cell r="G383">
            <v>0</v>
          </cell>
          <cell r="H383">
            <v>0</v>
          </cell>
          <cell r="I383">
            <v>0</v>
          </cell>
          <cell r="J383">
            <v>0</v>
          </cell>
        </row>
        <row r="384">
          <cell r="A384">
            <v>7430</v>
          </cell>
          <cell r="B384" t="str">
            <v>Publicidad</v>
          </cell>
          <cell r="C384">
            <v>0</v>
          </cell>
          <cell r="D384">
            <v>0</v>
          </cell>
          <cell r="E384">
            <v>0</v>
          </cell>
          <cell r="F384">
            <v>0</v>
          </cell>
          <cell r="G384">
            <v>0</v>
          </cell>
          <cell r="H384">
            <v>0</v>
          </cell>
          <cell r="I384">
            <v>0</v>
          </cell>
          <cell r="J384">
            <v>0</v>
          </cell>
        </row>
        <row r="385">
          <cell r="A385">
            <v>7491</v>
          </cell>
          <cell r="B385" t="str">
            <v>Obtencion Y Suministro De Personal</v>
          </cell>
          <cell r="C385">
            <v>0</v>
          </cell>
          <cell r="D385">
            <v>0</v>
          </cell>
          <cell r="E385">
            <v>0</v>
          </cell>
          <cell r="F385">
            <v>0</v>
          </cell>
          <cell r="G385">
            <v>0</v>
          </cell>
          <cell r="H385">
            <v>0</v>
          </cell>
          <cell r="I385">
            <v>0</v>
          </cell>
          <cell r="J385">
            <v>0</v>
          </cell>
        </row>
        <row r="386">
          <cell r="A386">
            <v>7492</v>
          </cell>
          <cell r="B386" t="str">
            <v>Actividades De Investigacion Y Seguridad</v>
          </cell>
          <cell r="C386">
            <v>0</v>
          </cell>
          <cell r="D386">
            <v>0</v>
          </cell>
          <cell r="E386">
            <v>0</v>
          </cell>
          <cell r="F386">
            <v>0</v>
          </cell>
          <cell r="G386">
            <v>0</v>
          </cell>
          <cell r="H386">
            <v>0</v>
          </cell>
          <cell r="I386">
            <v>0</v>
          </cell>
          <cell r="J386">
            <v>0</v>
          </cell>
        </row>
        <row r="387">
          <cell r="A387">
            <v>7493</v>
          </cell>
          <cell r="B387" t="str">
            <v>Actividades De Limpieza De Edificios</v>
          </cell>
          <cell r="C387">
            <v>0</v>
          </cell>
          <cell r="D387">
            <v>0</v>
          </cell>
          <cell r="E387">
            <v>0</v>
          </cell>
          <cell r="F387">
            <v>0</v>
          </cell>
          <cell r="G387">
            <v>0</v>
          </cell>
          <cell r="H387">
            <v>0</v>
          </cell>
          <cell r="I387">
            <v>0</v>
          </cell>
          <cell r="J387">
            <v>0</v>
          </cell>
        </row>
        <row r="388">
          <cell r="A388">
            <v>7494</v>
          </cell>
          <cell r="B388" t="str">
            <v>Actividades De Fotografia</v>
          </cell>
          <cell r="C388">
            <v>0</v>
          </cell>
          <cell r="D388">
            <v>0</v>
          </cell>
          <cell r="E388">
            <v>0</v>
          </cell>
          <cell r="F388">
            <v>0</v>
          </cell>
          <cell r="G388">
            <v>0</v>
          </cell>
          <cell r="H388">
            <v>0</v>
          </cell>
          <cell r="I388">
            <v>0</v>
          </cell>
          <cell r="J388">
            <v>0</v>
          </cell>
        </row>
        <row r="389">
          <cell r="A389">
            <v>7495</v>
          </cell>
          <cell r="B389" t="str">
            <v>Actividades De Envase Y Empaque</v>
          </cell>
          <cell r="C389">
            <v>0</v>
          </cell>
          <cell r="D389">
            <v>0</v>
          </cell>
          <cell r="E389">
            <v>0</v>
          </cell>
          <cell r="F389">
            <v>0</v>
          </cell>
          <cell r="G389">
            <v>0</v>
          </cell>
          <cell r="H389">
            <v>0</v>
          </cell>
          <cell r="I389">
            <v>0</v>
          </cell>
          <cell r="J389">
            <v>0</v>
          </cell>
        </row>
        <row r="390">
          <cell r="A390">
            <v>7499</v>
          </cell>
          <cell r="B390" t="str">
            <v>Otras Actividades Empresariales Ncp</v>
          </cell>
          <cell r="C390">
            <v>0</v>
          </cell>
          <cell r="D390">
            <v>0</v>
          </cell>
          <cell r="E390">
            <v>0</v>
          </cell>
          <cell r="F390">
            <v>0</v>
          </cell>
          <cell r="G390">
            <v>0</v>
          </cell>
          <cell r="H390">
            <v>0</v>
          </cell>
          <cell r="I390">
            <v>0</v>
          </cell>
          <cell r="J390">
            <v>0</v>
          </cell>
        </row>
        <row r="391">
          <cell r="A391">
            <v>7511</v>
          </cell>
          <cell r="B391" t="str">
            <v>Actividades Legislativas De La Administracion Publica En General</v>
          </cell>
          <cell r="C391">
            <v>0</v>
          </cell>
          <cell r="D391">
            <v>0</v>
          </cell>
          <cell r="E391">
            <v>0</v>
          </cell>
          <cell r="F391">
            <v>0</v>
          </cell>
          <cell r="G391">
            <v>0</v>
          </cell>
          <cell r="H391">
            <v>0</v>
          </cell>
          <cell r="I391">
            <v>0</v>
          </cell>
          <cell r="J391">
            <v>0</v>
          </cell>
        </row>
        <row r="392">
          <cell r="A392">
            <v>7512</v>
          </cell>
          <cell r="B392" t="str">
            <v>Actividades Ejecutivas De La Administracion Publica En General</v>
          </cell>
          <cell r="C392">
            <v>0</v>
          </cell>
          <cell r="D392">
            <v>0</v>
          </cell>
          <cell r="E392">
            <v>0</v>
          </cell>
          <cell r="F392">
            <v>0</v>
          </cell>
          <cell r="G392">
            <v>0</v>
          </cell>
          <cell r="H392">
            <v>0</v>
          </cell>
          <cell r="I392">
            <v>0</v>
          </cell>
          <cell r="J392">
            <v>0</v>
          </cell>
        </row>
        <row r="393">
          <cell r="A393">
            <v>7513</v>
          </cell>
          <cell r="B393" t="str">
            <v>Regulacion De Las Actividades  De Organismos Que Prestan Servicios De Salud, Educativos, Culturales Y Otros Servicios Sociales, Excepto Servicios D</v>
          </cell>
          <cell r="C393">
            <v>0</v>
          </cell>
          <cell r="D393">
            <v>0</v>
          </cell>
          <cell r="E393">
            <v>0</v>
          </cell>
          <cell r="F393">
            <v>0</v>
          </cell>
          <cell r="G393">
            <v>0</v>
          </cell>
          <cell r="H393">
            <v>0</v>
          </cell>
          <cell r="I393">
            <v>0</v>
          </cell>
          <cell r="J393">
            <v>0</v>
          </cell>
        </row>
        <row r="394">
          <cell r="A394">
            <v>7514</v>
          </cell>
          <cell r="B394" t="str">
            <v>Actividades Reguladoras Y Facilitadoras De La Actividad Economica</v>
          </cell>
          <cell r="C394">
            <v>0</v>
          </cell>
          <cell r="D394">
            <v>0</v>
          </cell>
          <cell r="E394">
            <v>0</v>
          </cell>
          <cell r="F394">
            <v>0</v>
          </cell>
          <cell r="G394">
            <v>0</v>
          </cell>
          <cell r="H394">
            <v>0</v>
          </cell>
          <cell r="I394">
            <v>0</v>
          </cell>
          <cell r="J394">
            <v>0</v>
          </cell>
        </row>
        <row r="395">
          <cell r="A395">
            <v>7515</v>
          </cell>
          <cell r="B395" t="str">
            <v>Actividades Auxiliares De Servicios Para La Administracion Publica En Gfeneral</v>
          </cell>
          <cell r="C395">
            <v>0</v>
          </cell>
          <cell r="D395">
            <v>0</v>
          </cell>
          <cell r="E395">
            <v>0</v>
          </cell>
          <cell r="F395">
            <v>0</v>
          </cell>
          <cell r="G395">
            <v>0</v>
          </cell>
          <cell r="H395">
            <v>0</v>
          </cell>
          <cell r="I395">
            <v>0</v>
          </cell>
          <cell r="J395">
            <v>0</v>
          </cell>
        </row>
        <row r="396">
          <cell r="A396">
            <v>7521</v>
          </cell>
          <cell r="B396" t="str">
            <v>Relaciones Exteriores</v>
          </cell>
          <cell r="C396">
            <v>0</v>
          </cell>
          <cell r="D396">
            <v>0</v>
          </cell>
          <cell r="E396">
            <v>0</v>
          </cell>
          <cell r="F396">
            <v>0</v>
          </cell>
          <cell r="G396">
            <v>0</v>
          </cell>
          <cell r="H396">
            <v>0</v>
          </cell>
          <cell r="I396">
            <v>0</v>
          </cell>
          <cell r="J396">
            <v>0</v>
          </cell>
        </row>
        <row r="397">
          <cell r="A397">
            <v>7522</v>
          </cell>
          <cell r="B397" t="str">
            <v>Actividades De Defensa</v>
          </cell>
          <cell r="C397">
            <v>0</v>
          </cell>
          <cell r="D397">
            <v>0</v>
          </cell>
          <cell r="E397">
            <v>0</v>
          </cell>
          <cell r="F397">
            <v>0</v>
          </cell>
          <cell r="G397">
            <v>0</v>
          </cell>
          <cell r="H397">
            <v>0</v>
          </cell>
          <cell r="I397">
            <v>0</v>
          </cell>
          <cell r="J397">
            <v>0</v>
          </cell>
        </row>
        <row r="398">
          <cell r="A398">
            <v>7523</v>
          </cell>
          <cell r="B398" t="str">
            <v>Actividades De La Justicia</v>
          </cell>
          <cell r="C398">
            <v>0</v>
          </cell>
          <cell r="D398">
            <v>0</v>
          </cell>
          <cell r="E398">
            <v>0</v>
          </cell>
          <cell r="F398">
            <v>0</v>
          </cell>
          <cell r="G398">
            <v>0</v>
          </cell>
          <cell r="H398">
            <v>0</v>
          </cell>
          <cell r="I398">
            <v>0</v>
          </cell>
          <cell r="J398">
            <v>0</v>
          </cell>
        </row>
        <row r="399">
          <cell r="A399">
            <v>7524</v>
          </cell>
          <cell r="B399" t="str">
            <v>Actividades De La Policia Y Proteccion Civil</v>
          </cell>
          <cell r="C399">
            <v>0</v>
          </cell>
          <cell r="D399">
            <v>0</v>
          </cell>
          <cell r="E399">
            <v>0</v>
          </cell>
          <cell r="F399">
            <v>0</v>
          </cell>
          <cell r="G399">
            <v>0</v>
          </cell>
          <cell r="H399">
            <v>0</v>
          </cell>
          <cell r="I399">
            <v>0</v>
          </cell>
          <cell r="J399">
            <v>0</v>
          </cell>
        </row>
        <row r="400">
          <cell r="A400">
            <v>7530</v>
          </cell>
          <cell r="B400" t="str">
            <v>Actividades De Seguridad Social De Afiliacion Obligatoria</v>
          </cell>
          <cell r="C400">
            <v>0</v>
          </cell>
          <cell r="D400">
            <v>0</v>
          </cell>
          <cell r="E400">
            <v>0</v>
          </cell>
          <cell r="F400">
            <v>0</v>
          </cell>
          <cell r="G400">
            <v>0</v>
          </cell>
          <cell r="H400">
            <v>0</v>
          </cell>
          <cell r="I400">
            <v>0</v>
          </cell>
          <cell r="J400">
            <v>0</v>
          </cell>
        </row>
        <row r="401">
          <cell r="A401">
            <v>8011</v>
          </cell>
          <cell r="B401" t="str">
            <v>Eduacion Preescolar</v>
          </cell>
          <cell r="C401">
            <v>0</v>
          </cell>
          <cell r="D401">
            <v>0</v>
          </cell>
          <cell r="E401">
            <v>0</v>
          </cell>
          <cell r="F401">
            <v>0</v>
          </cell>
          <cell r="G401">
            <v>0</v>
          </cell>
          <cell r="H401">
            <v>0</v>
          </cell>
          <cell r="I401">
            <v>0</v>
          </cell>
          <cell r="J401">
            <v>0</v>
          </cell>
        </row>
        <row r="402">
          <cell r="A402">
            <v>8012</v>
          </cell>
          <cell r="B402" t="str">
            <v>Educacion Basica Primaria</v>
          </cell>
          <cell r="C402">
            <v>0</v>
          </cell>
          <cell r="D402">
            <v>0</v>
          </cell>
          <cell r="E402">
            <v>0</v>
          </cell>
          <cell r="F402">
            <v>0</v>
          </cell>
          <cell r="G402">
            <v>0</v>
          </cell>
          <cell r="H402">
            <v>0</v>
          </cell>
          <cell r="I402">
            <v>0</v>
          </cell>
          <cell r="J402">
            <v>0</v>
          </cell>
        </row>
        <row r="403">
          <cell r="A403">
            <v>8021</v>
          </cell>
          <cell r="B403" t="str">
            <v>Educacion Basica Secundaria</v>
          </cell>
          <cell r="C403">
            <v>0</v>
          </cell>
          <cell r="D403">
            <v>0</v>
          </cell>
          <cell r="E403">
            <v>0</v>
          </cell>
          <cell r="F403">
            <v>0</v>
          </cell>
          <cell r="G403">
            <v>0</v>
          </cell>
          <cell r="H403">
            <v>0</v>
          </cell>
          <cell r="I403">
            <v>0</v>
          </cell>
          <cell r="J403">
            <v>0</v>
          </cell>
        </row>
        <row r="404">
          <cell r="A404">
            <v>8022</v>
          </cell>
          <cell r="B404" t="str">
            <v>Educacion Media</v>
          </cell>
          <cell r="C404">
            <v>0</v>
          </cell>
          <cell r="D404">
            <v>0</v>
          </cell>
          <cell r="E404">
            <v>0</v>
          </cell>
          <cell r="F404">
            <v>0</v>
          </cell>
          <cell r="G404">
            <v>0</v>
          </cell>
          <cell r="H404">
            <v>0</v>
          </cell>
          <cell r="I404">
            <v>0</v>
          </cell>
          <cell r="J404">
            <v>0</v>
          </cell>
        </row>
        <row r="405">
          <cell r="A405">
            <v>8030</v>
          </cell>
          <cell r="B405" t="str">
            <v>Servicio De Educacion Laboral Especial</v>
          </cell>
          <cell r="C405">
            <v>0</v>
          </cell>
          <cell r="D405">
            <v>0</v>
          </cell>
          <cell r="E405">
            <v>0</v>
          </cell>
          <cell r="F405">
            <v>0</v>
          </cell>
          <cell r="G405">
            <v>0</v>
          </cell>
          <cell r="H405">
            <v>0</v>
          </cell>
          <cell r="I405">
            <v>0</v>
          </cell>
          <cell r="J405">
            <v>0</v>
          </cell>
        </row>
        <row r="406">
          <cell r="A406">
            <v>8041</v>
          </cell>
          <cell r="B406" t="str">
            <v>Establecimientos Que Prestan El Servicio De Educacion Preescolar Y Basica Primaria</v>
          </cell>
          <cell r="C406">
            <v>0</v>
          </cell>
          <cell r="D406">
            <v>0</v>
          </cell>
          <cell r="E406">
            <v>0</v>
          </cell>
          <cell r="F406">
            <v>0</v>
          </cell>
          <cell r="G406">
            <v>0</v>
          </cell>
          <cell r="H406">
            <v>0</v>
          </cell>
          <cell r="I406">
            <v>0</v>
          </cell>
          <cell r="J406">
            <v>0</v>
          </cell>
        </row>
        <row r="407">
          <cell r="A407">
            <v>8042</v>
          </cell>
          <cell r="B407" t="str">
            <v>Establecimientos Que Prestan El Servicio De Educacion Preescolar Y Basica ( Basica Primaria Y Basica Secundaria)</v>
          </cell>
          <cell r="C407">
            <v>0</v>
          </cell>
          <cell r="D407">
            <v>0</v>
          </cell>
          <cell r="E407">
            <v>0</v>
          </cell>
          <cell r="F407">
            <v>0</v>
          </cell>
          <cell r="G407">
            <v>0</v>
          </cell>
          <cell r="H407">
            <v>0</v>
          </cell>
          <cell r="I407">
            <v>0</v>
          </cell>
          <cell r="J407">
            <v>0</v>
          </cell>
        </row>
        <row r="408">
          <cell r="A408">
            <v>8043</v>
          </cell>
          <cell r="B408" t="str">
            <v>Establecimientos Que Prestan El Servicio De Educacion Preescolar, Basica (Basica Primaria, Basica Secundaria) Y Media</v>
          </cell>
          <cell r="C408">
            <v>0</v>
          </cell>
          <cell r="D408">
            <v>0</v>
          </cell>
          <cell r="E408">
            <v>0</v>
          </cell>
          <cell r="F408">
            <v>0</v>
          </cell>
          <cell r="G408">
            <v>0</v>
          </cell>
          <cell r="H408">
            <v>0</v>
          </cell>
          <cell r="I408">
            <v>0</v>
          </cell>
          <cell r="J408">
            <v>0</v>
          </cell>
        </row>
        <row r="409">
          <cell r="A409">
            <v>8044</v>
          </cell>
          <cell r="B409" t="str">
            <v>Establecimientos Que Prestan El Servicio De Educacion (Basica Primaria Y Basica Secundaria)</v>
          </cell>
          <cell r="C409">
            <v>0</v>
          </cell>
          <cell r="D409">
            <v>0</v>
          </cell>
          <cell r="E409">
            <v>0</v>
          </cell>
          <cell r="F409">
            <v>0</v>
          </cell>
          <cell r="G409">
            <v>0</v>
          </cell>
          <cell r="H409">
            <v>0</v>
          </cell>
          <cell r="I409">
            <v>0</v>
          </cell>
          <cell r="J409">
            <v>0</v>
          </cell>
        </row>
        <row r="410">
          <cell r="A410">
            <v>8045</v>
          </cell>
          <cell r="B410" t="str">
            <v>Establecimientos Que Prestan El Servicio De Educacion (Basica Primaria Y Basica Secundaria) Y Media</v>
          </cell>
          <cell r="C410">
            <v>0</v>
          </cell>
          <cell r="D410">
            <v>0</v>
          </cell>
          <cell r="E410">
            <v>0</v>
          </cell>
          <cell r="F410">
            <v>0</v>
          </cell>
          <cell r="G410">
            <v>0</v>
          </cell>
          <cell r="H410">
            <v>0</v>
          </cell>
          <cell r="I410">
            <v>0</v>
          </cell>
          <cell r="J410">
            <v>0</v>
          </cell>
        </row>
        <row r="411">
          <cell r="A411">
            <v>8046</v>
          </cell>
          <cell r="B411" t="str">
            <v>Establecimientos Que Prestan El Servicio De Educacion Basica Secundaria Y Media</v>
          </cell>
          <cell r="C411">
            <v>0</v>
          </cell>
          <cell r="D411">
            <v>0</v>
          </cell>
          <cell r="E411">
            <v>0</v>
          </cell>
          <cell r="F411">
            <v>0</v>
          </cell>
          <cell r="G411">
            <v>0</v>
          </cell>
          <cell r="H411">
            <v>0</v>
          </cell>
          <cell r="I411">
            <v>0</v>
          </cell>
          <cell r="J411">
            <v>0</v>
          </cell>
        </row>
        <row r="412">
          <cell r="A412">
            <v>8050</v>
          </cell>
          <cell r="B412" t="str">
            <v>Educacion Superior</v>
          </cell>
          <cell r="C412">
            <v>0</v>
          </cell>
          <cell r="D412">
            <v>0</v>
          </cell>
          <cell r="E412">
            <v>0</v>
          </cell>
          <cell r="F412">
            <v>0</v>
          </cell>
          <cell r="G412">
            <v>0</v>
          </cell>
          <cell r="H412">
            <v>0</v>
          </cell>
          <cell r="I412">
            <v>0</v>
          </cell>
          <cell r="J412">
            <v>0</v>
          </cell>
        </row>
        <row r="413">
          <cell r="A413">
            <v>8060</v>
          </cell>
          <cell r="B413" t="str">
            <v>Educacion No Formal</v>
          </cell>
          <cell r="C413">
            <v>0</v>
          </cell>
          <cell r="D413">
            <v>0</v>
          </cell>
          <cell r="E413">
            <v>0</v>
          </cell>
          <cell r="F413">
            <v>0</v>
          </cell>
          <cell r="G413">
            <v>0</v>
          </cell>
          <cell r="H413">
            <v>0</v>
          </cell>
          <cell r="I413">
            <v>0</v>
          </cell>
          <cell r="J413">
            <v>0</v>
          </cell>
        </row>
        <row r="414">
          <cell r="A414">
            <v>8511</v>
          </cell>
          <cell r="B414" t="str">
            <v>Actividades De Las Instituciones Prestadoras De Servicios De La Salud, Con Internacion</v>
          </cell>
          <cell r="C414">
            <v>0</v>
          </cell>
          <cell r="D414">
            <v>0</v>
          </cell>
          <cell r="E414">
            <v>0</v>
          </cell>
          <cell r="F414">
            <v>0</v>
          </cell>
          <cell r="G414">
            <v>0</v>
          </cell>
          <cell r="H414">
            <v>0</v>
          </cell>
          <cell r="I414">
            <v>0</v>
          </cell>
          <cell r="J414">
            <v>0</v>
          </cell>
        </row>
        <row r="415">
          <cell r="A415">
            <v>8512</v>
          </cell>
          <cell r="B415" t="str">
            <v>Actividades De La Practica Medica</v>
          </cell>
          <cell r="C415">
            <v>0</v>
          </cell>
          <cell r="D415">
            <v>0</v>
          </cell>
          <cell r="E415">
            <v>0</v>
          </cell>
          <cell r="F415">
            <v>0</v>
          </cell>
          <cell r="G415">
            <v>0</v>
          </cell>
          <cell r="H415">
            <v>0</v>
          </cell>
          <cell r="I415">
            <v>0</v>
          </cell>
          <cell r="J415">
            <v>0</v>
          </cell>
        </row>
        <row r="416">
          <cell r="A416">
            <v>8513</v>
          </cell>
          <cell r="B416" t="str">
            <v>Actividades De La Practica Odontologica</v>
          </cell>
          <cell r="C416">
            <v>0</v>
          </cell>
          <cell r="D416">
            <v>0</v>
          </cell>
          <cell r="E416">
            <v>0</v>
          </cell>
          <cell r="F416">
            <v>0</v>
          </cell>
          <cell r="G416">
            <v>0</v>
          </cell>
          <cell r="H416">
            <v>0</v>
          </cell>
          <cell r="I416">
            <v>0</v>
          </cell>
          <cell r="J416">
            <v>0</v>
          </cell>
        </row>
        <row r="417">
          <cell r="A417">
            <v>8514</v>
          </cell>
          <cell r="B417" t="str">
            <v>Actividades De Apoyo Diagnostico</v>
          </cell>
          <cell r="C417">
            <v>0</v>
          </cell>
          <cell r="D417">
            <v>0</v>
          </cell>
          <cell r="E417">
            <v>0</v>
          </cell>
          <cell r="F417">
            <v>0</v>
          </cell>
          <cell r="G417">
            <v>0</v>
          </cell>
          <cell r="H417">
            <v>0</v>
          </cell>
          <cell r="I417">
            <v>0</v>
          </cell>
          <cell r="J417">
            <v>0</v>
          </cell>
        </row>
        <row r="418">
          <cell r="A418">
            <v>8515</v>
          </cell>
          <cell r="B418" t="str">
            <v>Actividades De Apoyo Terapeutico</v>
          </cell>
          <cell r="C418">
            <v>0</v>
          </cell>
          <cell r="D418">
            <v>0</v>
          </cell>
          <cell r="E418">
            <v>0</v>
          </cell>
          <cell r="F418">
            <v>0</v>
          </cell>
          <cell r="G418">
            <v>0</v>
          </cell>
          <cell r="H418">
            <v>0</v>
          </cell>
          <cell r="I418">
            <v>0</v>
          </cell>
          <cell r="J418">
            <v>0</v>
          </cell>
        </row>
        <row r="419">
          <cell r="A419">
            <v>8519</v>
          </cell>
          <cell r="B419" t="str">
            <v>Otras Actividades Relacionada Con La Salud Humana</v>
          </cell>
          <cell r="C419">
            <v>0</v>
          </cell>
          <cell r="D419">
            <v>0</v>
          </cell>
          <cell r="E419">
            <v>0</v>
          </cell>
          <cell r="F419">
            <v>0</v>
          </cell>
          <cell r="G419">
            <v>0</v>
          </cell>
          <cell r="H419">
            <v>0</v>
          </cell>
          <cell r="I419">
            <v>0</v>
          </cell>
          <cell r="J419">
            <v>0</v>
          </cell>
        </row>
        <row r="420">
          <cell r="A420">
            <v>8520</v>
          </cell>
          <cell r="B420" t="str">
            <v>Actividades Veterinarias</v>
          </cell>
          <cell r="C420">
            <v>0</v>
          </cell>
          <cell r="D420">
            <v>0</v>
          </cell>
          <cell r="E420">
            <v>0</v>
          </cell>
          <cell r="F420">
            <v>0</v>
          </cell>
          <cell r="G420">
            <v>0</v>
          </cell>
          <cell r="H420">
            <v>0</v>
          </cell>
          <cell r="I420">
            <v>0</v>
          </cell>
          <cell r="J420">
            <v>0</v>
          </cell>
        </row>
        <row r="421">
          <cell r="A421">
            <v>8531</v>
          </cell>
          <cell r="B421" t="str">
            <v>Servicios Sociales Con Alojamiento</v>
          </cell>
          <cell r="C421">
            <v>0</v>
          </cell>
          <cell r="D421">
            <v>0</v>
          </cell>
          <cell r="E421">
            <v>0</v>
          </cell>
          <cell r="F421">
            <v>0</v>
          </cell>
          <cell r="G421">
            <v>0</v>
          </cell>
          <cell r="H421">
            <v>0</v>
          </cell>
          <cell r="I421">
            <v>0</v>
          </cell>
          <cell r="J421">
            <v>0</v>
          </cell>
        </row>
        <row r="422">
          <cell r="A422">
            <v>8532</v>
          </cell>
          <cell r="B422" t="str">
            <v>Servicios Sociales Sin Alojamiento</v>
          </cell>
          <cell r="C422">
            <v>0</v>
          </cell>
          <cell r="D422">
            <v>0</v>
          </cell>
          <cell r="E422">
            <v>0</v>
          </cell>
          <cell r="F422">
            <v>0</v>
          </cell>
          <cell r="G422">
            <v>0</v>
          </cell>
          <cell r="H422">
            <v>0</v>
          </cell>
          <cell r="I422">
            <v>0</v>
          </cell>
          <cell r="J422">
            <v>0</v>
          </cell>
        </row>
        <row r="423">
          <cell r="A423">
            <v>9000</v>
          </cell>
          <cell r="B423" t="str">
            <v>Eliminacion De Desperdicios Y Aguas Residuales, Saneamiento Y Actividades Similares</v>
          </cell>
          <cell r="C423">
            <v>0</v>
          </cell>
          <cell r="D423">
            <v>0</v>
          </cell>
          <cell r="E423">
            <v>0</v>
          </cell>
          <cell r="F423">
            <v>0</v>
          </cell>
          <cell r="G423">
            <v>0</v>
          </cell>
          <cell r="H423">
            <v>0</v>
          </cell>
          <cell r="I423">
            <v>0</v>
          </cell>
          <cell r="J423">
            <v>0</v>
          </cell>
        </row>
        <row r="424">
          <cell r="A424">
            <v>9111</v>
          </cell>
          <cell r="B424" t="str">
            <v>Actividades De Organizaciones Empresariales Y De Empleadores</v>
          </cell>
          <cell r="C424">
            <v>0</v>
          </cell>
          <cell r="D424">
            <v>0</v>
          </cell>
          <cell r="E424">
            <v>0</v>
          </cell>
          <cell r="F424">
            <v>0</v>
          </cell>
          <cell r="G424">
            <v>0</v>
          </cell>
          <cell r="H424">
            <v>0</v>
          </cell>
          <cell r="I424">
            <v>0</v>
          </cell>
          <cell r="J424">
            <v>0</v>
          </cell>
        </row>
        <row r="425">
          <cell r="A425">
            <v>9112</v>
          </cell>
          <cell r="B425" t="str">
            <v>Actividades De Organizaciones Profesionales</v>
          </cell>
          <cell r="C425">
            <v>0</v>
          </cell>
          <cell r="D425">
            <v>0</v>
          </cell>
          <cell r="E425">
            <v>0</v>
          </cell>
          <cell r="F425">
            <v>0</v>
          </cell>
          <cell r="G425">
            <v>0</v>
          </cell>
          <cell r="H425">
            <v>0</v>
          </cell>
          <cell r="I425">
            <v>0</v>
          </cell>
          <cell r="J425">
            <v>0</v>
          </cell>
        </row>
        <row r="426">
          <cell r="A426">
            <v>9120</v>
          </cell>
          <cell r="B426" t="str">
            <v>Actividades De Sindicatos</v>
          </cell>
          <cell r="C426">
            <v>0</v>
          </cell>
          <cell r="D426">
            <v>0</v>
          </cell>
          <cell r="E426">
            <v>0</v>
          </cell>
          <cell r="F426">
            <v>0</v>
          </cell>
          <cell r="G426">
            <v>0</v>
          </cell>
          <cell r="H426">
            <v>0</v>
          </cell>
          <cell r="I426">
            <v>0</v>
          </cell>
          <cell r="J426">
            <v>0</v>
          </cell>
        </row>
        <row r="427">
          <cell r="A427">
            <v>9191</v>
          </cell>
          <cell r="B427" t="str">
            <v>Actividades De Organizaciones Religiosas</v>
          </cell>
          <cell r="C427">
            <v>0</v>
          </cell>
          <cell r="D427">
            <v>0</v>
          </cell>
          <cell r="E427">
            <v>0</v>
          </cell>
          <cell r="F427">
            <v>0</v>
          </cell>
          <cell r="G427">
            <v>0</v>
          </cell>
          <cell r="H427">
            <v>0</v>
          </cell>
          <cell r="I427">
            <v>0</v>
          </cell>
          <cell r="J427">
            <v>0</v>
          </cell>
        </row>
        <row r="428">
          <cell r="A428">
            <v>9192</v>
          </cell>
          <cell r="B428" t="str">
            <v>Actividades De Organizaciones Politicas</v>
          </cell>
          <cell r="C428">
            <v>0</v>
          </cell>
          <cell r="D428">
            <v>0</v>
          </cell>
          <cell r="E428">
            <v>0</v>
          </cell>
          <cell r="F428">
            <v>0</v>
          </cell>
          <cell r="G428">
            <v>0</v>
          </cell>
          <cell r="H428">
            <v>0</v>
          </cell>
          <cell r="I428">
            <v>0</v>
          </cell>
          <cell r="J428">
            <v>0</v>
          </cell>
        </row>
        <row r="429">
          <cell r="A429">
            <v>9199</v>
          </cell>
          <cell r="B429" t="str">
            <v>Actividades De Otras Organizaciones Ncp</v>
          </cell>
          <cell r="C429">
            <v>0</v>
          </cell>
          <cell r="D429">
            <v>0</v>
          </cell>
          <cell r="E429">
            <v>0</v>
          </cell>
          <cell r="F429">
            <v>0</v>
          </cell>
          <cell r="G429">
            <v>0</v>
          </cell>
          <cell r="H429">
            <v>0</v>
          </cell>
          <cell r="I429">
            <v>0</v>
          </cell>
          <cell r="J429">
            <v>0</v>
          </cell>
        </row>
        <row r="430">
          <cell r="A430">
            <v>9211</v>
          </cell>
          <cell r="B430" t="str">
            <v>Produccion Y Distribucion De Filmes Y Videocintas</v>
          </cell>
          <cell r="C430">
            <v>0</v>
          </cell>
          <cell r="D430">
            <v>0</v>
          </cell>
          <cell r="E430">
            <v>0</v>
          </cell>
          <cell r="F430">
            <v>0</v>
          </cell>
          <cell r="G430">
            <v>0</v>
          </cell>
          <cell r="H430">
            <v>0</v>
          </cell>
          <cell r="I430">
            <v>0</v>
          </cell>
          <cell r="J430">
            <v>0</v>
          </cell>
        </row>
        <row r="431">
          <cell r="A431">
            <v>9212</v>
          </cell>
          <cell r="B431" t="str">
            <v>Exhibicion De Filmes Y Videocintas</v>
          </cell>
          <cell r="C431">
            <v>0</v>
          </cell>
          <cell r="D431">
            <v>0</v>
          </cell>
          <cell r="E431">
            <v>0</v>
          </cell>
          <cell r="F431">
            <v>0</v>
          </cell>
          <cell r="G431">
            <v>0</v>
          </cell>
          <cell r="H431">
            <v>0</v>
          </cell>
          <cell r="I431">
            <v>0</v>
          </cell>
          <cell r="J431">
            <v>0</v>
          </cell>
        </row>
        <row r="432">
          <cell r="A432">
            <v>9213</v>
          </cell>
          <cell r="B432" t="str">
            <v>Actividades De Radio Y Television</v>
          </cell>
          <cell r="C432">
            <v>0</v>
          </cell>
          <cell r="D432">
            <v>0</v>
          </cell>
          <cell r="E432">
            <v>0</v>
          </cell>
          <cell r="F432">
            <v>0</v>
          </cell>
          <cell r="G432">
            <v>0</v>
          </cell>
          <cell r="H432">
            <v>0</v>
          </cell>
          <cell r="I432">
            <v>0</v>
          </cell>
          <cell r="J432">
            <v>0</v>
          </cell>
        </row>
        <row r="433">
          <cell r="A433">
            <v>9214</v>
          </cell>
          <cell r="B433" t="str">
            <v>Actividades Teatrales Y Musicales Y Otras Actividades Artisticas</v>
          </cell>
          <cell r="C433">
            <v>0</v>
          </cell>
          <cell r="D433">
            <v>0</v>
          </cell>
          <cell r="E433">
            <v>0</v>
          </cell>
          <cell r="F433">
            <v>0</v>
          </cell>
          <cell r="G433">
            <v>0</v>
          </cell>
          <cell r="H433">
            <v>0</v>
          </cell>
          <cell r="I433">
            <v>0</v>
          </cell>
          <cell r="J433">
            <v>0</v>
          </cell>
        </row>
        <row r="434">
          <cell r="A434">
            <v>9219</v>
          </cell>
          <cell r="B434" t="str">
            <v>Otras Actividades De Entretenimiento Ncp</v>
          </cell>
          <cell r="C434">
            <v>0</v>
          </cell>
          <cell r="D434">
            <v>0</v>
          </cell>
          <cell r="E434">
            <v>0</v>
          </cell>
          <cell r="F434">
            <v>0</v>
          </cell>
          <cell r="G434">
            <v>0</v>
          </cell>
          <cell r="H434">
            <v>0</v>
          </cell>
          <cell r="I434">
            <v>0</v>
          </cell>
          <cell r="J434">
            <v>0</v>
          </cell>
        </row>
        <row r="435">
          <cell r="A435">
            <v>9220</v>
          </cell>
          <cell r="B435" t="str">
            <v>Actividades De Agencias De Noticias</v>
          </cell>
          <cell r="C435">
            <v>0</v>
          </cell>
          <cell r="D435">
            <v>0</v>
          </cell>
          <cell r="E435">
            <v>0</v>
          </cell>
          <cell r="F435">
            <v>0</v>
          </cell>
          <cell r="G435">
            <v>0</v>
          </cell>
          <cell r="H435">
            <v>0</v>
          </cell>
          <cell r="I435">
            <v>0</v>
          </cell>
          <cell r="J435">
            <v>0</v>
          </cell>
        </row>
        <row r="436">
          <cell r="A436">
            <v>9231</v>
          </cell>
          <cell r="B436" t="str">
            <v>Actividades De Bibliotecas Y Archivos</v>
          </cell>
          <cell r="C436">
            <v>0</v>
          </cell>
          <cell r="D436">
            <v>0</v>
          </cell>
          <cell r="E436">
            <v>0</v>
          </cell>
          <cell r="F436">
            <v>0</v>
          </cell>
          <cell r="G436">
            <v>0</v>
          </cell>
          <cell r="H436">
            <v>0</v>
          </cell>
          <cell r="I436">
            <v>0</v>
          </cell>
          <cell r="J436">
            <v>0</v>
          </cell>
        </row>
        <row r="437">
          <cell r="A437">
            <v>9232</v>
          </cell>
          <cell r="B437" t="str">
            <v>Actividades De Museos Y Preservacion De Lugares Y Edificios Historicos</v>
          </cell>
          <cell r="C437">
            <v>0</v>
          </cell>
          <cell r="D437">
            <v>0</v>
          </cell>
          <cell r="E437">
            <v>0</v>
          </cell>
          <cell r="F437">
            <v>0</v>
          </cell>
          <cell r="G437">
            <v>0</v>
          </cell>
          <cell r="H437">
            <v>0</v>
          </cell>
          <cell r="I437">
            <v>0</v>
          </cell>
          <cell r="J437">
            <v>0</v>
          </cell>
        </row>
        <row r="438">
          <cell r="A438">
            <v>9233</v>
          </cell>
          <cell r="B438" t="str">
            <v>Actividades De Jardines Botanicos Y Zoologicos Y De Parque Nacionales</v>
          </cell>
          <cell r="C438">
            <v>0</v>
          </cell>
          <cell r="D438">
            <v>0</v>
          </cell>
          <cell r="E438">
            <v>0</v>
          </cell>
          <cell r="F438">
            <v>0</v>
          </cell>
          <cell r="G438">
            <v>0</v>
          </cell>
          <cell r="H438">
            <v>0</v>
          </cell>
          <cell r="I438">
            <v>0</v>
          </cell>
          <cell r="J438">
            <v>0</v>
          </cell>
        </row>
        <row r="439">
          <cell r="A439">
            <v>9241</v>
          </cell>
          <cell r="B439" t="str">
            <v>Actividades Deportivas</v>
          </cell>
          <cell r="C439">
            <v>0</v>
          </cell>
          <cell r="D439">
            <v>0</v>
          </cell>
          <cell r="E439">
            <v>0</v>
          </cell>
          <cell r="F439">
            <v>0</v>
          </cell>
          <cell r="G439">
            <v>0</v>
          </cell>
          <cell r="H439">
            <v>0</v>
          </cell>
          <cell r="I439">
            <v>0</v>
          </cell>
          <cell r="J439">
            <v>0</v>
          </cell>
        </row>
        <row r="440">
          <cell r="A440">
            <v>9242</v>
          </cell>
          <cell r="B440" t="str">
            <v>Actividades De Juegos De Azar</v>
          </cell>
          <cell r="C440">
            <v>0</v>
          </cell>
          <cell r="D440">
            <v>0</v>
          </cell>
          <cell r="E440">
            <v>0</v>
          </cell>
          <cell r="F440">
            <v>0</v>
          </cell>
          <cell r="G440">
            <v>0</v>
          </cell>
          <cell r="H440">
            <v>0</v>
          </cell>
          <cell r="I440">
            <v>0</v>
          </cell>
          <cell r="J440">
            <v>0</v>
          </cell>
        </row>
        <row r="441">
          <cell r="A441">
            <v>9249</v>
          </cell>
          <cell r="B441" t="str">
            <v>Otras Actividades De Esparcimiento</v>
          </cell>
          <cell r="C441">
            <v>0</v>
          </cell>
          <cell r="D441">
            <v>0</v>
          </cell>
          <cell r="E441">
            <v>0</v>
          </cell>
          <cell r="F441">
            <v>0</v>
          </cell>
          <cell r="G441">
            <v>0</v>
          </cell>
          <cell r="H441">
            <v>0</v>
          </cell>
          <cell r="I441">
            <v>0</v>
          </cell>
          <cell r="J441">
            <v>0</v>
          </cell>
        </row>
        <row r="442">
          <cell r="A442">
            <v>9301</v>
          </cell>
          <cell r="B442" t="str">
            <v>Lavado  Y Limpieza  De Prendas De Tela Y De Piel, Incluso La Limpieza En Seco</v>
          </cell>
          <cell r="C442">
            <v>0</v>
          </cell>
          <cell r="D442">
            <v>0</v>
          </cell>
          <cell r="E442">
            <v>0</v>
          </cell>
          <cell r="F442">
            <v>0</v>
          </cell>
          <cell r="G442">
            <v>0</v>
          </cell>
          <cell r="H442">
            <v>0</v>
          </cell>
          <cell r="I442">
            <v>0</v>
          </cell>
          <cell r="J442">
            <v>0</v>
          </cell>
        </row>
        <row r="443">
          <cell r="A443">
            <v>9302</v>
          </cell>
          <cell r="B443" t="str">
            <v>Peluqueria Y Otros Tratamientos De Belleza</v>
          </cell>
          <cell r="C443">
            <v>0</v>
          </cell>
          <cell r="D443">
            <v>0</v>
          </cell>
          <cell r="E443">
            <v>0</v>
          </cell>
          <cell r="F443">
            <v>0</v>
          </cell>
          <cell r="G443">
            <v>0</v>
          </cell>
          <cell r="H443">
            <v>0</v>
          </cell>
          <cell r="I443">
            <v>0</v>
          </cell>
          <cell r="J443">
            <v>0</v>
          </cell>
        </row>
        <row r="444">
          <cell r="A444">
            <v>9303</v>
          </cell>
          <cell r="B444" t="str">
            <v>Pompas Funebres Y Actividades Conexas</v>
          </cell>
          <cell r="C444">
            <v>0</v>
          </cell>
          <cell r="D444">
            <v>0</v>
          </cell>
          <cell r="E444">
            <v>0</v>
          </cell>
          <cell r="F444">
            <v>0</v>
          </cell>
          <cell r="G444">
            <v>0</v>
          </cell>
          <cell r="H444">
            <v>0</v>
          </cell>
          <cell r="I444">
            <v>0</v>
          </cell>
          <cell r="J444">
            <v>0</v>
          </cell>
        </row>
        <row r="445">
          <cell r="A445">
            <v>9309</v>
          </cell>
          <cell r="B445" t="str">
            <v>Otras Actividades De Servicios Ncp</v>
          </cell>
          <cell r="C445">
            <v>0</v>
          </cell>
          <cell r="D445">
            <v>0</v>
          </cell>
          <cell r="E445">
            <v>0</v>
          </cell>
          <cell r="F445">
            <v>0</v>
          </cell>
          <cell r="G445">
            <v>0</v>
          </cell>
          <cell r="H445">
            <v>0</v>
          </cell>
          <cell r="I445">
            <v>0</v>
          </cell>
          <cell r="J445">
            <v>0</v>
          </cell>
        </row>
        <row r="446">
          <cell r="A446">
            <v>9500</v>
          </cell>
          <cell r="B446" t="str">
            <v>Hogares Privados Con Servicio Domestico</v>
          </cell>
          <cell r="C446">
            <v>0</v>
          </cell>
          <cell r="D446">
            <v>0</v>
          </cell>
          <cell r="E446">
            <v>0</v>
          </cell>
          <cell r="F446">
            <v>0</v>
          </cell>
          <cell r="G446">
            <v>0</v>
          </cell>
          <cell r="H446">
            <v>0</v>
          </cell>
          <cell r="I446">
            <v>0</v>
          </cell>
          <cell r="J446">
            <v>0</v>
          </cell>
        </row>
        <row r="447">
          <cell r="A447">
            <v>9900</v>
          </cell>
          <cell r="B447" t="str">
            <v>Organizaciones Y Organos Extraterritoriales</v>
          </cell>
          <cell r="C447">
            <v>0</v>
          </cell>
          <cell r="D447">
            <v>0</v>
          </cell>
          <cell r="E447">
            <v>0</v>
          </cell>
          <cell r="F447">
            <v>0</v>
          </cell>
          <cell r="G447">
            <v>0</v>
          </cell>
          <cell r="H447">
            <v>0</v>
          </cell>
          <cell r="I447">
            <v>0</v>
          </cell>
          <cell r="J447">
            <v>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AN"/>
      <sheetName val="Hoja2"/>
      <sheetName val="General"/>
      <sheetName val="Scoring"/>
      <sheetName val="ParametrosPry"/>
      <sheetName val="Info Entrada"/>
      <sheetName val="Data"/>
      <sheetName val="Bases Proy"/>
      <sheetName val="Cuadros"/>
      <sheetName val="FEVE"/>
      <sheetName val="AR"/>
      <sheetName val="Posiciones"/>
      <sheetName val="Activos"/>
      <sheetName val="Pasivos"/>
      <sheetName val="Estado de Resultados"/>
      <sheetName val="Indicadores"/>
      <sheetName val="Resumen Cuadros"/>
      <sheetName val="Resumen EEFF"/>
      <sheetName val="Activos (USD)"/>
      <sheetName val="Pasivos (USD)"/>
      <sheetName val="AR (USD)"/>
      <sheetName val="Posiciones (USD)"/>
      <sheetName val="Estado de Resultados (USD)"/>
      <sheetName val="Indicadores (USD)"/>
      <sheetName val="Resumen Cuadros (USD)"/>
      <sheetName val="Datos relevantes"/>
      <sheetName val="Duración"/>
      <sheetName val="Revisión"/>
      <sheetName val="Descripción"/>
      <sheetName val="Datos Financieros Consolidados"/>
      <sheetName val="Graficos con proy"/>
      <sheetName val="Rating"/>
      <sheetName val="Datos Finan"/>
      <sheetName val="Cash Flow"/>
      <sheetName val="Simulacion individual"/>
      <sheetName val="WGI"/>
      <sheetName val="GDPGrowth"/>
      <sheetName val="GDPpercapita"/>
      <sheetName val="Parametros"/>
      <sheetName val="Estructura de la Deuda"/>
      <sheetName val="Plan de Negocio"/>
      <sheetName val="Posición"/>
      <sheetName val="Resumen BBDD"/>
      <sheetName val="BBDD Estado Cash Flow"/>
      <sheetName val="Declaración Bienes"/>
      <sheetName val="CIIU"/>
    </sheetNames>
    <sheetDataSet>
      <sheetData sheetId="0"/>
      <sheetData sheetId="1" refreshError="1"/>
      <sheetData sheetId="2">
        <row r="6">
          <cell r="D6" t="str">
            <v>ATLANTA CIA DE VIGILANCIA PRIVADA LTDA</v>
          </cell>
        </row>
      </sheetData>
      <sheetData sheetId="3" refreshError="1"/>
      <sheetData sheetId="4" refreshError="1"/>
      <sheetData sheetId="5" refreshError="1"/>
      <sheetData sheetId="6" refreshError="1"/>
      <sheetData sheetId="7" refreshError="1"/>
      <sheetData sheetId="8">
        <row r="4">
          <cell r="B4" t="str">
            <v>Davivienda</v>
          </cell>
        </row>
      </sheetData>
      <sheetData sheetId="9" refreshError="1"/>
      <sheetData sheetId="10">
        <row r="13">
          <cell r="H13">
            <v>43100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AN"/>
      <sheetName val="Hoja2"/>
      <sheetName val="General"/>
      <sheetName val="Scoring"/>
      <sheetName val="Info Entrada"/>
      <sheetName val="ParametrosPry"/>
      <sheetName val="Cuadros"/>
      <sheetName val="FEVE"/>
      <sheetName val="AR"/>
      <sheetName val="Posiciones"/>
      <sheetName val="Activos"/>
      <sheetName val="Pasivos"/>
      <sheetName val="Estado de Resultados"/>
      <sheetName val="Indicadores"/>
      <sheetName val="Resumen Cuadros"/>
      <sheetName val="Resumen EEFF"/>
      <sheetName val="Activos (USD)"/>
      <sheetName val="Pasivos (USD)"/>
      <sheetName val="AR (USD)"/>
      <sheetName val="Posiciones (USD)"/>
      <sheetName val="Estado de Resultados (USD)"/>
      <sheetName val="Indicadores (USD)"/>
      <sheetName val="Resumen Cuadros (USD)"/>
      <sheetName val="Datos relevantes"/>
      <sheetName val="Duración"/>
      <sheetName val="Revisión"/>
      <sheetName val="Descripción"/>
      <sheetName val="Datos Financieros Consolidados"/>
      <sheetName val="Graficos con proy"/>
      <sheetName val="Estructura de la Deuda"/>
      <sheetName val="Rating"/>
      <sheetName val="Datos Finan"/>
      <sheetName val="Cash Flow"/>
      <sheetName val="Plan de Negocio"/>
      <sheetName val="Posición"/>
      <sheetName val="Resumen BBDD"/>
      <sheetName val="BBDD Estado Cash Flow"/>
      <sheetName val="Declaración Bienes"/>
      <sheetName val="CIIU"/>
      <sheetName val="Anexo"/>
    </sheetNames>
    <sheetDataSet>
      <sheetData sheetId="0"/>
      <sheetData sheetId="1"/>
      <sheetData sheetId="2"/>
      <sheetData sheetId="3"/>
      <sheetData sheetId="4"/>
      <sheetData sheetId="5"/>
      <sheetData sheetId="6">
        <row r="6">
          <cell r="C6">
            <v>0</v>
          </cell>
        </row>
        <row r="7">
          <cell r="C7">
            <v>0</v>
          </cell>
        </row>
        <row r="8">
          <cell r="C8">
            <v>0</v>
          </cell>
        </row>
        <row r="9">
          <cell r="C9">
            <v>0</v>
          </cell>
        </row>
        <row r="10">
          <cell r="C10">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coring"/>
      <sheetName val="ParametrosPry"/>
      <sheetName val="SCAN"/>
      <sheetName val="Hoja2"/>
      <sheetName val="Info Entrada"/>
      <sheetName val="AR"/>
      <sheetName val="Simulacion individual"/>
      <sheetName val="Data"/>
      <sheetName val="Bases Proy"/>
      <sheetName val="Cuadros"/>
      <sheetName val="FEVE"/>
      <sheetName val="Posiciones"/>
      <sheetName val="Activos"/>
      <sheetName val="Pasivos"/>
      <sheetName val="Estado de Resultados"/>
      <sheetName val="Indicadores"/>
      <sheetName val="Resumen Cuadros"/>
      <sheetName val="Resumen EEFF"/>
      <sheetName val="Activos (USD)"/>
      <sheetName val="Pasivos (USD)"/>
      <sheetName val="AR (USD)"/>
      <sheetName val="Posiciones (USD)"/>
      <sheetName val="Estado de Resultados (USD)"/>
      <sheetName val="Indicadores (USD)"/>
      <sheetName val="Resumen Cuadros (USD)"/>
      <sheetName val="Datos relevantes"/>
      <sheetName val="Hoja1"/>
      <sheetName val="Hoja3"/>
      <sheetName val="Duración"/>
      <sheetName val="Revisión"/>
      <sheetName val="Descripción"/>
      <sheetName val="Datos Financieros Consolidados"/>
      <sheetName val="Graficos con proy"/>
      <sheetName val="Rating"/>
      <sheetName val="Datos Finan"/>
      <sheetName val="Cash Flow"/>
      <sheetName val="WGI"/>
      <sheetName val="GDPGrowth"/>
      <sheetName val="GDPpercapita"/>
      <sheetName val="Parametros"/>
      <sheetName val="Estructura de la Deuda"/>
      <sheetName val="Plan de Negocio"/>
      <sheetName val="Posición"/>
      <sheetName val="Resumen BBDD"/>
      <sheetName val="BBDD Estado Cash Flow"/>
      <sheetName val="Declaración Bienes"/>
      <sheetName val="CII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AN"/>
      <sheetName val="Hoja2"/>
      <sheetName val="General"/>
      <sheetName val="Scoring"/>
      <sheetName val="ParametrosPry"/>
      <sheetName val="Info Entrada"/>
      <sheetName val="AR"/>
      <sheetName val="Simulacion individual"/>
      <sheetName val="Data"/>
      <sheetName val="Bases Proy"/>
      <sheetName val="Cuadros"/>
      <sheetName val="FEVE"/>
      <sheetName val="Posiciones"/>
      <sheetName val="Activos"/>
      <sheetName val="Pasivos"/>
      <sheetName val="Estado de Resultados"/>
      <sheetName val="Indicadores"/>
      <sheetName val="Resumen Cuadros"/>
      <sheetName val="Resumen EEFF"/>
      <sheetName val="Activos (USD)"/>
      <sheetName val="Pasivos (USD)"/>
      <sheetName val="AR (USD)"/>
      <sheetName val="Posiciones (USD)"/>
      <sheetName val="Estado de Resultados (USD)"/>
      <sheetName val="Indicadores (USD)"/>
      <sheetName val="Resumen Cuadros (USD)"/>
      <sheetName val="Datos relevantes"/>
      <sheetName val="Aux."/>
      <sheetName val="Duración"/>
      <sheetName val="Revisión"/>
      <sheetName val="Descripción"/>
      <sheetName val="Datos Financieros Consolidados"/>
      <sheetName val="Graficos con proy"/>
      <sheetName val="Rating"/>
      <sheetName val="Datos Finan"/>
      <sheetName val="Cash Flow"/>
      <sheetName val="WGI"/>
      <sheetName val="GDPGrowth"/>
      <sheetName val="GDPpercapita"/>
      <sheetName val="Parametros"/>
      <sheetName val="Estructura de la Deuda"/>
      <sheetName val="Plan de Negocio"/>
      <sheetName val="Posición"/>
      <sheetName val="Resumen BBDD"/>
      <sheetName val="BBDD Estado Cash Flow"/>
      <sheetName val="Declaración Bienes"/>
      <sheetName val="CIIU"/>
    </sheetNames>
    <sheetDataSet>
      <sheetData sheetId="0"/>
      <sheetData sheetId="1"/>
      <sheetData sheetId="2"/>
      <sheetData sheetId="3"/>
      <sheetData sheetId="4"/>
      <sheetData sheetId="5"/>
      <sheetData sheetId="6"/>
      <sheetData sheetId="7"/>
      <sheetData sheetId="8"/>
      <sheetData sheetId="9"/>
      <sheetData sheetId="10">
        <row r="12">
          <cell r="B12">
            <v>0</v>
          </cell>
          <cell r="C12">
            <v>0</v>
          </cell>
          <cell r="G12">
            <v>0</v>
          </cell>
          <cell r="I12">
            <v>0</v>
          </cell>
          <cell r="J12">
            <v>0</v>
          </cell>
        </row>
        <row r="13">
          <cell r="B13">
            <v>0</v>
          </cell>
          <cell r="C13">
            <v>0</v>
          </cell>
          <cell r="G13">
            <v>0</v>
          </cell>
          <cell r="I13">
            <v>0</v>
          </cell>
          <cell r="J13">
            <v>0</v>
          </cell>
        </row>
        <row r="14">
          <cell r="B14">
            <v>0</v>
          </cell>
          <cell r="C14">
            <v>0</v>
          </cell>
          <cell r="G14">
            <v>0</v>
          </cell>
          <cell r="I14">
            <v>0</v>
          </cell>
          <cell r="J14">
            <v>0</v>
          </cell>
        </row>
        <row r="15">
          <cell r="B15">
            <v>0</v>
          </cell>
          <cell r="C15">
            <v>0</v>
          </cell>
          <cell r="G15">
            <v>0</v>
          </cell>
          <cell r="I15">
            <v>0</v>
          </cell>
          <cell r="J15">
            <v>0</v>
          </cell>
        </row>
        <row r="16">
          <cell r="B16">
            <v>0</v>
          </cell>
          <cell r="C16">
            <v>0</v>
          </cell>
          <cell r="G16">
            <v>0</v>
          </cell>
          <cell r="I16">
            <v>0</v>
          </cell>
          <cell r="J16">
            <v>0</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omments" Target="../comments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30.bin"/><Relationship Id="rId4" Type="http://schemas.openxmlformats.org/officeDocument/2006/relationships/comments" Target="../comments11.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7" tint="-0.249977111117893"/>
    <pageSetUpPr fitToPage="1"/>
  </sheetPr>
  <dimension ref="A1:AB157"/>
  <sheetViews>
    <sheetView showGridLines="0" topLeftCell="A131" zoomScale="85" zoomScaleNormal="85" workbookViewId="0">
      <selection activeCell="B152" sqref="B152:N152"/>
    </sheetView>
  </sheetViews>
  <sheetFormatPr baseColWidth="10" defaultRowHeight="12.75" x14ac:dyDescent="0.15"/>
  <cols>
    <col min="1" max="1" width="2.7109375" style="2890" customWidth="1"/>
    <col min="2" max="2" width="10.5703125" style="2184" customWidth="1"/>
    <col min="3" max="3" width="13.28515625" style="2184" customWidth="1"/>
    <col min="4" max="4" width="16" style="2184" customWidth="1"/>
    <col min="5" max="5" width="14.85546875" style="2184" customWidth="1"/>
    <col min="6" max="6" width="16.85546875" style="2184" customWidth="1"/>
    <col min="7" max="7" width="15.42578125" style="2184" customWidth="1"/>
    <col min="8" max="8" width="10" style="2184" customWidth="1"/>
    <col min="9" max="9" width="16.140625" style="2184" customWidth="1"/>
    <col min="10" max="11" width="9.42578125" style="2184" customWidth="1"/>
    <col min="12" max="12" width="17.7109375" style="2184" customWidth="1"/>
    <col min="13" max="13" width="13.85546875" style="2184" customWidth="1"/>
    <col min="14" max="14" width="14.42578125" style="2184" customWidth="1"/>
    <col min="15" max="15" width="11.42578125" style="2184" hidden="1" customWidth="1"/>
    <col min="16" max="16" width="11.5703125" style="2184" hidden="1" customWidth="1"/>
    <col min="17" max="17" width="11.42578125" style="2184" hidden="1" customWidth="1"/>
    <col min="18" max="20" width="11.5703125" style="2184" hidden="1" customWidth="1"/>
    <col min="21" max="21" width="11.42578125" style="2184" hidden="1" customWidth="1"/>
    <col min="22" max="22" width="11.42578125" style="2185" hidden="1" customWidth="1"/>
    <col min="23" max="23" width="11.42578125" style="2184" hidden="1" customWidth="1"/>
    <col min="24" max="25" width="11.42578125" style="2890" customWidth="1"/>
    <col min="26" max="28" width="11.42578125" style="2890"/>
    <col min="29" max="16384" width="11.42578125" style="2184"/>
  </cols>
  <sheetData>
    <row r="1" spans="2:23" x14ac:dyDescent="0.2">
      <c r="B1" s="2889"/>
      <c r="C1" s="2889"/>
      <c r="D1" s="2889"/>
      <c r="E1" s="2889"/>
      <c r="F1" s="2889"/>
      <c r="G1" s="2889"/>
      <c r="H1" s="2889"/>
      <c r="I1" s="2889"/>
      <c r="J1" s="2889"/>
      <c r="K1" s="2889"/>
      <c r="L1" s="2889"/>
      <c r="M1" s="2889"/>
      <c r="N1" s="2889"/>
      <c r="O1" s="2889"/>
      <c r="P1" s="2890"/>
      <c r="Q1" s="2890"/>
      <c r="R1" s="2890"/>
      <c r="S1" s="2890"/>
      <c r="T1" s="2890"/>
      <c r="U1" s="2890"/>
      <c r="V1" s="2891"/>
      <c r="W1" s="2890"/>
    </row>
    <row r="2" spans="2:23" ht="13.5" thickBot="1" x14ac:dyDescent="0.25">
      <c r="B2" s="2892"/>
      <c r="C2" s="2892"/>
      <c r="D2" s="2892"/>
      <c r="E2" s="2892"/>
      <c r="F2" s="2892"/>
      <c r="G2" s="2892"/>
      <c r="H2" s="2892"/>
      <c r="I2" s="2892"/>
      <c r="J2" s="2892"/>
      <c r="K2" s="2892"/>
      <c r="L2" s="2892"/>
      <c r="M2" s="2892"/>
      <c r="N2" s="2892"/>
      <c r="O2" s="2889"/>
      <c r="P2" s="2890"/>
      <c r="Q2" s="2890"/>
      <c r="R2" s="2890"/>
      <c r="S2" s="2890"/>
      <c r="T2" s="2890"/>
      <c r="U2" s="2890"/>
      <c r="V2" s="2891"/>
      <c r="W2" s="2890"/>
    </row>
    <row r="3" spans="2:23" x14ac:dyDescent="0.15">
      <c r="B3" s="2187"/>
      <c r="C3" s="2188"/>
      <c r="D3" s="2188"/>
      <c r="E3" s="2188"/>
      <c r="F3" s="2188"/>
      <c r="G3" s="2188"/>
      <c r="H3" s="2188"/>
      <c r="I3" s="2188"/>
      <c r="J3" s="2188"/>
      <c r="K3" s="2188"/>
      <c r="L3" s="2188"/>
      <c r="M3" s="2188"/>
      <c r="N3" s="2189"/>
    </row>
    <row r="4" spans="2:23" ht="12.75" customHeight="1" x14ac:dyDescent="0.15">
      <c r="B4" s="2190"/>
      <c r="C4" s="2191"/>
      <c r="D4" s="2191"/>
      <c r="E4" s="2191"/>
      <c r="F4" s="2191"/>
      <c r="G4" s="2191"/>
      <c r="H4" s="2191"/>
      <c r="I4" s="2191"/>
      <c r="J4" s="2191"/>
      <c r="K4" s="2191"/>
      <c r="L4" s="2191"/>
      <c r="M4" s="2191"/>
      <c r="N4" s="2192"/>
      <c r="Q4" s="2184" t="s">
        <v>103</v>
      </c>
      <c r="W4" s="2184">
        <v>210</v>
      </c>
    </row>
    <row r="5" spans="2:23" ht="12.75" customHeight="1" x14ac:dyDescent="0.15">
      <c r="B5" s="2190"/>
      <c r="C5" s="2191"/>
      <c r="D5" s="2893"/>
      <c r="E5" s="2893"/>
      <c r="F5" s="3023" t="s">
        <v>3100</v>
      </c>
      <c r="G5" s="3023"/>
      <c r="H5" s="3023"/>
      <c r="I5" s="3023"/>
      <c r="J5" s="3023"/>
      <c r="K5" s="3023"/>
      <c r="L5" s="3023"/>
      <c r="M5" s="3023"/>
      <c r="N5" s="3024"/>
      <c r="Q5" s="2184" t="s">
        <v>104</v>
      </c>
      <c r="R5" s="2193" t="s">
        <v>1098</v>
      </c>
      <c r="W5" s="2184">
        <v>220</v>
      </c>
    </row>
    <row r="6" spans="2:23" ht="12.75" customHeight="1" x14ac:dyDescent="0.15">
      <c r="B6" s="2194"/>
      <c r="C6" s="2195"/>
      <c r="D6" s="2894"/>
      <c r="E6" s="2894"/>
      <c r="F6" s="3025"/>
      <c r="G6" s="3025"/>
      <c r="H6" s="3025"/>
      <c r="I6" s="3025"/>
      <c r="J6" s="3025"/>
      <c r="K6" s="3025"/>
      <c r="L6" s="3025"/>
      <c r="M6" s="3025"/>
      <c r="N6" s="3026"/>
      <c r="R6" s="2193" t="s">
        <v>484</v>
      </c>
      <c r="W6" s="2184">
        <v>415</v>
      </c>
    </row>
    <row r="7" spans="2:23" x14ac:dyDescent="0.15">
      <c r="B7" s="2190"/>
      <c r="C7" s="2191"/>
      <c r="D7" s="2191"/>
      <c r="E7" s="2191"/>
      <c r="F7" s="2191"/>
      <c r="G7" s="2191"/>
      <c r="H7" s="2191"/>
      <c r="I7" s="2191"/>
      <c r="J7" s="2191"/>
      <c r="K7" s="2191"/>
      <c r="L7" s="2191"/>
      <c r="M7" s="2191"/>
      <c r="N7" s="2192"/>
      <c r="R7" s="2193" t="s">
        <v>1095</v>
      </c>
      <c r="W7" s="2184">
        <v>425</v>
      </c>
    </row>
    <row r="8" spans="2:23" x14ac:dyDescent="0.15">
      <c r="B8" s="2190"/>
      <c r="C8" s="2191"/>
      <c r="D8" s="2191"/>
      <c r="E8" s="2191"/>
      <c r="F8" s="2191"/>
      <c r="G8" s="2191"/>
      <c r="H8" s="2191"/>
      <c r="I8" s="2191"/>
      <c r="J8" s="2191"/>
      <c r="K8" s="2191"/>
      <c r="L8" s="2191"/>
      <c r="M8" s="2191"/>
      <c r="N8" s="2192"/>
      <c r="P8" s="2184">
        <f>[3]CIIU!A2:A447</f>
        <v>115</v>
      </c>
      <c r="R8" s="2193" t="s">
        <v>483</v>
      </c>
      <c r="W8" s="2184">
        <v>426</v>
      </c>
    </row>
    <row r="9" spans="2:23" x14ac:dyDescent="0.15">
      <c r="B9" s="2197" t="s">
        <v>113</v>
      </c>
      <c r="C9" s="2191" t="s">
        <v>3101</v>
      </c>
      <c r="D9" s="2191"/>
      <c r="E9" s="2191"/>
      <c r="F9" s="2198" t="s">
        <v>114</v>
      </c>
      <c r="G9" s="2191" t="s">
        <v>524</v>
      </c>
      <c r="H9" s="2191"/>
      <c r="I9" s="2191"/>
      <c r="J9" s="2191"/>
      <c r="K9" s="2199" t="s">
        <v>1357</v>
      </c>
      <c r="L9" s="2200"/>
      <c r="M9" s="2191"/>
      <c r="N9" s="2192"/>
      <c r="R9" s="2193" t="s">
        <v>1096</v>
      </c>
      <c r="W9" s="2184">
        <v>131</v>
      </c>
    </row>
    <row r="10" spans="2:23" x14ac:dyDescent="0.2">
      <c r="B10" s="2201" t="s">
        <v>162</v>
      </c>
      <c r="C10" s="2202">
        <f ca="1">TODAY()</f>
        <v>43776</v>
      </c>
      <c r="D10" s="2203"/>
      <c r="E10" s="3027" t="s">
        <v>3102</v>
      </c>
      <c r="F10" s="3027"/>
      <c r="G10" s="2205" t="s">
        <v>3103</v>
      </c>
      <c r="H10" s="2191"/>
      <c r="I10" s="2191"/>
      <c r="J10" s="2191"/>
      <c r="K10" s="2199" t="s">
        <v>627</v>
      </c>
      <c r="L10" s="2200" t="s">
        <v>104</v>
      </c>
      <c r="M10" s="2191"/>
      <c r="N10" s="2192"/>
      <c r="Q10" s="2184" t="s">
        <v>1042</v>
      </c>
      <c r="R10" s="2184">
        <v>9.3000000000000007</v>
      </c>
      <c r="S10" s="2184">
        <v>-2</v>
      </c>
      <c r="T10" s="2206">
        <v>0</v>
      </c>
      <c r="U10" s="2184" t="s">
        <v>953</v>
      </c>
      <c r="W10" s="2184">
        <v>140</v>
      </c>
    </row>
    <row r="11" spans="2:23" x14ac:dyDescent="0.15">
      <c r="B11" s="2207" t="s">
        <v>220</v>
      </c>
      <c r="C11" s="2208"/>
      <c r="D11" s="2209"/>
      <c r="E11" s="3028" t="s">
        <v>3104</v>
      </c>
      <c r="F11" s="3028"/>
      <c r="G11" s="2210" t="str">
        <f>VLOOKUP(J20,Hoja2!$B$4:$D$8,3,FALSE)</f>
        <v>Ges Comercial y Ges Seguimiento</v>
      </c>
      <c r="H11" s="2208"/>
      <c r="I11" s="2211"/>
      <c r="J11" s="3029" t="s">
        <v>1819</v>
      </c>
      <c r="K11" s="3029"/>
      <c r="L11" s="3029"/>
      <c r="M11" s="2211"/>
      <c r="N11" s="2212"/>
      <c r="Q11" s="2184" t="s">
        <v>1043</v>
      </c>
      <c r="R11" s="2184">
        <v>9</v>
      </c>
      <c r="S11" s="2184">
        <v>-1</v>
      </c>
      <c r="T11" s="2206">
        <v>0.25</v>
      </c>
      <c r="U11" s="2184" t="s">
        <v>954</v>
      </c>
    </row>
    <row r="12" spans="2:23" x14ac:dyDescent="0.15">
      <c r="B12" s="2190"/>
      <c r="C12" s="2191"/>
      <c r="D12" s="2191"/>
      <c r="E12" s="2191"/>
      <c r="F12" s="2191"/>
      <c r="G12" s="2191"/>
      <c r="H12" s="2191"/>
      <c r="I12" s="2191"/>
      <c r="J12" s="2191"/>
      <c r="K12" s="2191"/>
      <c r="L12" s="2191"/>
      <c r="M12" s="2191"/>
      <c r="N12" s="2192"/>
      <c r="P12" s="2213"/>
      <c r="Q12" s="2184" t="s">
        <v>1044</v>
      </c>
      <c r="R12" s="2184">
        <v>8.5</v>
      </c>
      <c r="S12" s="2184">
        <v>0</v>
      </c>
      <c r="T12" s="2206">
        <v>0.5</v>
      </c>
      <c r="U12" s="2184" t="s">
        <v>1487</v>
      </c>
    </row>
    <row r="13" spans="2:23" x14ac:dyDescent="0.15">
      <c r="B13" s="2190"/>
      <c r="C13" s="2191"/>
      <c r="D13" s="2191"/>
      <c r="E13" s="2191"/>
      <c r="F13" s="2191"/>
      <c r="G13" s="2191"/>
      <c r="H13" s="2191"/>
      <c r="I13" s="2191"/>
      <c r="J13" s="2191"/>
      <c r="K13" s="2191"/>
      <c r="L13" s="2191"/>
      <c r="M13" s="2191"/>
      <c r="N13" s="2192"/>
      <c r="Q13" s="2184" t="s">
        <v>1045</v>
      </c>
      <c r="R13" s="2184">
        <v>8</v>
      </c>
      <c r="T13" s="2206">
        <v>0.75</v>
      </c>
      <c r="U13" s="2184" t="s">
        <v>1488</v>
      </c>
      <c r="W13" s="2214"/>
    </row>
    <row r="14" spans="2:23" ht="15" x14ac:dyDescent="0.15">
      <c r="B14" s="2197" t="s">
        <v>154</v>
      </c>
      <c r="C14" s="2191"/>
      <c r="D14" s="2895">
        <f>General!D6</f>
        <v>0</v>
      </c>
      <c r="E14" s="2896"/>
      <c r="F14" s="2897"/>
      <c r="G14" s="2198" t="s">
        <v>159</v>
      </c>
      <c r="I14" s="2217"/>
      <c r="J14" s="2198" t="s">
        <v>163</v>
      </c>
      <c r="K14" s="2216"/>
      <c r="L14" s="2217"/>
      <c r="M14" s="3030"/>
      <c r="N14" s="3031"/>
      <c r="R14" s="2184">
        <v>7.5</v>
      </c>
      <c r="T14" s="2206">
        <v>1</v>
      </c>
      <c r="U14" s="2184" t="s">
        <v>1513</v>
      </c>
    </row>
    <row r="15" spans="2:23" x14ac:dyDescent="0.15">
      <c r="B15" s="2197" t="s">
        <v>107</v>
      </c>
      <c r="C15" s="2191"/>
      <c r="D15" s="2898">
        <f>General!D9</f>
        <v>0</v>
      </c>
      <c r="E15" s="2216"/>
      <c r="F15" s="2191"/>
      <c r="G15" s="2204" t="s">
        <v>993</v>
      </c>
      <c r="H15" s="2198" t="s">
        <v>991</v>
      </c>
      <c r="I15" s="2219"/>
      <c r="L15" s="2217"/>
      <c r="M15" s="2221"/>
      <c r="N15" s="2222" t="s">
        <v>161</v>
      </c>
      <c r="Q15" s="2184" t="s">
        <v>150</v>
      </c>
      <c r="R15" s="2184">
        <v>7</v>
      </c>
      <c r="U15" s="2184" t="s">
        <v>1514</v>
      </c>
    </row>
    <row r="16" spans="2:23" x14ac:dyDescent="0.15">
      <c r="B16" s="2197" t="s">
        <v>989</v>
      </c>
      <c r="C16" s="2215"/>
      <c r="D16" s="2191"/>
      <c r="E16" s="2216"/>
      <c r="F16" s="2191"/>
      <c r="G16" s="2204" t="s">
        <v>1037</v>
      </c>
      <c r="H16" s="2380"/>
      <c r="I16" s="2223"/>
      <c r="J16" s="2224"/>
      <c r="K16" s="2225"/>
      <c r="L16" s="2213"/>
      <c r="M16" s="2213" t="s">
        <v>636</v>
      </c>
      <c r="N16" s="2226">
        <f ca="1">TODAY()</f>
        <v>43776</v>
      </c>
      <c r="Q16" s="2184" t="s">
        <v>151</v>
      </c>
      <c r="R16" s="2184">
        <v>6.5</v>
      </c>
      <c r="U16" s="2184" t="s">
        <v>1342</v>
      </c>
    </row>
    <row r="17" spans="2:22" x14ac:dyDescent="0.2">
      <c r="B17" s="2227" t="s">
        <v>990</v>
      </c>
      <c r="C17" s="2228"/>
      <c r="D17" s="2229"/>
      <c r="E17" s="2229"/>
      <c r="F17" s="2229"/>
      <c r="G17" s="2198" t="s">
        <v>992</v>
      </c>
      <c r="H17" s="2229"/>
      <c r="I17" s="2229"/>
      <c r="J17" s="2229"/>
      <c r="K17" s="2229"/>
      <c r="L17" s="2229"/>
      <c r="M17" s="2213" t="s">
        <v>1040</v>
      </c>
      <c r="N17" s="2230">
        <f>N95</f>
        <v>5.6</v>
      </c>
      <c r="P17" s="2198"/>
      <c r="Q17" s="2184" t="s">
        <v>152</v>
      </c>
      <c r="R17" s="2184">
        <v>6</v>
      </c>
      <c r="U17" s="2184" t="s">
        <v>1343</v>
      </c>
    </row>
    <row r="18" spans="2:22" x14ac:dyDescent="0.2">
      <c r="C18" s="2228"/>
      <c r="D18" s="2191"/>
      <c r="E18" s="2191"/>
      <c r="F18" s="2191"/>
      <c r="G18" s="2191"/>
      <c r="H18" s="2191"/>
      <c r="I18" s="2191"/>
      <c r="J18" s="2216"/>
      <c r="K18" s="2213"/>
      <c r="L18" s="2231"/>
      <c r="M18" s="2213" t="s">
        <v>1041</v>
      </c>
      <c r="N18" s="2230">
        <f>N17</f>
        <v>5.6</v>
      </c>
      <c r="Q18" s="2184" t="s">
        <v>153</v>
      </c>
      <c r="R18" s="2184">
        <v>5.5</v>
      </c>
    </row>
    <row r="19" spans="2:22" x14ac:dyDescent="0.2">
      <c r="B19" s="3021" t="s">
        <v>3105</v>
      </c>
      <c r="C19" s="3022"/>
      <c r="D19" s="2899">
        <v>6</v>
      </c>
      <c r="F19" s="2900" t="s">
        <v>1526</v>
      </c>
      <c r="G19" s="2901">
        <v>43444</v>
      </c>
      <c r="H19" s="3022" t="s">
        <v>1527</v>
      </c>
      <c r="I19" s="3022"/>
      <c r="J19" s="2902">
        <v>5.6</v>
      </c>
      <c r="K19" s="2903"/>
      <c r="L19" s="2231"/>
      <c r="M19" s="2216" t="s">
        <v>1042</v>
      </c>
      <c r="N19" s="2236" t="s">
        <v>1429</v>
      </c>
      <c r="R19" s="2184">
        <v>5</v>
      </c>
    </row>
    <row r="20" spans="2:22" x14ac:dyDescent="0.2">
      <c r="B20" s="3021" t="s">
        <v>1528</v>
      </c>
      <c r="C20" s="3022"/>
      <c r="D20" s="2901">
        <v>43444</v>
      </c>
      <c r="E20" s="2238"/>
      <c r="F20" s="2900" t="s">
        <v>1529</v>
      </c>
      <c r="G20" s="2904" t="s">
        <v>3106</v>
      </c>
      <c r="H20" s="3022" t="s">
        <v>3107</v>
      </c>
      <c r="I20" s="3022"/>
      <c r="J20" s="3032" t="s">
        <v>3108</v>
      </c>
      <c r="K20" s="3032"/>
      <c r="L20" s="3033" t="s">
        <v>1044</v>
      </c>
      <c r="M20" s="3033"/>
      <c r="N20" s="2236" t="s">
        <v>1429</v>
      </c>
      <c r="R20" s="2184">
        <v>4.5</v>
      </c>
    </row>
    <row r="21" spans="2:22" x14ac:dyDescent="0.2">
      <c r="B21" s="3034" t="s">
        <v>3109</v>
      </c>
      <c r="C21" s="3034"/>
      <c r="D21" s="2905" t="s">
        <v>3110</v>
      </c>
      <c r="E21" s="2906"/>
      <c r="F21" s="2900" t="s">
        <v>3111</v>
      </c>
      <c r="G21" s="3032" t="s">
        <v>3112</v>
      </c>
      <c r="H21" s="3032"/>
      <c r="I21" s="3032"/>
      <c r="J21" s="3032"/>
      <c r="L21" s="2215"/>
      <c r="M21" s="2244"/>
      <c r="N21" s="2245"/>
      <c r="R21" s="2184">
        <v>4</v>
      </c>
    </row>
    <row r="22" spans="2:22" x14ac:dyDescent="0.2">
      <c r="B22" s="3037" t="s">
        <v>3113</v>
      </c>
      <c r="C22" s="3037"/>
      <c r="D22" s="3038" t="str">
        <f>VLOOKUP(G21,Hoja2!$H$4:$L$20,3,FALSE)</f>
        <v>Trimestral</v>
      </c>
      <c r="E22" s="3038"/>
      <c r="F22" s="2907" t="s">
        <v>3114</v>
      </c>
      <c r="G22" s="2908" t="str">
        <f>VLOOKUP(G21,Hoja2!$H$4:$L$20,5,FALSE)</f>
        <v>3 meses</v>
      </c>
      <c r="H22" s="2906"/>
      <c r="I22" s="2906"/>
      <c r="J22" s="2906"/>
      <c r="K22" s="2198"/>
      <c r="N22" s="2245"/>
    </row>
    <row r="23" spans="2:22" x14ac:dyDescent="0.15">
      <c r="B23" s="2246"/>
      <c r="C23" s="2247" t="s">
        <v>189</v>
      </c>
      <c r="D23" s="2248"/>
      <c r="E23" s="2248"/>
      <c r="F23" s="2248"/>
      <c r="G23" s="2248"/>
      <c r="H23" s="2248"/>
      <c r="I23" s="2248" t="s">
        <v>1726</v>
      </c>
      <c r="J23" s="2249"/>
      <c r="K23" s="2249"/>
      <c r="L23" s="2249"/>
      <c r="M23" s="2249"/>
      <c r="N23" s="2250"/>
      <c r="R23" s="2184">
        <v>3.5</v>
      </c>
    </row>
    <row r="24" spans="2:22" ht="12.75" customHeight="1" x14ac:dyDescent="0.15">
      <c r="B24" s="2251" t="s">
        <v>192</v>
      </c>
      <c r="C24" s="2252">
        <v>43281</v>
      </c>
      <c r="D24" s="2253"/>
      <c r="E24" s="2254"/>
      <c r="F24" s="2255"/>
      <c r="G24" s="2256"/>
      <c r="H24" s="2191"/>
      <c r="I24" s="2191"/>
      <c r="J24" s="2191"/>
      <c r="K24" s="2191"/>
      <c r="L24" s="2191"/>
      <c r="M24" s="2191"/>
      <c r="N24" s="2257"/>
      <c r="R24" s="2184">
        <v>3</v>
      </c>
      <c r="T24" s="2185"/>
      <c r="V24" s="2184"/>
    </row>
    <row r="25" spans="2:22" x14ac:dyDescent="0.15">
      <c r="B25" s="2909" t="s">
        <v>195</v>
      </c>
      <c r="C25" s="2259" t="s">
        <v>421</v>
      </c>
      <c r="D25" s="2259" t="s">
        <v>196</v>
      </c>
      <c r="E25" s="2260" t="s">
        <v>425</v>
      </c>
      <c r="F25" s="2261" t="s">
        <v>590</v>
      </c>
      <c r="G25" s="2256"/>
      <c r="H25" s="2191"/>
      <c r="I25" s="2248" t="s">
        <v>1821</v>
      </c>
      <c r="J25" s="2249"/>
      <c r="K25" s="2249"/>
      <c r="L25" s="2249"/>
      <c r="M25" s="2249"/>
      <c r="N25" s="2250"/>
      <c r="R25" s="2184">
        <v>2.5</v>
      </c>
      <c r="T25" s="2185"/>
      <c r="V25" s="2184"/>
    </row>
    <row r="26" spans="2:22" x14ac:dyDescent="0.15">
      <c r="B26" s="2910" t="str">
        <f>IF(Cuadros!B4&lt;&gt;"",Cuadros!B4,"")</f>
        <v/>
      </c>
      <c r="C26" s="2910" t="str">
        <f>IF(Cuadros!C4&lt;&gt;"",Cuadros!C4,"")</f>
        <v/>
      </c>
      <c r="D26" s="2910" t="str">
        <f>IF(Cuadros!D4&lt;&gt;"",Cuadros!D4,"")</f>
        <v/>
      </c>
      <c r="E26" s="2910" t="str">
        <f>IF(Cuadros!I4&lt;&gt;"",Cuadros!I4,"")</f>
        <v/>
      </c>
      <c r="F26" s="2910" t="str">
        <f>IF(Cuadros!J4&lt;&gt;"",Cuadros!J4,"")</f>
        <v/>
      </c>
      <c r="G26" s="2256"/>
      <c r="H26" s="2191"/>
      <c r="I26" s="2256"/>
      <c r="J26" s="2252">
        <f>AR!H13</f>
        <v>43100</v>
      </c>
      <c r="K26" s="2252">
        <f>AR!I13</f>
        <v>43465</v>
      </c>
      <c r="L26" s="2256"/>
      <c r="M26" s="2252">
        <f>AR!L13</f>
        <v>43100</v>
      </c>
      <c r="N26" s="2262">
        <f>AR!M13</f>
        <v>43465</v>
      </c>
      <c r="R26" s="2184">
        <v>2</v>
      </c>
      <c r="T26" s="2185"/>
      <c r="V26" s="2184"/>
    </row>
    <row r="27" spans="2:22" x14ac:dyDescent="0.15">
      <c r="B27" s="2910" t="str">
        <f>IF(Cuadros!B5&lt;&gt;"",Cuadros!B5,"")</f>
        <v/>
      </c>
      <c r="C27" s="2910" t="str">
        <f>IF(Cuadros!C5&lt;&gt;"",Cuadros!C5,"")</f>
        <v/>
      </c>
      <c r="D27" s="2910" t="str">
        <f>IF(Cuadros!D5&lt;&gt;"",Cuadros!D5,"")</f>
        <v/>
      </c>
      <c r="E27" s="2910" t="str">
        <f>IF(Cuadros!I5&lt;&gt;"",Cuadros!I5,"")</f>
        <v/>
      </c>
      <c r="F27" s="2910" t="str">
        <f>IF(Cuadros!J5&lt;&gt;"",Cuadros!J5,"")</f>
        <v/>
      </c>
      <c r="G27" s="2256"/>
      <c r="H27" s="2191"/>
      <c r="I27" s="2265" t="s">
        <v>172</v>
      </c>
      <c r="J27" s="2266">
        <v>1062217</v>
      </c>
      <c r="K27" s="2266">
        <v>1042002</v>
      </c>
      <c r="L27" s="2265" t="s">
        <v>1499</v>
      </c>
      <c r="M27" s="2912">
        <v>-0.14451808508685193</v>
      </c>
      <c r="N27" s="2913" t="s">
        <v>953</v>
      </c>
      <c r="R27" s="2184">
        <v>1.5</v>
      </c>
      <c r="T27" s="2185"/>
      <c r="V27" s="2184"/>
    </row>
    <row r="28" spans="2:22" x14ac:dyDescent="0.15">
      <c r="B28" s="2910" t="str">
        <f>IF([4]Cuadros!B6&lt;&gt;"",[4]Cuadros!B6,"")</f>
        <v/>
      </c>
      <c r="C28" s="2911">
        <f>IF([5]Cuadros!C6&lt;&gt;"",[5]Cuadros!C6,"")</f>
        <v>0</v>
      </c>
      <c r="D28" s="2911"/>
      <c r="E28" s="2911"/>
      <c r="F28" s="2914"/>
      <c r="G28" s="2256"/>
      <c r="H28" s="2191"/>
      <c r="I28" s="2265" t="s">
        <v>175</v>
      </c>
      <c r="J28" s="2266">
        <v>118201</v>
      </c>
      <c r="K28" s="2266">
        <v>142309</v>
      </c>
      <c r="L28" s="2265" t="s">
        <v>188</v>
      </c>
      <c r="M28" s="2263">
        <v>101613</v>
      </c>
      <c r="N28" s="2915">
        <v>33397</v>
      </c>
      <c r="R28" s="2184">
        <v>1</v>
      </c>
      <c r="T28" s="2185"/>
      <c r="V28" s="2184"/>
    </row>
    <row r="29" spans="2:22" x14ac:dyDescent="0.15">
      <c r="B29" s="2910" t="str">
        <f>IF([4]Cuadros!B7&lt;&gt;"",[4]Cuadros!B7,"")</f>
        <v/>
      </c>
      <c r="C29" s="2911">
        <f>IF([5]Cuadros!C7&lt;&gt;"",[5]Cuadros!C7,"")</f>
        <v>0</v>
      </c>
      <c r="D29" s="2911"/>
      <c r="E29" s="2911"/>
      <c r="F29" s="2914"/>
      <c r="G29" s="2256"/>
      <c r="H29" s="2191"/>
      <c r="I29" s="2265" t="s">
        <v>178</v>
      </c>
      <c r="J29" s="2266">
        <v>1180418</v>
      </c>
      <c r="K29" s="2266">
        <v>1184311</v>
      </c>
      <c r="L29" s="2265" t="s">
        <v>1500</v>
      </c>
      <c r="M29" s="2912">
        <v>0.15576263340067878</v>
      </c>
      <c r="N29" s="2913">
        <v>6.961914490004377E-2</v>
      </c>
      <c r="P29" s="2198"/>
      <c r="T29" s="2185"/>
      <c r="V29" s="2184"/>
    </row>
    <row r="30" spans="2:22" x14ac:dyDescent="0.15">
      <c r="B30" s="2910" t="str">
        <f>IF([4]Cuadros!B8&lt;&gt;"",[4]Cuadros!B8,"")</f>
        <v/>
      </c>
      <c r="C30" s="2911">
        <f>IF([5]Cuadros!C8&lt;&gt;"",[5]Cuadros!C8,"")</f>
        <v>0</v>
      </c>
      <c r="D30" s="2911"/>
      <c r="E30" s="2911"/>
      <c r="F30" s="2914"/>
      <c r="G30" s="2256"/>
      <c r="H30" s="2191"/>
      <c r="I30" s="2265" t="s">
        <v>181</v>
      </c>
      <c r="J30" s="2266">
        <v>637379</v>
      </c>
      <c r="K30" s="2266">
        <v>625764</v>
      </c>
      <c r="L30" s="2265" t="s">
        <v>697</v>
      </c>
      <c r="M30" s="2912">
        <v>4.3402548907195131E-2</v>
      </c>
      <c r="N30" s="2913">
        <v>3.0647682975130808E-2</v>
      </c>
      <c r="P30" s="2184" t="s">
        <v>597</v>
      </c>
      <c r="T30" s="2185"/>
      <c r="V30" s="2184"/>
    </row>
    <row r="31" spans="2:22" x14ac:dyDescent="0.15">
      <c r="B31" s="2910" t="str">
        <f>IF([4]Cuadros!B9&lt;&gt;"",[4]Cuadros!B9,"")</f>
        <v/>
      </c>
      <c r="C31" s="2911">
        <f>IF([5]Cuadros!C9&lt;&gt;"",[5]Cuadros!C9,"")</f>
        <v>0</v>
      </c>
      <c r="D31" s="2911"/>
      <c r="E31" s="2911"/>
      <c r="F31" s="2914"/>
      <c r="G31" s="2256"/>
      <c r="H31" s="2191"/>
      <c r="I31" s="2265" t="s">
        <v>184</v>
      </c>
      <c r="J31" s="2266">
        <v>307265</v>
      </c>
      <c r="K31" s="2266">
        <v>313933</v>
      </c>
      <c r="L31" s="2265" t="s">
        <v>763</v>
      </c>
      <c r="M31" s="2916" t="e">
        <v>#N/A</v>
      </c>
      <c r="N31" s="2917" t="e">
        <v>#N/A</v>
      </c>
      <c r="T31" s="2185"/>
      <c r="V31" s="2184"/>
    </row>
    <row r="32" spans="2:22" x14ac:dyDescent="0.15">
      <c r="B32" s="2910" t="str">
        <f>IF([4]Cuadros!B10&lt;&gt;"",[4]Cuadros!B10,"")</f>
        <v/>
      </c>
      <c r="C32" s="2911">
        <f>IF([5]Cuadros!C10&lt;&gt;"",[5]Cuadros!C10,"")</f>
        <v>0</v>
      </c>
      <c r="D32" s="2911"/>
      <c r="E32" s="2911"/>
      <c r="F32" s="2914"/>
      <c r="G32" s="2256"/>
      <c r="H32" s="2191"/>
      <c r="I32" s="2265" t="s">
        <v>187</v>
      </c>
      <c r="J32" s="2266">
        <v>235774</v>
      </c>
      <c r="K32" s="2266">
        <v>244614</v>
      </c>
      <c r="L32" s="2265" t="s">
        <v>1501</v>
      </c>
      <c r="M32" s="2918" t="e">
        <v>#N/A</v>
      </c>
      <c r="N32" s="2919" t="e">
        <v>#N/A</v>
      </c>
      <c r="T32" s="2185"/>
      <c r="V32" s="2184"/>
    </row>
    <row r="33" spans="2:22" x14ac:dyDescent="0.15">
      <c r="B33" s="2910" t="str">
        <f>IF([6]Cuadros!B11&lt;&gt;"",[6]Cuadros!B11,"")</f>
        <v/>
      </c>
      <c r="C33" s="2911" t="str">
        <f>IF([6]Cuadros!C11&lt;&gt;"",[6]Cuadros!C11,"")</f>
        <v/>
      </c>
      <c r="D33" s="2911" t="str">
        <f>IF([6]Cuadros!D11&lt;&gt;"",[6]Cuadros!D11,"")</f>
        <v/>
      </c>
      <c r="E33" s="2911" t="str">
        <f>IF([6]Cuadros!I11&lt;&gt;"",[6]Cuadros!I11,"")</f>
        <v/>
      </c>
      <c r="F33" s="2914" t="str">
        <f>IF([6]Cuadros!J11&lt;&gt;"",[6]Cuadros!J11,"")</f>
        <v/>
      </c>
      <c r="G33" s="2256"/>
      <c r="H33" s="2191"/>
      <c r="I33" s="2265" t="s">
        <v>190</v>
      </c>
      <c r="J33" s="2266">
        <v>-117573</v>
      </c>
      <c r="K33" s="2266">
        <v>-102305</v>
      </c>
      <c r="L33" s="2265" t="s">
        <v>1505</v>
      </c>
      <c r="M33" s="2920">
        <v>31.746349804999461</v>
      </c>
      <c r="N33" s="2921">
        <v>30.548993037565264</v>
      </c>
      <c r="T33" s="2185"/>
      <c r="V33" s="2184"/>
    </row>
    <row r="34" spans="2:22" x14ac:dyDescent="0.15">
      <c r="B34" s="2922">
        <f>IF([7]Cuadros!B12&lt;&gt;"",[7]Cuadros!B12,"")</f>
        <v>0</v>
      </c>
      <c r="C34" s="2385">
        <f>IF([7]Cuadros!C12&lt;&gt;"",[7]Cuadros!C12,"")</f>
        <v>0</v>
      </c>
      <c r="D34" s="2386">
        <f>IF([7]Cuadros!G12&lt;&gt;"",[7]Cuadros!G12,"")</f>
        <v>0</v>
      </c>
      <c r="E34" s="2386">
        <f>IF([7]Cuadros!I12&lt;&gt;"",[7]Cuadros!I12,"")</f>
        <v>0</v>
      </c>
      <c r="F34" s="2387">
        <f>IF([7]Cuadros!J12&lt;&gt;"",[7]Cuadros!J12,"")</f>
        <v>0</v>
      </c>
      <c r="G34" s="2256"/>
      <c r="H34" s="2191"/>
      <c r="I34" s="2265" t="s">
        <v>193</v>
      </c>
      <c r="J34" s="2266">
        <v>652358</v>
      </c>
      <c r="K34" s="2266">
        <v>479710</v>
      </c>
      <c r="L34" s="2265" t="s">
        <v>1504</v>
      </c>
      <c r="M34" s="2920">
        <v>16.366829397601006</v>
      </c>
      <c r="N34" s="2921">
        <v>23.208570195681133</v>
      </c>
      <c r="P34" s="2184" t="s">
        <v>741</v>
      </c>
      <c r="T34" s="2185"/>
      <c r="V34" s="2184"/>
    </row>
    <row r="35" spans="2:22" x14ac:dyDescent="0.15">
      <c r="B35" s="2923">
        <f>IF([7]Cuadros!B13&lt;&gt;"",[7]Cuadros!B13,"")</f>
        <v>0</v>
      </c>
      <c r="C35" s="2385">
        <f>IF([7]Cuadros!C13&lt;&gt;"",[7]Cuadros!C13,"")</f>
        <v>0</v>
      </c>
      <c r="D35" s="2390">
        <f>IF([7]Cuadros!G13&lt;&gt;"",[7]Cuadros!G13,"")</f>
        <v>0</v>
      </c>
      <c r="E35" s="2386">
        <f>IF([7]Cuadros!I13&lt;&gt;"",[7]Cuadros!I13,"")</f>
        <v>0</v>
      </c>
      <c r="F35" s="2387">
        <f>IF([7]Cuadros!J13&lt;&gt;"",[7]Cuadros!J13,"")</f>
        <v>0</v>
      </c>
      <c r="G35" s="2256"/>
      <c r="H35" s="2191"/>
      <c r="I35" s="2265" t="s">
        <v>197</v>
      </c>
      <c r="J35" s="2266">
        <v>76160</v>
      </c>
      <c r="K35" s="2266">
        <v>49654</v>
      </c>
      <c r="L35" s="2265" t="s">
        <v>1506</v>
      </c>
      <c r="M35" s="2920">
        <v>42.414455808610754</v>
      </c>
      <c r="N35" s="2921">
        <v>54.740436389561168</v>
      </c>
      <c r="T35" s="2185"/>
      <c r="V35" s="2184"/>
    </row>
    <row r="36" spans="2:22" x14ac:dyDescent="0.15">
      <c r="B36" s="2923">
        <f>IF([7]Cuadros!B14&lt;&gt;"",[7]Cuadros!B14,"")</f>
        <v>0</v>
      </c>
      <c r="C36" s="2385">
        <f>IF([7]Cuadros!C14&lt;&gt;"",[7]Cuadros!C14,"")</f>
        <v>0</v>
      </c>
      <c r="D36" s="2390">
        <f>IF([7]Cuadros!G14&lt;&gt;"",[7]Cuadros!G14,"")</f>
        <v>0</v>
      </c>
      <c r="E36" s="2386">
        <f>IF([7]Cuadros!I14&lt;&gt;"",[7]Cuadros!I14,"")</f>
        <v>0</v>
      </c>
      <c r="F36" s="2387">
        <f>IF([7]Cuadros!J14&lt;&gt;"",[7]Cuadros!J14,"")</f>
        <v>0</v>
      </c>
      <c r="G36" s="2256"/>
      <c r="H36" s="2191"/>
      <c r="I36" s="2286" t="s">
        <v>199</v>
      </c>
      <c r="J36" s="2266">
        <v>28314</v>
      </c>
      <c r="K36" s="2266">
        <v>14702</v>
      </c>
      <c r="L36" s="2286" t="s">
        <v>198</v>
      </c>
      <c r="M36" s="2912">
        <v>0.46003957919991056</v>
      </c>
      <c r="N36" s="2913">
        <v>0.47162189661330511</v>
      </c>
      <c r="T36" s="2185"/>
      <c r="V36" s="2184"/>
    </row>
    <row r="37" spans="2:22" x14ac:dyDescent="0.15">
      <c r="B37" s="2923">
        <f>IF([7]Cuadros!B15&lt;&gt;"",[7]Cuadros!B15,"")</f>
        <v>0</v>
      </c>
      <c r="C37" s="2385">
        <f>IF([7]Cuadros!C15&lt;&gt;"",[7]Cuadros!C15,"")</f>
        <v>0</v>
      </c>
      <c r="D37" s="2390">
        <f>IF([7]Cuadros!G15&lt;&gt;"",[7]Cuadros!G15,"")</f>
        <v>0</v>
      </c>
      <c r="E37" s="2386">
        <f>IF([7]Cuadros!I15&lt;&gt;"",[7]Cuadros!I15,"")</f>
        <v>0</v>
      </c>
      <c r="F37" s="2387">
        <f>IF([7]Cuadros!J15&lt;&gt;"",[7]Cuadros!J15,"")</f>
        <v>0</v>
      </c>
      <c r="G37" s="2256"/>
      <c r="H37" s="2191"/>
      <c r="I37" s="2291" t="s">
        <v>200</v>
      </c>
      <c r="J37" s="2266">
        <v>81789</v>
      </c>
      <c r="K37" s="2266">
        <v>25543</v>
      </c>
      <c r="L37" s="2291" t="s">
        <v>1502</v>
      </c>
      <c r="M37" s="2916">
        <v>0.85198759293920889</v>
      </c>
      <c r="N37" s="2917">
        <v>0.89258410518981601</v>
      </c>
      <c r="T37" s="2185"/>
      <c r="V37" s="2184"/>
    </row>
    <row r="38" spans="2:22" x14ac:dyDescent="0.15">
      <c r="B38" s="2924">
        <f>IF([7]Cuadros!B16&lt;&gt;"",[7]Cuadros!B16,"")</f>
        <v>0</v>
      </c>
      <c r="C38" s="2925">
        <f>IF([7]Cuadros!C16&lt;&gt;"",[7]Cuadros!C16,"")</f>
        <v>0</v>
      </c>
      <c r="D38" s="2391">
        <f>IF([7]Cuadros!G16&lt;&gt;"",[7]Cuadros!G16,"")</f>
        <v>0</v>
      </c>
      <c r="E38" s="2278">
        <f>IF([7]Cuadros!I16&lt;&gt;"",[7]Cuadros!I16,"")</f>
        <v>0</v>
      </c>
      <c r="F38" s="2926">
        <f>IF([7]Cuadros!J16&lt;&gt;"",[7]Cuadros!J16,"")</f>
        <v>0</v>
      </c>
      <c r="G38" s="2256"/>
      <c r="H38" s="2191"/>
      <c r="I38" s="2291" t="s">
        <v>201</v>
      </c>
      <c r="J38" s="2266">
        <v>-48425</v>
      </c>
      <c r="K38" s="2266">
        <v>-76168</v>
      </c>
      <c r="L38" s="2291" t="s">
        <v>1829</v>
      </c>
      <c r="M38" s="2916" t="e">
        <v>#N/A</v>
      </c>
      <c r="N38" s="2917" t="e">
        <v>#N/A</v>
      </c>
      <c r="T38" s="2185"/>
      <c r="V38" s="2184"/>
    </row>
    <row r="39" spans="2:22" x14ac:dyDescent="0.15">
      <c r="B39" s="2927" t="s">
        <v>1822</v>
      </c>
      <c r="C39" s="2928"/>
      <c r="D39" s="2929">
        <f>SUM(D26:D38)</f>
        <v>0</v>
      </c>
      <c r="E39" s="2282"/>
      <c r="F39" s="2282"/>
      <c r="G39" s="2282"/>
      <c r="H39" s="2191"/>
      <c r="T39" s="2185"/>
      <c r="V39" s="2184"/>
    </row>
    <row r="40" spans="2:22" x14ac:dyDescent="0.15">
      <c r="B40" s="2274"/>
      <c r="C40" s="2283"/>
      <c r="D40" s="2283"/>
      <c r="E40" s="2284"/>
      <c r="F40" s="2284"/>
      <c r="G40" s="2284"/>
      <c r="H40" s="2191"/>
      <c r="T40" s="2185"/>
      <c r="V40" s="2184"/>
    </row>
    <row r="41" spans="2:22" x14ac:dyDescent="0.15">
      <c r="B41" s="2285" t="s">
        <v>1823</v>
      </c>
      <c r="C41" s="2282"/>
      <c r="D41" s="2282"/>
      <c r="E41" s="2282"/>
      <c r="F41" s="2282"/>
      <c r="G41" s="2282"/>
      <c r="H41" s="2191"/>
      <c r="T41" s="2185"/>
      <c r="V41" s="2184"/>
    </row>
    <row r="42" spans="2:22" x14ac:dyDescent="0.15">
      <c r="B42" s="2288" t="s">
        <v>1824</v>
      </c>
      <c r="C42" s="2289" t="s">
        <v>1825</v>
      </c>
      <c r="D42" s="2289" t="s">
        <v>543</v>
      </c>
      <c r="E42" s="2290" t="s">
        <v>1826</v>
      </c>
      <c r="F42" s="2290" t="s">
        <v>1827</v>
      </c>
      <c r="G42" s="2290" t="s">
        <v>1828</v>
      </c>
      <c r="H42" s="2191"/>
      <c r="O42" s="2184" t="s">
        <v>1510</v>
      </c>
      <c r="S42" s="2184" t="s">
        <v>521</v>
      </c>
      <c r="T42" s="2185"/>
      <c r="V42" s="2184"/>
    </row>
    <row r="43" spans="2:22" x14ac:dyDescent="0.15">
      <c r="B43" s="2292" t="s">
        <v>3115</v>
      </c>
      <c r="C43" s="2293" t="s">
        <v>3116</v>
      </c>
      <c r="D43" s="2294">
        <f>3.5*3300</f>
        <v>11550</v>
      </c>
      <c r="E43" s="2295">
        <v>43434</v>
      </c>
      <c r="F43" s="2263"/>
      <c r="G43" s="2264"/>
      <c r="H43" s="2191"/>
      <c r="T43" s="2185"/>
      <c r="V43" s="2184"/>
    </row>
    <row r="44" spans="2:22" x14ac:dyDescent="0.15">
      <c r="B44" s="2292" t="s">
        <v>3115</v>
      </c>
      <c r="C44" s="2293" t="s">
        <v>3116</v>
      </c>
      <c r="D44" s="2294">
        <f>3.6*3300</f>
        <v>11880</v>
      </c>
      <c r="E44" s="2295">
        <v>43704</v>
      </c>
      <c r="F44" s="2296"/>
      <c r="G44" s="2297"/>
      <c r="H44" s="2191"/>
      <c r="I44" s="2191"/>
      <c r="J44" s="2191"/>
      <c r="K44" s="2191"/>
      <c r="L44" s="2191"/>
      <c r="M44" s="2191"/>
      <c r="N44" s="2257"/>
      <c r="T44" s="2185"/>
      <c r="V44" s="2184"/>
    </row>
    <row r="45" spans="2:22" x14ac:dyDescent="0.15">
      <c r="B45" s="2298" t="s">
        <v>3117</v>
      </c>
      <c r="C45" s="2255" t="s">
        <v>3116</v>
      </c>
      <c r="D45" s="2294">
        <f>1.7*3300</f>
        <v>5610</v>
      </c>
      <c r="E45" s="2295">
        <v>43496</v>
      </c>
      <c r="F45" s="2299"/>
      <c r="G45" s="2297"/>
      <c r="H45" s="2191"/>
      <c r="I45" s="2191"/>
      <c r="J45" s="2191"/>
      <c r="K45" s="2191"/>
      <c r="L45" s="2191"/>
      <c r="M45" s="2191"/>
      <c r="N45" s="2257"/>
      <c r="T45" s="2185"/>
      <c r="V45" s="2184"/>
    </row>
    <row r="46" spans="2:22" x14ac:dyDescent="0.15">
      <c r="B46" s="2292" t="s">
        <v>3117</v>
      </c>
      <c r="C46" s="2255" t="s">
        <v>3116</v>
      </c>
      <c r="D46" s="2294">
        <f>1.2*3300</f>
        <v>3960</v>
      </c>
      <c r="E46" s="2301">
        <v>43496</v>
      </c>
      <c r="F46" s="2299"/>
      <c r="G46" s="2297"/>
      <c r="H46" s="2191"/>
      <c r="I46" s="2191"/>
      <c r="J46" s="2191"/>
      <c r="K46" s="2191"/>
      <c r="L46" s="2191"/>
      <c r="M46" s="2191"/>
      <c r="N46" s="2257"/>
      <c r="T46" s="2185"/>
      <c r="V46" s="2184"/>
    </row>
    <row r="47" spans="2:22" x14ac:dyDescent="0.15">
      <c r="B47" s="2302"/>
      <c r="C47" s="2249"/>
      <c r="D47" s="2249"/>
      <c r="E47" s="2247" t="s">
        <v>205</v>
      </c>
      <c r="F47" s="2249"/>
      <c r="G47" s="2249"/>
      <c r="H47" s="2249"/>
      <c r="I47" s="2249"/>
      <c r="J47" s="2249"/>
      <c r="K47" s="2249"/>
      <c r="L47" s="2249"/>
      <c r="M47" s="2249"/>
      <c r="N47" s="2250"/>
      <c r="Q47" s="2184" t="s">
        <v>1344</v>
      </c>
      <c r="U47" s="2184" t="s">
        <v>522</v>
      </c>
    </row>
    <row r="48" spans="2:22" x14ac:dyDescent="0.15">
      <c r="B48" s="2303"/>
      <c r="C48" s="2304" t="s">
        <v>206</v>
      </c>
      <c r="D48" s="2304"/>
      <c r="E48" s="2304" t="s">
        <v>207</v>
      </c>
      <c r="F48" s="2304" t="s">
        <v>208</v>
      </c>
      <c r="G48" s="2304" t="s">
        <v>209</v>
      </c>
      <c r="H48" s="2304"/>
      <c r="I48" s="2304"/>
      <c r="J48" s="2304"/>
      <c r="K48" s="2304" t="s">
        <v>210</v>
      </c>
      <c r="L48" s="2215"/>
      <c r="M48" s="2215"/>
      <c r="N48" s="2305"/>
      <c r="Q48" s="2184" t="s">
        <v>1489</v>
      </c>
      <c r="U48" s="2184" t="s">
        <v>1515</v>
      </c>
    </row>
    <row r="49" spans="1:28" x14ac:dyDescent="0.15">
      <c r="B49" s="2306" t="s">
        <v>211</v>
      </c>
      <c r="C49" s="2215" t="s">
        <v>212</v>
      </c>
      <c r="D49" s="2191"/>
      <c r="E49" s="2887"/>
      <c r="F49" s="2887"/>
      <c r="G49" s="2308"/>
      <c r="H49" s="2885"/>
      <c r="I49" s="2885"/>
      <c r="J49" s="3039"/>
      <c r="K49" s="3039"/>
      <c r="L49" s="3039"/>
      <c r="M49" s="3039"/>
      <c r="N49" s="3040"/>
      <c r="Q49" s="2184" t="s">
        <v>1511</v>
      </c>
      <c r="U49" s="2184" t="s">
        <v>1358</v>
      </c>
    </row>
    <row r="50" spans="1:28" s="2185" customFormat="1" x14ac:dyDescent="0.15">
      <c r="A50" s="2890"/>
      <c r="B50" s="2306" t="s">
        <v>213</v>
      </c>
      <c r="C50" s="2215" t="s">
        <v>214</v>
      </c>
      <c r="D50" s="2191"/>
      <c r="E50" s="2887"/>
      <c r="F50" s="2887"/>
      <c r="G50" s="2308"/>
      <c r="H50" s="2885"/>
      <c r="I50" s="2885"/>
      <c r="J50" s="3039"/>
      <c r="K50" s="3039"/>
      <c r="L50" s="3039"/>
      <c r="M50" s="3039"/>
      <c r="N50" s="3040"/>
      <c r="O50" s="2184"/>
      <c r="P50" s="2184"/>
      <c r="Q50" s="2184" t="s">
        <v>518</v>
      </c>
      <c r="R50" s="2184"/>
      <c r="S50" s="2184"/>
      <c r="T50" s="2184" t="s">
        <v>523</v>
      </c>
      <c r="U50" s="2184" t="s">
        <v>1359</v>
      </c>
      <c r="W50" s="2184"/>
      <c r="X50" s="2890"/>
      <c r="Y50" s="2890"/>
      <c r="Z50" s="2890"/>
      <c r="AA50" s="2890"/>
      <c r="AB50" s="2890"/>
    </row>
    <row r="51" spans="1:28" s="2185" customFormat="1" x14ac:dyDescent="0.15">
      <c r="A51" s="2890"/>
      <c r="B51" s="2306" t="s">
        <v>215</v>
      </c>
      <c r="C51" s="2215" t="s">
        <v>216</v>
      </c>
      <c r="D51" s="2191"/>
      <c r="E51" s="2887"/>
      <c r="F51" s="2887"/>
      <c r="G51" s="2308"/>
      <c r="H51" s="2885"/>
      <c r="I51" s="2885"/>
      <c r="J51" s="3039"/>
      <c r="K51" s="3039"/>
      <c r="L51" s="3039"/>
      <c r="M51" s="3039"/>
      <c r="N51" s="3040"/>
      <c r="O51" s="2184"/>
      <c r="P51" s="2184"/>
      <c r="Q51" s="2184" t="s">
        <v>1512</v>
      </c>
      <c r="R51" s="2184"/>
      <c r="S51" s="2184"/>
      <c r="T51" s="2184" t="s">
        <v>524</v>
      </c>
      <c r="U51" s="2184" t="s">
        <v>1360</v>
      </c>
      <c r="W51" s="2184"/>
      <c r="X51" s="2890"/>
      <c r="Y51" s="2890"/>
      <c r="Z51" s="2890"/>
      <c r="AA51" s="2890"/>
      <c r="AB51" s="2890"/>
    </row>
    <row r="52" spans="1:28" s="2185" customFormat="1" ht="19.5" customHeight="1" x14ac:dyDescent="0.15">
      <c r="A52" s="2890"/>
      <c r="B52" s="2306" t="s">
        <v>217</v>
      </c>
      <c r="C52" s="2215" t="s">
        <v>218</v>
      </c>
      <c r="D52" s="2191"/>
      <c r="E52" s="2887"/>
      <c r="F52" s="2887"/>
      <c r="G52" s="2308"/>
      <c r="H52" s="2885"/>
      <c r="I52" s="2885"/>
      <c r="J52" s="3039"/>
      <c r="K52" s="3039"/>
      <c r="L52" s="3039"/>
      <c r="M52" s="3039"/>
      <c r="N52" s="3040"/>
      <c r="O52" s="2184"/>
      <c r="P52" s="2184"/>
      <c r="Q52" s="2184" t="s">
        <v>520</v>
      </c>
      <c r="R52" s="2184"/>
      <c r="S52" s="2184"/>
      <c r="T52" s="2184" t="s">
        <v>525</v>
      </c>
      <c r="U52" s="2184" t="s">
        <v>1361</v>
      </c>
      <c r="W52" s="2184"/>
      <c r="X52" s="2890"/>
      <c r="Y52" s="2890"/>
      <c r="Z52" s="2890"/>
      <c r="AA52" s="2890"/>
      <c r="AB52" s="2890"/>
    </row>
    <row r="53" spans="1:28" s="2185" customFormat="1" x14ac:dyDescent="0.15">
      <c r="A53" s="2890"/>
      <c r="B53" s="2310" t="s">
        <v>1830</v>
      </c>
      <c r="C53" s="2311"/>
      <c r="D53" s="2312">
        <f>D58</f>
        <v>81300</v>
      </c>
      <c r="E53" s="2313" t="s">
        <v>221</v>
      </c>
      <c r="F53" s="2314">
        <v>43403</v>
      </c>
      <c r="G53" s="2313" t="s">
        <v>222</v>
      </c>
      <c r="H53" s="2312">
        <f>SUM(D43:D46)</f>
        <v>33000</v>
      </c>
      <c r="I53" s="2315"/>
      <c r="J53" s="2311"/>
      <c r="K53" s="2316" t="s">
        <v>223</v>
      </c>
      <c r="L53" s="2311"/>
      <c r="M53" s="2317">
        <v>0</v>
      </c>
      <c r="N53" s="2318"/>
      <c r="O53" s="2184"/>
      <c r="P53" s="2184"/>
      <c r="Q53" s="2184" t="s">
        <v>1362</v>
      </c>
      <c r="R53" s="2184"/>
      <c r="S53" s="2184"/>
      <c r="T53" s="2184" t="s">
        <v>1490</v>
      </c>
      <c r="U53" s="2184" t="s">
        <v>1491</v>
      </c>
      <c r="W53" s="2184"/>
      <c r="X53" s="2890"/>
      <c r="Y53" s="2890"/>
      <c r="Z53" s="2890"/>
      <c r="AA53" s="2890"/>
      <c r="AB53" s="2890"/>
    </row>
    <row r="54" spans="1:28" s="2185" customFormat="1" x14ac:dyDescent="0.15">
      <c r="A54" s="2890"/>
      <c r="B54" s="2310" t="s">
        <v>224</v>
      </c>
      <c r="C54" s="2311"/>
      <c r="D54" s="2312">
        <f>D59</f>
        <v>0</v>
      </c>
      <c r="E54" s="2313" t="s">
        <v>221</v>
      </c>
      <c r="F54" s="2314">
        <v>43403</v>
      </c>
      <c r="G54" s="2313" t="s">
        <v>222</v>
      </c>
      <c r="H54" s="2312">
        <f>SUM(C42:C47)</f>
        <v>0</v>
      </c>
      <c r="I54" s="2315"/>
      <c r="J54" s="2311"/>
      <c r="K54" s="2316" t="s">
        <v>225</v>
      </c>
      <c r="L54" s="2311"/>
      <c r="M54" s="2317">
        <v>0</v>
      </c>
      <c r="N54" s="2318"/>
      <c r="O54" s="2184"/>
      <c r="P54" s="2184"/>
      <c r="Q54" s="2184" t="s">
        <v>1363</v>
      </c>
      <c r="R54" s="2184"/>
      <c r="S54" s="2184"/>
      <c r="T54" s="2184"/>
      <c r="U54" s="2184" t="s">
        <v>1492</v>
      </c>
      <c r="W54" s="2184"/>
      <c r="X54" s="2890"/>
      <c r="Y54" s="2890"/>
      <c r="Z54" s="2890"/>
      <c r="AA54" s="2890"/>
      <c r="AB54" s="2890"/>
    </row>
    <row r="55" spans="1:28" s="2185" customFormat="1" x14ac:dyDescent="0.15">
      <c r="A55" s="2890"/>
      <c r="B55" s="2319" t="s">
        <v>497</v>
      </c>
      <c r="C55" s="2311"/>
      <c r="D55" s="2320">
        <f>+D53+D54</f>
        <v>81300</v>
      </c>
      <c r="E55" s="2313"/>
      <c r="F55" s="2321"/>
      <c r="G55" s="2313"/>
      <c r="H55" s="2320">
        <f>+H54+H53</f>
        <v>33000</v>
      </c>
      <c r="I55" s="2322"/>
      <c r="J55" s="2311"/>
      <c r="K55" s="2311"/>
      <c r="L55" s="2311"/>
      <c r="M55" s="2311"/>
      <c r="N55" s="2318"/>
      <c r="O55" s="2184"/>
      <c r="P55" s="2184"/>
      <c r="Q55" s="2184" t="s">
        <v>1364</v>
      </c>
      <c r="R55" s="2184"/>
      <c r="S55" s="2184"/>
      <c r="T55" s="2184"/>
      <c r="U55" s="2184" t="s">
        <v>1493</v>
      </c>
      <c r="W55" s="2184"/>
      <c r="X55" s="2890"/>
      <c r="Y55" s="2890"/>
      <c r="Z55" s="2890"/>
      <c r="AA55" s="2890"/>
      <c r="AB55" s="2890"/>
    </row>
    <row r="56" spans="1:28" s="2185" customFormat="1" x14ac:dyDescent="0.15">
      <c r="A56" s="2890"/>
      <c r="B56" s="2323"/>
      <c r="C56" s="2191"/>
      <c r="D56" s="2324"/>
      <c r="E56" s="2217" t="s">
        <v>226</v>
      </c>
      <c r="F56" s="2191"/>
      <c r="G56" s="2191"/>
      <c r="H56" s="2191"/>
      <c r="I56" s="2191"/>
      <c r="J56" s="2191"/>
      <c r="K56" s="2325"/>
      <c r="L56" s="2191"/>
      <c r="M56" s="2325"/>
      <c r="N56" s="2192"/>
      <c r="O56" s="2184"/>
      <c r="P56" s="2184"/>
      <c r="Q56" s="2184" t="s">
        <v>1365</v>
      </c>
      <c r="R56" s="2184"/>
      <c r="S56" s="2184"/>
      <c r="T56" s="2184"/>
      <c r="U56" s="2184" t="s">
        <v>1494</v>
      </c>
      <c r="W56" s="2184"/>
      <c r="X56" s="2890"/>
      <c r="Y56" s="2890"/>
      <c r="Z56" s="2890"/>
      <c r="AA56" s="2890"/>
      <c r="AB56" s="2890"/>
    </row>
    <row r="57" spans="1:28" s="2185" customFormat="1" x14ac:dyDescent="0.15">
      <c r="A57" s="2890"/>
      <c r="B57" s="2303"/>
      <c r="C57" s="2304"/>
      <c r="D57" s="2304" t="s">
        <v>227</v>
      </c>
      <c r="E57" s="2304" t="s">
        <v>228</v>
      </c>
      <c r="F57" s="2304" t="s">
        <v>229</v>
      </c>
      <c r="G57" s="2304" t="s">
        <v>230</v>
      </c>
      <c r="H57" s="2304" t="s">
        <v>231</v>
      </c>
      <c r="I57" s="2304" t="s">
        <v>232</v>
      </c>
      <c r="J57" s="2304" t="s">
        <v>233</v>
      </c>
      <c r="K57" s="2304" t="s">
        <v>234</v>
      </c>
      <c r="L57" s="2304" t="s">
        <v>235</v>
      </c>
      <c r="M57" s="2198" t="s">
        <v>236</v>
      </c>
      <c r="N57" s="2326"/>
      <c r="O57" s="2184"/>
      <c r="P57" s="2184"/>
      <c r="Q57" s="2184" t="s">
        <v>1366</v>
      </c>
      <c r="R57" s="2184"/>
      <c r="S57" s="2184"/>
      <c r="T57" s="2184"/>
      <c r="U57" s="2184" t="s">
        <v>1495</v>
      </c>
      <c r="W57" s="2184"/>
      <c r="X57" s="2890"/>
      <c r="Y57" s="2890"/>
      <c r="Z57" s="2890"/>
      <c r="AA57" s="2890"/>
      <c r="AB57" s="2890"/>
    </row>
    <row r="58" spans="1:28" s="2185" customFormat="1" x14ac:dyDescent="0.15">
      <c r="A58" s="2890"/>
      <c r="B58" s="2327" t="s">
        <v>1751</v>
      </c>
      <c r="C58" s="2191"/>
      <c r="D58" s="2308">
        <v>81300</v>
      </c>
      <c r="E58" s="2328" t="s">
        <v>527</v>
      </c>
      <c r="F58" s="2328" t="s">
        <v>851</v>
      </c>
      <c r="G58" s="2887"/>
      <c r="H58" s="2887"/>
      <c r="I58" s="2328"/>
      <c r="J58" s="2329"/>
      <c r="K58" s="2887"/>
      <c r="L58" s="2329"/>
      <c r="M58" s="2887"/>
      <c r="N58" s="2888"/>
      <c r="O58" s="2184"/>
      <c r="P58" s="2184"/>
      <c r="Q58" s="2184" t="s">
        <v>1367</v>
      </c>
      <c r="R58" s="2184"/>
      <c r="S58" s="2184"/>
      <c r="T58" s="2184"/>
      <c r="U58" s="2184" t="s">
        <v>1496</v>
      </c>
      <c r="W58" s="2184"/>
      <c r="X58" s="2890"/>
      <c r="Y58" s="2890"/>
      <c r="Z58" s="2890"/>
      <c r="AA58" s="2890"/>
      <c r="AB58" s="2890"/>
    </row>
    <row r="59" spans="1:28" s="2185" customFormat="1" x14ac:dyDescent="0.15">
      <c r="A59" s="2890"/>
      <c r="B59" s="2327" t="s">
        <v>975</v>
      </c>
      <c r="C59" s="2191"/>
      <c r="D59" s="2308"/>
      <c r="E59" s="2328"/>
      <c r="F59" s="2328"/>
      <c r="G59" s="2887"/>
      <c r="H59" s="2887"/>
      <c r="I59" s="2328"/>
      <c r="J59" s="2329"/>
      <c r="K59" s="2887"/>
      <c r="L59" s="2329"/>
      <c r="M59" s="2887"/>
      <c r="N59" s="2888"/>
      <c r="O59" s="2184"/>
      <c r="P59" s="2184"/>
      <c r="Q59" s="2184" t="s">
        <v>1368</v>
      </c>
      <c r="R59" s="2184"/>
      <c r="S59" s="2184"/>
      <c r="T59" s="2184"/>
      <c r="U59" s="2184" t="s">
        <v>1497</v>
      </c>
      <c r="W59" s="2184"/>
      <c r="X59" s="2890"/>
      <c r="Y59" s="2890"/>
      <c r="Z59" s="2890"/>
      <c r="AA59" s="2890"/>
      <c r="AB59" s="2890"/>
    </row>
    <row r="60" spans="1:28" s="2185" customFormat="1" x14ac:dyDescent="0.15">
      <c r="A60" s="2890"/>
      <c r="B60" s="2327" t="s">
        <v>976</v>
      </c>
      <c r="C60" s="2191"/>
      <c r="D60" s="2308"/>
      <c r="E60" s="2328"/>
      <c r="F60" s="2328"/>
      <c r="G60" s="2887"/>
      <c r="H60" s="2887"/>
      <c r="I60" s="2328"/>
      <c r="J60" s="2329"/>
      <c r="K60" s="2329"/>
      <c r="L60" s="2329"/>
      <c r="M60" s="2887"/>
      <c r="N60" s="2888"/>
      <c r="O60" s="2184"/>
      <c r="P60" s="2184"/>
      <c r="Q60" s="2184" t="s">
        <v>1369</v>
      </c>
      <c r="R60" s="2184"/>
      <c r="S60" s="2184"/>
      <c r="T60" s="2184"/>
      <c r="U60" s="2184"/>
      <c r="W60" s="2184"/>
      <c r="X60" s="2890"/>
      <c r="Y60" s="2890"/>
      <c r="Z60" s="2890"/>
      <c r="AA60" s="2890"/>
      <c r="AB60" s="2890"/>
    </row>
    <row r="61" spans="1:28" s="2185" customFormat="1" x14ac:dyDescent="0.15">
      <c r="A61" s="2890"/>
      <c r="B61" s="2327" t="s">
        <v>237</v>
      </c>
      <c r="C61" s="2191"/>
      <c r="D61" s="2308"/>
      <c r="E61" s="2328"/>
      <c r="F61" s="2328"/>
      <c r="G61" s="2887"/>
      <c r="H61" s="2887"/>
      <c r="I61" s="2328"/>
      <c r="J61" s="2329"/>
      <c r="K61" s="2887"/>
      <c r="L61" s="2329"/>
      <c r="M61" s="2887"/>
      <c r="N61" s="2888"/>
      <c r="O61" s="2184"/>
      <c r="P61" s="2184"/>
      <c r="Q61" s="2184" t="s">
        <v>1370</v>
      </c>
      <c r="R61" s="2184"/>
      <c r="S61" s="2184"/>
      <c r="T61" s="2184"/>
      <c r="U61" s="2184"/>
      <c r="W61" s="2184"/>
      <c r="X61" s="2890"/>
      <c r="Y61" s="2890"/>
      <c r="Z61" s="2890"/>
      <c r="AA61" s="2890"/>
      <c r="AB61" s="2890"/>
    </row>
    <row r="62" spans="1:28" s="2185" customFormat="1" x14ac:dyDescent="0.15">
      <c r="A62" s="2890"/>
      <c r="B62" s="2327" t="s">
        <v>239</v>
      </c>
      <c r="C62" s="2191"/>
      <c r="D62" s="2308"/>
      <c r="E62" s="2328"/>
      <c r="F62" s="2328"/>
      <c r="G62" s="2887"/>
      <c r="H62" s="2887"/>
      <c r="I62" s="2328"/>
      <c r="J62" s="2329"/>
      <c r="K62" s="2887"/>
      <c r="L62" s="2329"/>
      <c r="M62" s="2887"/>
      <c r="N62" s="2888"/>
      <c r="O62" s="2184"/>
      <c r="P62" s="2184"/>
      <c r="Q62" s="2184" t="s">
        <v>1371</v>
      </c>
      <c r="R62" s="2184"/>
      <c r="S62" s="2184"/>
      <c r="T62" s="2184"/>
      <c r="U62" s="2184"/>
      <c r="W62" s="2184"/>
      <c r="X62" s="2890"/>
      <c r="Y62" s="2890"/>
      <c r="Z62" s="2890"/>
      <c r="AA62" s="2890"/>
      <c r="AB62" s="2890"/>
    </row>
    <row r="63" spans="1:28" s="2185" customFormat="1" x14ac:dyDescent="0.15">
      <c r="A63" s="2890"/>
      <c r="B63" s="2327" t="s">
        <v>240</v>
      </c>
      <c r="C63" s="2191"/>
      <c r="D63" s="2308"/>
      <c r="E63" s="2328"/>
      <c r="F63" s="2328"/>
      <c r="G63" s="2887"/>
      <c r="H63" s="2887"/>
      <c r="I63" s="2328"/>
      <c r="J63" s="2329"/>
      <c r="K63" s="2887"/>
      <c r="L63" s="2329"/>
      <c r="M63" s="2887"/>
      <c r="N63" s="2888"/>
      <c r="O63" s="2184"/>
      <c r="P63" s="2184"/>
      <c r="Q63" s="2184" t="s">
        <v>1372</v>
      </c>
      <c r="R63" s="2184"/>
      <c r="S63" s="2184"/>
      <c r="T63" s="2184"/>
      <c r="U63" s="2184"/>
      <c r="W63" s="2184"/>
      <c r="X63" s="2890"/>
      <c r="Y63" s="2890"/>
      <c r="Z63" s="2890"/>
      <c r="AA63" s="2890"/>
      <c r="AB63" s="2890"/>
    </row>
    <row r="64" spans="1:28" s="2185" customFormat="1" x14ac:dyDescent="0.15">
      <c r="A64" s="2890"/>
      <c r="B64" s="2327" t="s">
        <v>238</v>
      </c>
      <c r="C64" s="2191"/>
      <c r="D64" s="2308"/>
      <c r="E64" s="2887"/>
      <c r="F64" s="2328"/>
      <c r="G64" s="2887"/>
      <c r="H64" s="2887"/>
      <c r="I64" s="2328"/>
      <c r="J64" s="2329"/>
      <c r="K64" s="2887"/>
      <c r="L64" s="2329"/>
      <c r="M64" s="2887"/>
      <c r="N64" s="2888"/>
      <c r="O64" s="2184"/>
      <c r="P64" s="2184"/>
      <c r="Q64" s="2184" t="s">
        <v>1373</v>
      </c>
      <c r="R64" s="2184"/>
      <c r="S64" s="2184"/>
      <c r="T64" s="2184"/>
      <c r="U64" s="2184"/>
      <c r="W64" s="2184"/>
      <c r="X64" s="2890"/>
      <c r="Y64" s="2890"/>
      <c r="Z64" s="2890"/>
      <c r="AA64" s="2890"/>
      <c r="AB64" s="2890"/>
    </row>
    <row r="65" spans="1:28" s="2185" customFormat="1" hidden="1" x14ac:dyDescent="0.15">
      <c r="A65" s="2890"/>
      <c r="B65" s="2323"/>
      <c r="C65" s="2191"/>
      <c r="D65" s="2324"/>
      <c r="E65" s="2217" t="s">
        <v>241</v>
      </c>
      <c r="F65" s="2191"/>
      <c r="G65" s="2191"/>
      <c r="H65" s="2191"/>
      <c r="I65" s="2191"/>
      <c r="J65" s="2325"/>
      <c r="K65" s="2191"/>
      <c r="L65" s="2325"/>
      <c r="M65" s="2191"/>
      <c r="N65" s="2192"/>
      <c r="O65" s="2184"/>
      <c r="P65" s="2184"/>
      <c r="Q65" s="2184"/>
      <c r="R65" s="2184"/>
      <c r="S65" s="2184"/>
      <c r="T65" s="2184"/>
      <c r="U65" s="2184"/>
      <c r="W65" s="2184"/>
      <c r="X65" s="2890"/>
      <c r="Y65" s="2890"/>
      <c r="Z65" s="2890"/>
      <c r="AA65" s="2890"/>
      <c r="AB65" s="2890"/>
    </row>
    <row r="66" spans="1:28" s="2185" customFormat="1" hidden="1" x14ac:dyDescent="0.15">
      <c r="A66" s="2890"/>
      <c r="B66" s="2331" t="s">
        <v>242</v>
      </c>
      <c r="C66" s="2332"/>
      <c r="D66" s="2333">
        <f>SUM(D68:D74)</f>
        <v>0</v>
      </c>
      <c r="E66" s="2334" t="s">
        <v>634</v>
      </c>
      <c r="F66" s="2332" t="s">
        <v>977</v>
      </c>
      <c r="G66" s="2332"/>
      <c r="H66" s="2335" t="s">
        <v>635</v>
      </c>
      <c r="I66" s="2335"/>
      <c r="J66" s="2332"/>
      <c r="K66" s="2332"/>
      <c r="L66" s="2332"/>
      <c r="M66" s="2332"/>
      <c r="N66" s="2336"/>
      <c r="O66" s="2184"/>
      <c r="P66" s="2184"/>
      <c r="Q66" s="2184"/>
      <c r="R66" s="2184"/>
      <c r="S66" s="2184"/>
      <c r="T66" s="2184"/>
      <c r="U66" s="2184"/>
      <c r="W66" s="2184"/>
      <c r="X66" s="2890"/>
      <c r="Y66" s="2890"/>
      <c r="Z66" s="2890"/>
      <c r="AA66" s="2890"/>
      <c r="AB66" s="2890"/>
    </row>
    <row r="67" spans="1:28" s="2185" customFormat="1" hidden="1" x14ac:dyDescent="0.15">
      <c r="A67" s="2890"/>
      <c r="B67" s="2337"/>
      <c r="C67" s="2304"/>
      <c r="D67" s="2304" t="s">
        <v>227</v>
      </c>
      <c r="E67" s="2304" t="s">
        <v>228</v>
      </c>
      <c r="F67" s="2304" t="s">
        <v>229</v>
      </c>
      <c r="G67" s="2304" t="s">
        <v>232</v>
      </c>
      <c r="H67" s="2304" t="s">
        <v>233</v>
      </c>
      <c r="I67" s="2304" t="s">
        <v>234</v>
      </c>
      <c r="J67" s="2304" t="s">
        <v>235</v>
      </c>
      <c r="K67" s="2304" t="s">
        <v>243</v>
      </c>
      <c r="L67" s="3041" t="s">
        <v>244</v>
      </c>
      <c r="M67" s="3041"/>
      <c r="N67" s="3042"/>
      <c r="O67" s="2184"/>
      <c r="P67" s="2184"/>
      <c r="Q67" s="2184"/>
      <c r="R67" s="2184"/>
      <c r="S67" s="2184"/>
      <c r="T67" s="2184"/>
      <c r="U67" s="2184"/>
      <c r="W67" s="2184"/>
      <c r="X67" s="2890"/>
      <c r="Y67" s="2890"/>
      <c r="Z67" s="2890"/>
      <c r="AA67" s="2890"/>
      <c r="AB67" s="2890"/>
    </row>
    <row r="68" spans="1:28" s="2185" customFormat="1" hidden="1" x14ac:dyDescent="0.15">
      <c r="A68" s="2890"/>
      <c r="B68" s="2327" t="s">
        <v>974</v>
      </c>
      <c r="C68" s="2191"/>
      <c r="D68" s="2338"/>
      <c r="E68" s="2328"/>
      <c r="F68" s="2328"/>
      <c r="G68" s="2328"/>
      <c r="H68" s="2339"/>
      <c r="I68" s="2328"/>
      <c r="J68" s="2339"/>
      <c r="K68" s="2328"/>
      <c r="L68" s="3035"/>
      <c r="M68" s="3035"/>
      <c r="N68" s="3036"/>
      <c r="O68" s="2184"/>
      <c r="P68" s="2184"/>
      <c r="Q68" s="2184" t="s">
        <v>526</v>
      </c>
      <c r="R68" s="2184"/>
      <c r="S68" s="2184" t="s">
        <v>532</v>
      </c>
      <c r="T68" s="2184"/>
      <c r="U68" s="2184" t="s">
        <v>536</v>
      </c>
      <c r="W68" s="2184"/>
      <c r="X68" s="2890"/>
      <c r="Y68" s="2890"/>
      <c r="Z68" s="2890"/>
      <c r="AA68" s="2890"/>
      <c r="AB68" s="2890"/>
    </row>
    <row r="69" spans="1:28" s="2185" customFormat="1" hidden="1" x14ac:dyDescent="0.15">
      <c r="A69" s="2890"/>
      <c r="B69" s="2327" t="s">
        <v>975</v>
      </c>
      <c r="C69" s="2191"/>
      <c r="D69" s="2338"/>
      <c r="E69" s="2328"/>
      <c r="F69" s="2328"/>
      <c r="G69" s="2328"/>
      <c r="H69" s="2339"/>
      <c r="I69" s="2328"/>
      <c r="J69" s="2339"/>
      <c r="K69" s="2340"/>
      <c r="L69" s="3035"/>
      <c r="M69" s="3035"/>
      <c r="N69" s="3036"/>
      <c r="O69" s="2184"/>
      <c r="P69" s="2184"/>
      <c r="Q69" s="2184" t="s">
        <v>527</v>
      </c>
      <c r="R69" s="2184"/>
      <c r="S69" s="2184" t="s">
        <v>533</v>
      </c>
      <c r="T69" s="2184"/>
      <c r="U69" s="2184">
        <v>1</v>
      </c>
      <c r="W69" s="2184"/>
      <c r="X69" s="2890"/>
      <c r="Y69" s="2890"/>
      <c r="Z69" s="2890"/>
      <c r="AA69" s="2890"/>
      <c r="AB69" s="2890"/>
    </row>
    <row r="70" spans="1:28" s="2185" customFormat="1" hidden="1" x14ac:dyDescent="0.15">
      <c r="A70" s="2890"/>
      <c r="B70" s="2327" t="s">
        <v>976</v>
      </c>
      <c r="C70" s="2191"/>
      <c r="D70" s="2338"/>
      <c r="E70" s="2328"/>
      <c r="F70" s="2328"/>
      <c r="G70" s="2328"/>
      <c r="H70" s="2339"/>
      <c r="I70" s="2339"/>
      <c r="J70" s="2341"/>
      <c r="K70" s="2340"/>
      <c r="L70" s="3035"/>
      <c r="M70" s="3035"/>
      <c r="N70" s="3036"/>
      <c r="O70" s="2184"/>
      <c r="P70" s="2184"/>
      <c r="Q70" s="2184" t="s">
        <v>977</v>
      </c>
      <c r="R70" s="2184"/>
      <c r="S70" s="2184" t="s">
        <v>850</v>
      </c>
      <c r="T70" s="2184"/>
      <c r="U70" s="2184">
        <v>2</v>
      </c>
      <c r="W70" s="2184"/>
      <c r="X70" s="2890"/>
      <c r="Y70" s="2890"/>
      <c r="Z70" s="2890"/>
      <c r="AA70" s="2890"/>
      <c r="AB70" s="2890"/>
    </row>
    <row r="71" spans="1:28" s="2185" customFormat="1" hidden="1" x14ac:dyDescent="0.15">
      <c r="A71" s="2890"/>
      <c r="B71" s="2327" t="s">
        <v>237</v>
      </c>
      <c r="C71" s="2191"/>
      <c r="D71" s="2338"/>
      <c r="E71" s="2328"/>
      <c r="F71" s="2328"/>
      <c r="G71" s="2328"/>
      <c r="H71" s="2339"/>
      <c r="I71" s="2328"/>
      <c r="J71" s="2341"/>
      <c r="K71" s="2340"/>
      <c r="L71" s="3035"/>
      <c r="M71" s="3035"/>
      <c r="N71" s="3036"/>
      <c r="O71" s="2184"/>
      <c r="P71" s="2184"/>
      <c r="Q71" s="2184" t="s">
        <v>528</v>
      </c>
      <c r="R71" s="2184"/>
      <c r="S71" s="2184" t="s">
        <v>851</v>
      </c>
      <c r="T71" s="2184"/>
      <c r="U71" s="2184">
        <v>3</v>
      </c>
      <c r="W71" s="2184"/>
      <c r="X71" s="2890"/>
      <c r="Y71" s="2890"/>
      <c r="Z71" s="2890"/>
      <c r="AA71" s="2890"/>
      <c r="AB71" s="2890"/>
    </row>
    <row r="72" spans="1:28" s="2185" customFormat="1" hidden="1" x14ac:dyDescent="0.15">
      <c r="A72" s="2890"/>
      <c r="B72" s="2327" t="s">
        <v>239</v>
      </c>
      <c r="C72" s="2191"/>
      <c r="D72" s="2232"/>
      <c r="E72" s="2328"/>
      <c r="F72" s="2328"/>
      <c r="G72" s="2328"/>
      <c r="H72" s="2329"/>
      <c r="I72" s="2887"/>
      <c r="J72" s="2329"/>
      <c r="K72" s="2342"/>
      <c r="L72" s="3035"/>
      <c r="M72" s="3035"/>
      <c r="N72" s="3036"/>
      <c r="O72" s="2184"/>
      <c r="P72" s="2184"/>
      <c r="Q72" s="2184" t="s">
        <v>529</v>
      </c>
      <c r="R72" s="2184"/>
      <c r="S72" s="2184" t="s">
        <v>534</v>
      </c>
      <c r="T72" s="2184"/>
      <c r="U72" s="2184">
        <v>4</v>
      </c>
      <c r="W72" s="2184"/>
      <c r="X72" s="2890"/>
      <c r="Y72" s="2890"/>
      <c r="Z72" s="2890"/>
      <c r="AA72" s="2890"/>
      <c r="AB72" s="2890"/>
    </row>
    <row r="73" spans="1:28" s="2185" customFormat="1" hidden="1" x14ac:dyDescent="0.15">
      <c r="A73" s="2890"/>
      <c r="B73" s="2327" t="s">
        <v>240</v>
      </c>
      <c r="C73" s="2191"/>
      <c r="D73" s="2232"/>
      <c r="E73" s="2887"/>
      <c r="F73" s="2328"/>
      <c r="G73" s="2328"/>
      <c r="H73" s="2329"/>
      <c r="I73" s="2887"/>
      <c r="J73" s="2329"/>
      <c r="K73" s="2887"/>
      <c r="L73" s="3035"/>
      <c r="M73" s="3035"/>
      <c r="N73" s="3036"/>
      <c r="O73" s="2184"/>
      <c r="P73" s="2184"/>
      <c r="Q73" s="2184" t="s">
        <v>530</v>
      </c>
      <c r="R73" s="2184"/>
      <c r="S73" s="2184" t="s">
        <v>535</v>
      </c>
      <c r="T73" s="2184"/>
      <c r="U73" s="2184"/>
      <c r="W73" s="2184"/>
      <c r="X73" s="2890"/>
      <c r="Y73" s="2890"/>
      <c r="Z73" s="2890"/>
      <c r="AA73" s="2890"/>
      <c r="AB73" s="2890"/>
    </row>
    <row r="74" spans="1:28" s="2185" customFormat="1" hidden="1" x14ac:dyDescent="0.15">
      <c r="A74" s="2890"/>
      <c r="B74" s="2327" t="s">
        <v>238</v>
      </c>
      <c r="C74" s="2191"/>
      <c r="D74" s="2232"/>
      <c r="E74" s="2887"/>
      <c r="F74" s="2887"/>
      <c r="G74" s="2887"/>
      <c r="H74" s="2329"/>
      <c r="I74" s="2887"/>
      <c r="J74" s="2329"/>
      <c r="K74" s="2887"/>
      <c r="L74" s="3035"/>
      <c r="M74" s="3035"/>
      <c r="N74" s="3036"/>
      <c r="O74" s="2184"/>
      <c r="P74" s="2184"/>
      <c r="Q74" s="2184" t="s">
        <v>531</v>
      </c>
      <c r="R74" s="2184"/>
      <c r="S74" s="2184" t="s">
        <v>849</v>
      </c>
      <c r="T74" s="2184"/>
      <c r="U74" s="2184"/>
      <c r="W74" s="2184"/>
      <c r="X74" s="2890"/>
      <c r="Y74" s="2890"/>
      <c r="Z74" s="2890"/>
      <c r="AA74" s="2890"/>
      <c r="AB74" s="2890"/>
    </row>
    <row r="75" spans="1:28" s="2185" customFormat="1" hidden="1" x14ac:dyDescent="0.15">
      <c r="A75" s="2890"/>
      <c r="B75" s="2343" t="s">
        <v>1831</v>
      </c>
      <c r="C75" s="2191"/>
      <c r="D75" s="2232"/>
      <c r="E75" s="2887"/>
      <c r="F75" s="2887"/>
      <c r="G75" s="2887"/>
      <c r="H75" s="2329"/>
      <c r="I75" s="2887"/>
      <c r="J75" s="2329"/>
      <c r="K75" s="2887"/>
      <c r="L75" s="3035"/>
      <c r="M75" s="3035"/>
      <c r="N75" s="3036"/>
      <c r="O75" s="2184"/>
      <c r="P75" s="2184"/>
      <c r="Q75" s="2184"/>
      <c r="R75" s="2184"/>
      <c r="S75" s="2184"/>
      <c r="T75" s="2184"/>
      <c r="U75" s="2184"/>
      <c r="W75" s="2184"/>
      <c r="X75" s="2890"/>
      <c r="Y75" s="2890"/>
      <c r="Z75" s="2890"/>
      <c r="AA75" s="2890"/>
      <c r="AB75" s="2890"/>
    </row>
    <row r="76" spans="1:28" s="2185" customFormat="1" hidden="1" x14ac:dyDescent="0.15">
      <c r="A76" s="2890"/>
      <c r="B76" s="2344" t="s">
        <v>245</v>
      </c>
      <c r="C76" s="2886"/>
      <c r="D76" s="2886" t="s">
        <v>246</v>
      </c>
      <c r="E76" s="2886" t="s">
        <v>247</v>
      </c>
      <c r="F76" s="2886" t="s">
        <v>228</v>
      </c>
      <c r="G76" s="2886" t="s">
        <v>229</v>
      </c>
      <c r="H76" s="2886" t="s">
        <v>232</v>
      </c>
      <c r="I76" s="2886" t="s">
        <v>233</v>
      </c>
      <c r="J76" s="2886" t="s">
        <v>234</v>
      </c>
      <c r="K76" s="2886" t="s">
        <v>235</v>
      </c>
      <c r="L76" s="2886" t="s">
        <v>236</v>
      </c>
      <c r="M76" s="3044" t="s">
        <v>244</v>
      </c>
      <c r="N76" s="3045"/>
      <c r="O76" s="2184"/>
      <c r="P76" s="2184"/>
      <c r="Q76" s="2184"/>
      <c r="R76" s="2184"/>
      <c r="S76" s="2184"/>
      <c r="T76" s="2184"/>
      <c r="U76" s="2184"/>
      <c r="W76" s="2184"/>
      <c r="X76" s="2890"/>
      <c r="Y76" s="2890"/>
      <c r="Z76" s="2890"/>
      <c r="AA76" s="2890"/>
      <c r="AB76" s="2890"/>
    </row>
    <row r="77" spans="1:28" s="2185" customFormat="1" hidden="1" x14ac:dyDescent="0.15">
      <c r="A77" s="2890"/>
      <c r="B77" s="2190"/>
      <c r="C77" s="2191"/>
      <c r="D77" s="2887"/>
      <c r="E77" s="2232"/>
      <c r="F77" s="2887"/>
      <c r="G77" s="2328"/>
      <c r="H77" s="2328"/>
      <c r="I77" s="2329"/>
      <c r="J77" s="2887"/>
      <c r="K77" s="2329"/>
      <c r="L77" s="2887"/>
      <c r="M77" s="3046"/>
      <c r="N77" s="3047"/>
      <c r="O77" s="2184"/>
      <c r="P77" s="2184"/>
      <c r="Q77" s="2184"/>
      <c r="R77" s="2184"/>
      <c r="S77" s="2184"/>
      <c r="T77" s="2184"/>
      <c r="U77" s="2184"/>
      <c r="W77" s="2184"/>
      <c r="X77" s="2890"/>
      <c r="Y77" s="2890"/>
      <c r="Z77" s="2890"/>
      <c r="AA77" s="2890"/>
      <c r="AB77" s="2890"/>
    </row>
    <row r="78" spans="1:28" s="2185" customFormat="1" hidden="1" x14ac:dyDescent="0.15">
      <c r="A78" s="2890"/>
      <c r="B78" s="2190"/>
      <c r="C78" s="2191"/>
      <c r="D78" s="2887"/>
      <c r="E78" s="2232"/>
      <c r="F78" s="2887"/>
      <c r="G78" s="2887"/>
      <c r="H78" s="2887"/>
      <c r="I78" s="2329"/>
      <c r="J78" s="2887"/>
      <c r="K78" s="2329"/>
      <c r="L78" s="2887"/>
      <c r="M78" s="3035"/>
      <c r="N78" s="3036"/>
      <c r="O78" s="2184"/>
      <c r="P78" s="2184"/>
      <c r="Q78" s="2184"/>
      <c r="R78" s="2184"/>
      <c r="S78" s="2184"/>
      <c r="T78" s="2184"/>
      <c r="U78" s="2184"/>
      <c r="W78" s="2184"/>
      <c r="X78" s="2890"/>
      <c r="Y78" s="2890"/>
      <c r="Z78" s="2890"/>
      <c r="AA78" s="2890"/>
      <c r="AB78" s="2890"/>
    </row>
    <row r="79" spans="1:28" s="2185" customFormat="1" hidden="1" x14ac:dyDescent="0.15">
      <c r="A79" s="2890"/>
      <c r="B79" s="2190"/>
      <c r="C79" s="2191"/>
      <c r="D79" s="2887"/>
      <c r="E79" s="2232"/>
      <c r="F79" s="2887"/>
      <c r="G79" s="2887"/>
      <c r="H79" s="2887"/>
      <c r="I79" s="2329"/>
      <c r="J79" s="2887"/>
      <c r="K79" s="2329"/>
      <c r="L79" s="2887"/>
      <c r="M79" s="3048"/>
      <c r="N79" s="3049"/>
      <c r="O79" s="2184"/>
      <c r="P79" s="2184"/>
      <c r="Q79" s="2184"/>
      <c r="R79" s="2184"/>
      <c r="S79" s="2184"/>
      <c r="T79" s="2184"/>
      <c r="U79" s="2184"/>
      <c r="W79" s="2184"/>
      <c r="X79" s="2890"/>
      <c r="Y79" s="2890"/>
      <c r="Z79" s="2890"/>
      <c r="AA79" s="2890"/>
      <c r="AB79" s="2890"/>
    </row>
    <row r="80" spans="1:28" s="2185" customFormat="1" x14ac:dyDescent="0.15">
      <c r="A80" s="2890"/>
      <c r="B80" s="2190"/>
      <c r="C80" s="2191"/>
      <c r="D80" s="2887"/>
      <c r="E80" s="2232"/>
      <c r="F80" s="2887"/>
      <c r="G80" s="2887"/>
      <c r="H80" s="2887"/>
      <c r="I80" s="2329"/>
      <c r="J80" s="2887"/>
      <c r="K80" s="2329"/>
      <c r="L80" s="2887"/>
      <c r="M80" s="2887"/>
      <c r="N80" s="2888"/>
      <c r="O80" s="2184"/>
      <c r="P80" s="2184"/>
      <c r="Q80" s="2184"/>
      <c r="R80" s="2184"/>
      <c r="S80" s="2184"/>
      <c r="T80" s="2184"/>
      <c r="U80" s="2184"/>
      <c r="W80" s="2184"/>
      <c r="X80" s="2890"/>
      <c r="Y80" s="2890"/>
      <c r="Z80" s="2890"/>
      <c r="AA80" s="2890"/>
      <c r="AB80" s="2890"/>
    </row>
    <row r="81" spans="1:28" s="2185" customFormat="1" x14ac:dyDescent="0.15">
      <c r="A81" s="2890"/>
      <c r="B81" s="3050" t="s">
        <v>1532</v>
      </c>
      <c r="C81" s="3051"/>
      <c r="D81" s="3051"/>
      <c r="E81" s="2346"/>
      <c r="F81" s="2346"/>
      <c r="G81" s="2346"/>
      <c r="H81" s="2346"/>
      <c r="I81" s="2346"/>
      <c r="J81" s="2346"/>
      <c r="K81" s="2346"/>
      <c r="L81" s="2346"/>
      <c r="M81" s="2346"/>
      <c r="N81" s="2347"/>
      <c r="O81" s="2184"/>
      <c r="P81" s="2184"/>
      <c r="Q81" s="2184"/>
      <c r="R81" s="2184"/>
      <c r="S81" s="2184"/>
      <c r="T81" s="2184"/>
      <c r="U81" s="2184"/>
      <c r="W81" s="2184"/>
      <c r="X81" s="2890"/>
      <c r="Y81" s="2890"/>
      <c r="Z81" s="2890"/>
      <c r="AA81" s="2890"/>
      <c r="AB81" s="2890"/>
    </row>
    <row r="82" spans="1:28" x14ac:dyDescent="0.15">
      <c r="B82" s="2197"/>
      <c r="C82" s="2229"/>
      <c r="D82" s="2229"/>
      <c r="E82" s="2215"/>
      <c r="F82" s="2215"/>
      <c r="G82" s="2215"/>
      <c r="H82" s="2215"/>
      <c r="I82" s="2215"/>
      <c r="J82" s="2215"/>
      <c r="K82" s="2215"/>
      <c r="L82" s="2215"/>
      <c r="M82" s="2215"/>
      <c r="N82" s="2305"/>
    </row>
    <row r="83" spans="1:28" x14ac:dyDescent="0.15">
      <c r="B83" s="2303"/>
      <c r="C83" s="2930"/>
      <c r="D83" s="2930"/>
      <c r="E83" s="2930"/>
      <c r="G83" s="2930"/>
      <c r="H83" s="2930"/>
      <c r="I83" s="2215"/>
      <c r="J83" s="2215"/>
      <c r="K83" s="2930"/>
      <c r="L83" s="2930"/>
      <c r="M83" s="2930"/>
      <c r="N83" s="2305"/>
    </row>
    <row r="84" spans="1:28" x14ac:dyDescent="0.15">
      <c r="B84" s="2303"/>
      <c r="C84" s="3041" t="s">
        <v>3118</v>
      </c>
      <c r="D84" s="3041"/>
      <c r="E84" s="3041"/>
      <c r="G84" s="3041" t="s">
        <v>3119</v>
      </c>
      <c r="H84" s="3041"/>
      <c r="I84" s="2198"/>
      <c r="K84" s="3041" t="s">
        <v>3120</v>
      </c>
      <c r="L84" s="3041"/>
      <c r="M84" s="3041"/>
      <c r="N84" s="2305"/>
    </row>
    <row r="85" spans="1:28" x14ac:dyDescent="0.15">
      <c r="B85" s="2303"/>
      <c r="C85" s="2215"/>
      <c r="D85" s="2215"/>
      <c r="E85" s="2215"/>
      <c r="F85" s="2215"/>
      <c r="G85" s="2215"/>
      <c r="H85" s="2215"/>
      <c r="I85" s="2215"/>
      <c r="J85" s="2215"/>
      <c r="K85" s="2215"/>
      <c r="L85" s="2215"/>
      <c r="M85" s="2215"/>
      <c r="N85" s="2305"/>
    </row>
    <row r="86" spans="1:28" x14ac:dyDescent="0.15">
      <c r="B86" s="2303"/>
      <c r="C86" s="2215"/>
      <c r="D86" s="2215"/>
      <c r="E86" s="2215"/>
      <c r="F86" s="2215"/>
      <c r="G86" s="2215"/>
      <c r="H86" s="2215"/>
      <c r="I86" s="2215"/>
      <c r="J86" s="2215"/>
      <c r="K86" s="2215"/>
      <c r="L86" s="2215"/>
      <c r="M86" s="2215"/>
      <c r="N86" s="2305"/>
    </row>
    <row r="87" spans="1:28" x14ac:dyDescent="0.15">
      <c r="B87" s="2303"/>
      <c r="C87" s="2930"/>
      <c r="D87" s="2930"/>
      <c r="E87" s="2930"/>
      <c r="G87" s="2930"/>
      <c r="H87" s="2930"/>
      <c r="I87" s="2215"/>
      <c r="J87" s="2215"/>
      <c r="K87" s="2930"/>
      <c r="L87" s="2930"/>
      <c r="M87" s="2930"/>
      <c r="N87" s="2305"/>
    </row>
    <row r="88" spans="1:28" x14ac:dyDescent="0.15">
      <c r="B88" s="2327"/>
      <c r="C88" s="3041" t="s">
        <v>3121</v>
      </c>
      <c r="D88" s="3041"/>
      <c r="E88" s="3041"/>
      <c r="G88" s="3043" t="s">
        <v>3122</v>
      </c>
      <c r="H88" s="3043"/>
      <c r="I88" s="2198"/>
      <c r="K88" s="3041" t="s">
        <v>3123</v>
      </c>
      <c r="L88" s="3041"/>
      <c r="M88" s="3041"/>
      <c r="N88" s="2326"/>
    </row>
    <row r="89" spans="1:28" ht="12.75" customHeight="1" thickBot="1" x14ac:dyDescent="0.2">
      <c r="B89" s="2303"/>
      <c r="C89" s="2215"/>
      <c r="D89" s="2215"/>
      <c r="E89" s="2215"/>
      <c r="F89" s="2215"/>
      <c r="G89" s="2215"/>
      <c r="H89" s="2215"/>
      <c r="I89" s="2215"/>
      <c r="J89" s="2215"/>
      <c r="K89" s="2215"/>
      <c r="L89" s="2215"/>
      <c r="M89" s="2215"/>
      <c r="N89" s="2305"/>
      <c r="Q89" s="2348"/>
      <c r="R89" s="2348"/>
      <c r="S89" s="2348"/>
    </row>
    <row r="90" spans="1:28" ht="13.5" thickBot="1" x14ac:dyDescent="0.2">
      <c r="B90" s="3052" t="str">
        <f>IF(L10="SI","Rating Automatizado","Valoración anterior")</f>
        <v>Valoración anterior</v>
      </c>
      <c r="C90" s="3061" t="s">
        <v>248</v>
      </c>
      <c r="D90" s="3062"/>
      <c r="E90" s="3062"/>
      <c r="F90" s="3062"/>
      <c r="G90" s="3062"/>
      <c r="H90" s="3063"/>
      <c r="I90" s="3064" t="s">
        <v>1089</v>
      </c>
      <c r="J90" s="3065"/>
      <c r="K90" s="3052" t="s">
        <v>1091</v>
      </c>
      <c r="L90" s="3052" t="s">
        <v>1093</v>
      </c>
      <c r="M90" s="3052" t="s">
        <v>626</v>
      </c>
      <c r="N90" s="3052" t="s">
        <v>203</v>
      </c>
      <c r="Q90" s="2348"/>
      <c r="R90" s="2348"/>
      <c r="S90" s="2348"/>
    </row>
    <row r="91" spans="1:28" ht="13.5" customHeight="1" thickBot="1" x14ac:dyDescent="0.2">
      <c r="B91" s="3053"/>
      <c r="C91" s="2349" t="s">
        <v>250</v>
      </c>
      <c r="D91" s="2350" t="s">
        <v>251</v>
      </c>
      <c r="E91" s="2351" t="s">
        <v>252</v>
      </c>
      <c r="F91" s="2350" t="s">
        <v>253</v>
      </c>
      <c r="G91" s="2351" t="s">
        <v>254</v>
      </c>
      <c r="H91" s="2350" t="s">
        <v>255</v>
      </c>
      <c r="I91" s="3066"/>
      <c r="J91" s="3067"/>
      <c r="K91" s="3053"/>
      <c r="L91" s="3053"/>
      <c r="M91" s="3053"/>
      <c r="N91" s="3053"/>
      <c r="Q91" s="2348"/>
      <c r="R91" s="2348"/>
      <c r="S91" s="2348"/>
      <c r="Y91" s="2890" t="s">
        <v>250</v>
      </c>
      <c r="Z91" s="2890" t="s">
        <v>3124</v>
      </c>
    </row>
    <row r="92" spans="1:28" ht="13.5" thickBot="1" x14ac:dyDescent="0.2">
      <c r="B92" s="2352"/>
      <c r="C92" s="2352">
        <v>6</v>
      </c>
      <c r="D92" s="2353">
        <v>6.5</v>
      </c>
      <c r="E92" s="2354">
        <v>6</v>
      </c>
      <c r="F92" s="2353">
        <v>4.5</v>
      </c>
      <c r="G92" s="2354">
        <v>5</v>
      </c>
      <c r="H92" s="2355">
        <v>6</v>
      </c>
      <c r="I92" s="3054">
        <f>IF(L10="NO",(C92*0.2)+(D92*0.15)+(E92*0.1)+(F92*0.15)+(G92*0.25)+(H92*0.15),"digitar rating combinado")</f>
        <v>5.6</v>
      </c>
      <c r="J92" s="3055"/>
      <c r="K92" s="2356">
        <v>0</v>
      </c>
      <c r="L92" s="2354">
        <v>0</v>
      </c>
      <c r="M92" s="2357">
        <v>0</v>
      </c>
      <c r="N92" s="2353">
        <f>IF(I92&gt;L92,I92,((L92-I92)*K92)+I92)</f>
        <v>5.6</v>
      </c>
      <c r="Q92" s="2348"/>
      <c r="R92" s="2348"/>
      <c r="S92" s="2348"/>
      <c r="Y92" s="2890" t="s">
        <v>251</v>
      </c>
      <c r="Z92" s="2890" t="s">
        <v>3125</v>
      </c>
    </row>
    <row r="93" spans="1:28" x14ac:dyDescent="0.15">
      <c r="B93" s="2358"/>
      <c r="C93" s="2359"/>
      <c r="D93" s="2359"/>
      <c r="E93" s="2359"/>
      <c r="F93" s="2359"/>
      <c r="G93" s="2360"/>
      <c r="H93" s="2359"/>
      <c r="I93" s="2359"/>
      <c r="J93" s="2360"/>
      <c r="K93" s="2361"/>
      <c r="L93" s="2360"/>
      <c r="M93" s="2362" t="s">
        <v>256</v>
      </c>
      <c r="N93" s="2363">
        <v>0</v>
      </c>
      <c r="Q93" s="2348"/>
      <c r="R93" s="2348"/>
      <c r="S93" s="2348"/>
      <c r="Y93" s="2890" t="s">
        <v>252</v>
      </c>
      <c r="Z93" s="2890" t="s">
        <v>3126</v>
      </c>
    </row>
    <row r="94" spans="1:28" x14ac:dyDescent="0.2">
      <c r="B94" s="2364"/>
      <c r="C94" s="2359"/>
      <c r="D94" s="2359"/>
      <c r="E94" s="2359"/>
      <c r="F94" s="2359"/>
      <c r="G94" s="2365"/>
      <c r="H94" s="2365"/>
      <c r="I94" s="2365"/>
      <c r="J94" s="2365"/>
      <c r="K94" s="2365"/>
      <c r="L94" s="2360"/>
      <c r="M94" s="2366" t="s">
        <v>257</v>
      </c>
      <c r="N94" s="2367">
        <v>0</v>
      </c>
      <c r="Q94" s="2348"/>
      <c r="R94" s="2348"/>
      <c r="S94" s="2348"/>
      <c r="Y94" s="2890" t="s">
        <v>253</v>
      </c>
      <c r="Z94" s="2890" t="s">
        <v>3127</v>
      </c>
    </row>
    <row r="95" spans="1:28" ht="13.5" thickBot="1" x14ac:dyDescent="0.25">
      <c r="B95" s="2358"/>
      <c r="C95" s="2359"/>
      <c r="D95" s="2359"/>
      <c r="E95" s="2359"/>
      <c r="F95" s="2359"/>
      <c r="G95" s="2365"/>
      <c r="H95" s="2365"/>
      <c r="I95" s="2365"/>
      <c r="J95" s="2365"/>
      <c r="K95" s="2365"/>
      <c r="L95" s="2360"/>
      <c r="M95" s="2368" t="s">
        <v>258</v>
      </c>
      <c r="N95" s="2369">
        <f>+N92+N93-N94</f>
        <v>5.6</v>
      </c>
      <c r="Q95" s="2348"/>
      <c r="R95" s="2348"/>
      <c r="S95" s="2348"/>
      <c r="Y95" s="2890" t="s">
        <v>254</v>
      </c>
      <c r="Z95" s="2890" t="s">
        <v>3128</v>
      </c>
    </row>
    <row r="96" spans="1:28" x14ac:dyDescent="0.2">
      <c r="B96" s="2303"/>
      <c r="C96" s="2215"/>
      <c r="D96" s="2215"/>
      <c r="E96" s="2215"/>
      <c r="F96" s="2215"/>
      <c r="G96" s="2205"/>
      <c r="H96" s="2205"/>
      <c r="I96" s="2205"/>
      <c r="J96" s="2205"/>
      <c r="K96" s="2205"/>
      <c r="L96" s="2191"/>
      <c r="M96" s="2198"/>
      <c r="N96" s="2370"/>
      <c r="Q96" s="2348"/>
      <c r="R96" s="2348"/>
      <c r="S96" s="2348"/>
      <c r="Y96" s="2890" t="s">
        <v>255</v>
      </c>
      <c r="Z96" s="2890" t="s">
        <v>3129</v>
      </c>
    </row>
    <row r="97" spans="2:19" x14ac:dyDescent="0.2">
      <c r="B97" s="2303"/>
      <c r="C97" s="2931" t="s">
        <v>3130</v>
      </c>
      <c r="D97" s="2215"/>
      <c r="E97" s="2215" t="s">
        <v>3108</v>
      </c>
      <c r="F97" s="2215"/>
      <c r="G97" s="3056" t="s">
        <v>3131</v>
      </c>
      <c r="H97" s="3056"/>
      <c r="I97" s="3056"/>
      <c r="J97" s="3057" t="s">
        <v>3110</v>
      </c>
      <c r="K97" s="3057"/>
      <c r="L97" s="3057"/>
      <c r="M97" s="2198"/>
      <c r="N97" s="2370"/>
      <c r="Q97" s="2348"/>
      <c r="R97" s="2348"/>
      <c r="S97" s="2348"/>
    </row>
    <row r="98" spans="2:19" x14ac:dyDescent="0.2">
      <c r="B98" s="2303"/>
      <c r="C98" s="2215"/>
      <c r="D98" s="2215"/>
      <c r="E98" s="2215"/>
      <c r="F98" s="2215"/>
      <c r="G98" s="2205"/>
      <c r="H98" s="2205"/>
      <c r="I98" s="2205"/>
      <c r="J98" s="2205"/>
      <c r="K98" s="2205"/>
      <c r="L98" s="2215"/>
      <c r="M98" s="2215"/>
      <c r="N98" s="2305"/>
      <c r="Q98" s="2348"/>
      <c r="R98" s="2348"/>
      <c r="S98" s="2348"/>
    </row>
    <row r="99" spans="2:19" x14ac:dyDescent="0.2">
      <c r="B99" s="2303"/>
      <c r="C99" s="2215"/>
      <c r="D99" s="2215"/>
      <c r="E99" s="2215"/>
      <c r="F99" s="2215"/>
      <c r="G99" s="2205"/>
      <c r="H99" s="2205"/>
      <c r="I99" s="2205"/>
      <c r="J99" s="2205"/>
      <c r="K99" s="2205"/>
      <c r="L99" s="2215"/>
      <c r="M99" s="2215"/>
      <c r="N99" s="2305"/>
    </row>
    <row r="100" spans="2:19" ht="13.5" thickBot="1" x14ac:dyDescent="0.2">
      <c r="B100" s="2371"/>
      <c r="C100" s="2372"/>
      <c r="D100" s="2372"/>
      <c r="E100" s="2372"/>
      <c r="F100" s="2372"/>
      <c r="G100" s="2372"/>
      <c r="H100" s="2372"/>
      <c r="I100" s="2372"/>
      <c r="J100" s="2372"/>
      <c r="K100" s="2372"/>
      <c r="L100" s="2372"/>
      <c r="M100" s="2372"/>
      <c r="N100" s="2373"/>
    </row>
    <row r="101" spans="2:19" x14ac:dyDescent="0.15">
      <c r="B101" s="2190"/>
      <c r="C101" s="2191"/>
      <c r="D101" s="2191"/>
      <c r="E101" s="2191"/>
      <c r="F101" s="2191"/>
      <c r="G101" s="2191"/>
      <c r="H101" s="2191"/>
      <c r="I101" s="2191"/>
      <c r="J101" s="2191"/>
      <c r="K101" s="2191"/>
      <c r="L101" s="2191"/>
      <c r="M101" s="2191"/>
      <c r="N101" s="2192"/>
    </row>
    <row r="102" spans="2:19" ht="13.5" thickBot="1" x14ac:dyDescent="0.2">
      <c r="B102" s="2190"/>
      <c r="C102" s="2191"/>
      <c r="D102" s="2191"/>
      <c r="E102" s="2191"/>
      <c r="F102" s="2191"/>
      <c r="G102" s="2191"/>
      <c r="H102" s="2191"/>
      <c r="I102" s="2191"/>
      <c r="J102" s="2191"/>
      <c r="K102" s="2191"/>
      <c r="L102" s="2191"/>
      <c r="M102" s="2191"/>
      <c r="N102" s="2192"/>
    </row>
    <row r="103" spans="2:19" ht="13.5" thickBot="1" x14ac:dyDescent="0.2">
      <c r="B103" s="2374" t="s">
        <v>1533</v>
      </c>
      <c r="C103" s="2375"/>
      <c r="D103" s="2375"/>
      <c r="E103" s="2375"/>
      <c r="F103" s="2375"/>
      <c r="G103" s="2375"/>
      <c r="H103" s="2375"/>
      <c r="I103" s="2375"/>
      <c r="J103" s="2375"/>
      <c r="K103" s="2375"/>
      <c r="L103" s="2375"/>
      <c r="M103" s="2375"/>
      <c r="N103" s="2376"/>
    </row>
    <row r="104" spans="2:19" x14ac:dyDescent="0.15">
      <c r="B104" s="2190"/>
      <c r="C104" s="2191"/>
      <c r="D104" s="2191"/>
      <c r="E104" s="2191"/>
      <c r="F104" s="2191"/>
      <c r="G104" s="2191"/>
      <c r="H104" s="2191"/>
      <c r="I104" s="2191"/>
      <c r="J104" s="2191"/>
      <c r="K104" s="2191"/>
      <c r="L104" s="2191"/>
      <c r="M104" s="2191"/>
      <c r="N104" s="2192"/>
    </row>
    <row r="105" spans="2:19" x14ac:dyDescent="0.15">
      <c r="B105" s="2190"/>
      <c r="C105" s="2191"/>
      <c r="D105" s="2191"/>
      <c r="E105" s="2191"/>
      <c r="F105" s="2191"/>
      <c r="G105" s="2191"/>
      <c r="H105" s="2191"/>
      <c r="I105" s="2191"/>
      <c r="J105" s="2191"/>
      <c r="K105" s="2191"/>
      <c r="L105" s="2191"/>
      <c r="M105" s="2191"/>
      <c r="N105" s="2192"/>
    </row>
    <row r="106" spans="2:19" x14ac:dyDescent="0.15">
      <c r="B106" s="2190"/>
      <c r="C106" s="2191"/>
      <c r="D106" s="2191"/>
      <c r="E106" s="2191"/>
      <c r="F106" s="2191"/>
      <c r="G106" s="2191"/>
      <c r="H106" s="2191"/>
      <c r="I106" s="2191"/>
      <c r="J106" s="2191"/>
      <c r="K106" s="2191"/>
      <c r="L106" s="2191"/>
      <c r="M106" s="2191"/>
      <c r="N106" s="2192"/>
    </row>
    <row r="107" spans="2:19" x14ac:dyDescent="0.15">
      <c r="B107" s="2190"/>
      <c r="C107" s="2191"/>
      <c r="D107" s="2191"/>
      <c r="E107" s="2191"/>
      <c r="F107" s="2191"/>
      <c r="G107" s="2191"/>
      <c r="H107" s="2191"/>
      <c r="I107" s="2191"/>
      <c r="J107" s="2191"/>
      <c r="K107" s="2191"/>
      <c r="L107" s="2191"/>
      <c r="M107" s="2191"/>
      <c r="N107" s="2192"/>
    </row>
    <row r="108" spans="2:19" x14ac:dyDescent="0.15">
      <c r="B108" s="2190"/>
      <c r="C108" s="2191"/>
      <c r="D108" s="2191"/>
      <c r="E108" s="2191"/>
      <c r="F108" s="2191"/>
      <c r="G108" s="2191"/>
      <c r="H108" s="2191"/>
      <c r="I108" s="2191"/>
      <c r="J108" s="2191"/>
      <c r="K108" s="2191"/>
      <c r="L108" s="2191"/>
      <c r="M108" s="2191"/>
      <c r="N108" s="2192"/>
    </row>
    <row r="109" spans="2:19" x14ac:dyDescent="0.15">
      <c r="B109" s="2190"/>
      <c r="C109" s="2191"/>
      <c r="D109" s="2191"/>
      <c r="E109" s="2191"/>
      <c r="F109" s="2191"/>
      <c r="G109" s="2191"/>
      <c r="H109" s="2191"/>
      <c r="I109" s="2191"/>
      <c r="J109" s="2191"/>
      <c r="K109" s="2191"/>
      <c r="L109" s="2191"/>
      <c r="M109" s="2191"/>
      <c r="N109" s="2192"/>
    </row>
    <row r="110" spans="2:19" x14ac:dyDescent="0.15">
      <c r="B110" s="2190"/>
      <c r="C110" s="2191"/>
      <c r="D110" s="2191"/>
      <c r="E110" s="2191"/>
      <c r="F110" s="2191"/>
      <c r="G110" s="2191"/>
      <c r="H110" s="2191"/>
      <c r="I110" s="2191"/>
      <c r="J110" s="2191"/>
      <c r="K110" s="2191"/>
      <c r="L110" s="2191"/>
      <c r="M110" s="2191"/>
      <c r="N110" s="2192"/>
    </row>
    <row r="111" spans="2:19" ht="0.75" customHeight="1" x14ac:dyDescent="0.15">
      <c r="B111" s="2190"/>
      <c r="C111" s="2191"/>
      <c r="D111" s="2191"/>
      <c r="E111" s="2191"/>
      <c r="F111" s="2191"/>
      <c r="G111" s="2191"/>
      <c r="H111" s="2191"/>
      <c r="I111" s="2191"/>
      <c r="J111" s="2191"/>
      <c r="K111" s="2191"/>
      <c r="L111" s="2191"/>
      <c r="M111" s="2191"/>
      <c r="N111" s="2192"/>
    </row>
    <row r="112" spans="2:19" x14ac:dyDescent="0.15">
      <c r="B112" s="2190"/>
      <c r="C112" s="2191"/>
      <c r="D112" s="2191"/>
      <c r="E112" s="2191"/>
      <c r="F112" s="2191"/>
      <c r="G112" s="2191"/>
      <c r="H112" s="2191"/>
      <c r="I112" s="2191"/>
      <c r="J112" s="2191"/>
      <c r="K112" s="2191"/>
      <c r="L112" s="2191"/>
      <c r="M112" s="2191"/>
      <c r="N112" s="2192"/>
    </row>
    <row r="113" spans="2:14" x14ac:dyDescent="0.15">
      <c r="B113" s="2190"/>
      <c r="C113" s="2191"/>
      <c r="D113" s="2191"/>
      <c r="E113" s="2191"/>
      <c r="F113" s="2191"/>
      <c r="G113" s="2191"/>
      <c r="H113" s="2191"/>
      <c r="I113" s="2191"/>
      <c r="J113" s="2191"/>
      <c r="K113" s="2191"/>
      <c r="L113" s="2191"/>
      <c r="M113" s="2191"/>
      <c r="N113" s="2192"/>
    </row>
    <row r="114" spans="2:14" x14ac:dyDescent="0.15">
      <c r="B114" s="2190"/>
      <c r="C114" s="2191"/>
      <c r="D114" s="2191"/>
      <c r="E114" s="2191"/>
      <c r="F114" s="2191"/>
      <c r="G114" s="2191"/>
      <c r="H114" s="2191"/>
      <c r="I114" s="2191"/>
      <c r="J114" s="2191"/>
      <c r="K114" s="2191"/>
      <c r="L114" s="2191"/>
      <c r="M114" s="2191"/>
      <c r="N114" s="2192"/>
    </row>
    <row r="115" spans="2:14" x14ac:dyDescent="0.15">
      <c r="B115" s="2190"/>
      <c r="C115" s="2191"/>
      <c r="D115" s="2191"/>
      <c r="E115" s="2191"/>
      <c r="F115" s="2191"/>
      <c r="G115" s="2191"/>
      <c r="H115" s="2191"/>
      <c r="I115" s="2191"/>
      <c r="J115" s="2191"/>
      <c r="K115" s="2191"/>
      <c r="L115" s="2191"/>
      <c r="M115" s="2191"/>
      <c r="N115" s="2192"/>
    </row>
    <row r="116" spans="2:14" x14ac:dyDescent="0.15">
      <c r="B116" s="2190"/>
      <c r="C116" s="2191"/>
      <c r="D116" s="2191"/>
      <c r="E116" s="2191"/>
      <c r="F116" s="2191"/>
      <c r="G116" s="2191"/>
      <c r="H116" s="2191"/>
      <c r="I116" s="2191"/>
      <c r="J116" s="2191"/>
      <c r="K116" s="2191"/>
      <c r="L116" s="2191"/>
      <c r="M116" s="2191"/>
      <c r="N116" s="2192"/>
    </row>
    <row r="117" spans="2:14" x14ac:dyDescent="0.15">
      <c r="B117" s="2190"/>
      <c r="C117" s="2191"/>
      <c r="D117" s="2191"/>
      <c r="E117" s="2191"/>
      <c r="F117" s="2191"/>
      <c r="G117" s="2191"/>
      <c r="H117" s="2191"/>
      <c r="I117" s="2191"/>
      <c r="J117" s="2191"/>
      <c r="K117" s="2191"/>
      <c r="L117" s="2191"/>
      <c r="M117" s="2191"/>
      <c r="N117" s="2192"/>
    </row>
    <row r="118" spans="2:14" x14ac:dyDescent="0.15">
      <c r="B118" s="2190"/>
      <c r="C118" s="2191"/>
      <c r="D118" s="2191"/>
      <c r="E118" s="2191"/>
      <c r="F118" s="2191"/>
      <c r="G118" s="2191"/>
      <c r="H118" s="2191"/>
      <c r="I118" s="2191"/>
      <c r="J118" s="2191"/>
      <c r="K118" s="2191"/>
      <c r="L118" s="2191"/>
      <c r="M118" s="2191"/>
      <c r="N118" s="2192"/>
    </row>
    <row r="119" spans="2:14" x14ac:dyDescent="0.15">
      <c r="B119" s="2190"/>
      <c r="C119" s="2191"/>
      <c r="D119" s="2191"/>
      <c r="E119" s="2191"/>
      <c r="F119" s="2191"/>
      <c r="G119" s="2191"/>
      <c r="H119" s="2191"/>
      <c r="I119" s="2191"/>
      <c r="J119" s="2191"/>
      <c r="K119" s="2191"/>
      <c r="L119" s="2191"/>
      <c r="M119" s="2191"/>
      <c r="N119" s="2192"/>
    </row>
    <row r="120" spans="2:14" x14ac:dyDescent="0.15">
      <c r="B120" s="2190"/>
      <c r="C120" s="2191"/>
      <c r="D120" s="2191"/>
      <c r="E120" s="2191"/>
      <c r="F120" s="2191"/>
      <c r="G120" s="2191"/>
      <c r="H120" s="2191"/>
      <c r="I120" s="2191"/>
      <c r="J120" s="2191"/>
      <c r="K120" s="2191"/>
      <c r="L120" s="2191"/>
      <c r="M120" s="2191"/>
      <c r="N120" s="2192"/>
    </row>
    <row r="121" spans="2:14" x14ac:dyDescent="0.15">
      <c r="B121" s="2190"/>
      <c r="C121" s="2191"/>
      <c r="D121" s="2191"/>
      <c r="E121" s="2191"/>
      <c r="F121" s="2191"/>
      <c r="G121" s="2191"/>
      <c r="H121" s="2191"/>
      <c r="I121" s="2191"/>
      <c r="J121" s="2191"/>
      <c r="K121" s="2191"/>
      <c r="L121" s="2191"/>
      <c r="M121" s="2191"/>
      <c r="N121" s="2192"/>
    </row>
    <row r="122" spans="2:14" x14ac:dyDescent="0.15">
      <c r="B122" s="2190"/>
      <c r="C122" s="2191"/>
      <c r="D122" s="2191"/>
      <c r="E122" s="2191"/>
      <c r="F122" s="2191"/>
      <c r="G122" s="2191"/>
      <c r="H122" s="2191"/>
      <c r="I122" s="2191"/>
      <c r="J122" s="2191"/>
      <c r="K122" s="2191"/>
      <c r="L122" s="2191"/>
      <c r="M122" s="2191"/>
      <c r="N122" s="2192"/>
    </row>
    <row r="123" spans="2:14" x14ac:dyDescent="0.15">
      <c r="B123" s="2190"/>
      <c r="C123" s="2191"/>
      <c r="D123" s="2191"/>
      <c r="E123" s="2191"/>
      <c r="F123" s="2191"/>
      <c r="G123" s="2191"/>
      <c r="H123" s="2191"/>
      <c r="I123" s="2191"/>
      <c r="J123" s="2191"/>
      <c r="K123" s="2191"/>
      <c r="L123" s="2191"/>
      <c r="M123" s="2191"/>
      <c r="N123" s="2192"/>
    </row>
    <row r="124" spans="2:14" ht="13.5" thickBot="1" x14ac:dyDescent="0.2">
      <c r="B124" s="2190"/>
      <c r="C124" s="2191"/>
      <c r="D124" s="2191"/>
      <c r="E124" s="2191"/>
      <c r="F124" s="2191"/>
      <c r="G124" s="2191"/>
      <c r="H124" s="2191"/>
      <c r="I124" s="2191"/>
      <c r="J124" s="2191"/>
      <c r="K124" s="2191"/>
      <c r="L124" s="2191"/>
      <c r="M124" s="2191"/>
      <c r="N124" s="2192"/>
    </row>
    <row r="125" spans="2:14" ht="13.5" thickBot="1" x14ac:dyDescent="0.2">
      <c r="B125" s="2374" t="s">
        <v>3132</v>
      </c>
      <c r="C125" s="2375"/>
      <c r="D125" s="2375"/>
      <c r="E125" s="2375"/>
      <c r="F125" s="2375"/>
      <c r="G125" s="2375"/>
      <c r="H125" s="2375"/>
      <c r="I125" s="2375"/>
      <c r="J125" s="2375"/>
      <c r="K125" s="2375"/>
      <c r="L125" s="2375"/>
      <c r="M125" s="2375"/>
      <c r="N125" s="2376"/>
    </row>
    <row r="126" spans="2:14" x14ac:dyDescent="0.15">
      <c r="B126" s="2190"/>
      <c r="C126" s="2191"/>
      <c r="D126" s="2191"/>
      <c r="E126" s="2191"/>
      <c r="F126" s="2191"/>
      <c r="G126" s="2191"/>
      <c r="H126" s="2191"/>
      <c r="I126" s="2191"/>
      <c r="J126" s="2191"/>
      <c r="K126" s="2191"/>
      <c r="L126" s="2191"/>
      <c r="M126" s="2191"/>
      <c r="N126" s="2192"/>
    </row>
    <row r="127" spans="2:14" x14ac:dyDescent="0.15">
      <c r="B127" s="2190"/>
      <c r="C127" s="2191"/>
      <c r="D127" s="2191"/>
      <c r="E127" s="2191"/>
      <c r="F127" s="2191"/>
      <c r="G127" s="2191"/>
      <c r="H127" s="2191"/>
      <c r="I127" s="2191"/>
      <c r="J127" s="2191"/>
      <c r="K127" s="2191"/>
      <c r="L127" s="2191"/>
      <c r="M127" s="2191"/>
      <c r="N127" s="2192"/>
    </row>
    <row r="128" spans="2:14" x14ac:dyDescent="0.15">
      <c r="B128" s="2190"/>
      <c r="C128" s="2191"/>
      <c r="D128" s="2191"/>
      <c r="E128" s="2191"/>
      <c r="F128" s="2191"/>
      <c r="G128" s="2191"/>
      <c r="H128" s="2191"/>
      <c r="I128" s="2191"/>
      <c r="J128" s="2191"/>
      <c r="K128" s="2191"/>
      <c r="L128" s="2191"/>
      <c r="M128" s="2191"/>
      <c r="N128" s="2192"/>
    </row>
    <row r="129" spans="2:14" x14ac:dyDescent="0.15">
      <c r="B129" s="2190"/>
      <c r="C129" s="2191"/>
      <c r="D129" s="2191"/>
      <c r="E129" s="2191"/>
      <c r="F129" s="2191"/>
      <c r="G129" s="2191"/>
      <c r="H129" s="2191"/>
      <c r="I129" s="2191"/>
      <c r="J129" s="2191"/>
      <c r="K129" s="2191"/>
      <c r="L129" s="2191"/>
      <c r="M129" s="2191"/>
      <c r="N129" s="2192"/>
    </row>
    <row r="130" spans="2:14" x14ac:dyDescent="0.15">
      <c r="B130" s="2190"/>
      <c r="C130" s="2191"/>
      <c r="D130" s="2191"/>
      <c r="E130" s="2191"/>
      <c r="F130" s="2191"/>
      <c r="G130" s="2191"/>
      <c r="H130" s="2191"/>
      <c r="I130" s="2191"/>
      <c r="J130" s="2191"/>
      <c r="K130" s="2191"/>
      <c r="L130" s="2191"/>
      <c r="M130" s="2191"/>
      <c r="N130" s="2192"/>
    </row>
    <row r="131" spans="2:14" x14ac:dyDescent="0.15">
      <c r="B131" s="2190"/>
      <c r="C131" s="2191"/>
      <c r="D131" s="2191"/>
      <c r="E131" s="2191"/>
      <c r="F131" s="2191"/>
      <c r="G131" s="2191"/>
      <c r="H131" s="2191"/>
      <c r="I131" s="2191"/>
      <c r="J131" s="2191"/>
      <c r="K131" s="2191"/>
      <c r="L131" s="2191"/>
      <c r="M131" s="2191"/>
      <c r="N131" s="2192"/>
    </row>
    <row r="132" spans="2:14" x14ac:dyDescent="0.15">
      <c r="B132" s="2190"/>
      <c r="C132" s="2191"/>
      <c r="D132" s="2191"/>
      <c r="E132" s="2191"/>
      <c r="F132" s="2191"/>
      <c r="G132" s="2191"/>
      <c r="H132" s="2191"/>
      <c r="I132" s="2191"/>
      <c r="J132" s="2191"/>
      <c r="K132" s="2191"/>
      <c r="L132" s="2191"/>
      <c r="M132" s="2191"/>
      <c r="N132" s="2192"/>
    </row>
    <row r="133" spans="2:14" x14ac:dyDescent="0.15">
      <c r="B133" s="2190"/>
      <c r="C133" s="2191"/>
      <c r="D133" s="2191"/>
      <c r="E133" s="2191"/>
      <c r="F133" s="2191"/>
      <c r="G133" s="2191"/>
      <c r="H133" s="2191"/>
      <c r="I133" s="2191"/>
      <c r="J133" s="2191"/>
      <c r="K133" s="2191"/>
      <c r="L133" s="2191"/>
      <c r="M133" s="2191"/>
      <c r="N133" s="2192"/>
    </row>
    <row r="134" spans="2:14" x14ac:dyDescent="0.15">
      <c r="B134" s="2190"/>
      <c r="C134" s="2191"/>
      <c r="D134" s="2191"/>
      <c r="E134" s="2191"/>
      <c r="F134" s="2191"/>
      <c r="G134" s="2191"/>
      <c r="H134" s="2191"/>
      <c r="I134" s="2191"/>
      <c r="J134" s="2191"/>
      <c r="K134" s="2191"/>
      <c r="L134" s="2191"/>
      <c r="M134" s="2191"/>
      <c r="N134" s="2192"/>
    </row>
    <row r="135" spans="2:14" x14ac:dyDescent="0.15">
      <c r="B135" s="2190"/>
      <c r="C135" s="2191"/>
      <c r="D135" s="2191"/>
      <c r="E135" s="2191"/>
      <c r="F135" s="2191"/>
      <c r="G135" s="2191"/>
      <c r="H135" s="2191"/>
      <c r="I135" s="2191"/>
      <c r="J135" s="2191"/>
      <c r="K135" s="2191"/>
      <c r="L135" s="2191"/>
      <c r="M135" s="2191"/>
      <c r="N135" s="2192"/>
    </row>
    <row r="136" spans="2:14" ht="13.5" thickBot="1" x14ac:dyDescent="0.2">
      <c r="B136" s="2190"/>
      <c r="C136" s="2191"/>
      <c r="D136" s="2191"/>
      <c r="E136" s="2191"/>
      <c r="F136" s="2191"/>
      <c r="G136" s="2191"/>
      <c r="H136" s="2191"/>
      <c r="I136" s="2191"/>
      <c r="J136" s="2191"/>
      <c r="K136" s="2191"/>
      <c r="L136" s="2191"/>
      <c r="M136" s="2191"/>
      <c r="N136" s="2192"/>
    </row>
    <row r="137" spans="2:14" ht="13.5" thickBot="1" x14ac:dyDescent="0.2">
      <c r="B137" s="2374" t="s">
        <v>1535</v>
      </c>
      <c r="C137" s="2375"/>
      <c r="D137" s="2375"/>
      <c r="E137" s="2375"/>
      <c r="F137" s="2375"/>
      <c r="G137" s="2375"/>
      <c r="H137" s="2375"/>
      <c r="I137" s="2375"/>
      <c r="J137" s="2375"/>
      <c r="K137" s="2375"/>
      <c r="L137" s="2375"/>
      <c r="M137" s="2375"/>
      <c r="N137" s="2376"/>
    </row>
    <row r="138" spans="2:14" x14ac:dyDescent="0.15">
      <c r="B138" s="2190"/>
      <c r="C138" s="2191"/>
      <c r="D138" s="2191"/>
      <c r="E138" s="2191"/>
      <c r="F138" s="2191"/>
      <c r="G138" s="2191"/>
      <c r="H138" s="2191"/>
      <c r="I138" s="2191"/>
      <c r="J138" s="2191"/>
      <c r="K138" s="2191"/>
      <c r="L138" s="2191"/>
      <c r="M138" s="2191"/>
      <c r="N138" s="2192"/>
    </row>
    <row r="139" spans="2:14" x14ac:dyDescent="0.15">
      <c r="B139" s="2190"/>
      <c r="C139" s="2191"/>
      <c r="D139" s="2191"/>
      <c r="E139" s="2191"/>
      <c r="F139" s="2191"/>
      <c r="G139" s="2191"/>
      <c r="H139" s="2191"/>
      <c r="I139" s="2191"/>
      <c r="J139" s="2191"/>
      <c r="K139" s="2191"/>
      <c r="L139" s="2191"/>
      <c r="M139" s="2191"/>
      <c r="N139" s="2192"/>
    </row>
    <row r="140" spans="2:14" x14ac:dyDescent="0.15">
      <c r="B140" s="2190"/>
      <c r="C140" s="2191"/>
      <c r="D140" s="2191"/>
      <c r="E140" s="2191"/>
      <c r="F140" s="2191"/>
      <c r="G140" s="2191"/>
      <c r="H140" s="2191"/>
      <c r="I140" s="2191"/>
      <c r="J140" s="2191"/>
      <c r="K140" s="2191"/>
      <c r="L140" s="2191"/>
      <c r="M140" s="2191"/>
      <c r="N140" s="2192"/>
    </row>
    <row r="141" spans="2:14" x14ac:dyDescent="0.15">
      <c r="B141" s="2190"/>
      <c r="C141" s="2191"/>
      <c r="D141" s="2191"/>
      <c r="E141" s="2191"/>
      <c r="F141" s="2191"/>
      <c r="G141" s="2191"/>
      <c r="H141" s="2191"/>
      <c r="I141" s="2191"/>
      <c r="J141" s="2191"/>
      <c r="K141" s="2191"/>
      <c r="L141" s="2191"/>
      <c r="M141" s="2191"/>
      <c r="N141" s="2192"/>
    </row>
    <row r="142" spans="2:14" x14ac:dyDescent="0.15">
      <c r="B142" s="2190"/>
      <c r="C142" s="2191"/>
      <c r="D142" s="2191"/>
      <c r="E142" s="2191"/>
      <c r="F142" s="2191"/>
      <c r="G142" s="2191"/>
      <c r="H142" s="2191"/>
      <c r="I142" s="2191"/>
      <c r="J142" s="2191"/>
      <c r="K142" s="2191"/>
      <c r="L142" s="2191"/>
      <c r="M142" s="2191"/>
      <c r="N142" s="2192"/>
    </row>
    <row r="143" spans="2:14" x14ac:dyDescent="0.15">
      <c r="B143" s="2190"/>
      <c r="C143" s="2191"/>
      <c r="D143" s="2191"/>
      <c r="E143" s="2191"/>
      <c r="F143" s="2191"/>
      <c r="G143" s="2191"/>
      <c r="H143" s="2191"/>
      <c r="I143" s="2191"/>
      <c r="J143" s="2191"/>
      <c r="K143" s="2191"/>
      <c r="L143" s="2191"/>
      <c r="M143" s="2191"/>
      <c r="N143" s="2192"/>
    </row>
    <row r="144" spans="2:14" x14ac:dyDescent="0.15">
      <c r="B144" s="2190"/>
      <c r="C144" s="2191"/>
      <c r="D144" s="2191"/>
      <c r="E144" s="2191"/>
      <c r="F144" s="2191"/>
      <c r="G144" s="2191"/>
      <c r="H144" s="2191"/>
      <c r="I144" s="2191"/>
      <c r="J144" s="2191"/>
      <c r="K144" s="2191"/>
      <c r="L144" s="2191"/>
      <c r="M144" s="2191"/>
      <c r="N144" s="2192"/>
    </row>
    <row r="145" spans="2:14" x14ac:dyDescent="0.15">
      <c r="B145" s="2190"/>
      <c r="C145" s="2191"/>
      <c r="D145" s="2191"/>
      <c r="E145" s="2191"/>
      <c r="F145" s="2191"/>
      <c r="G145" s="2191"/>
      <c r="H145" s="2191"/>
      <c r="I145" s="2191"/>
      <c r="J145" s="2191"/>
      <c r="K145" s="2191"/>
      <c r="L145" s="2191"/>
      <c r="M145" s="2191"/>
      <c r="N145" s="2192"/>
    </row>
    <row r="146" spans="2:14" x14ac:dyDescent="0.15">
      <c r="B146" s="2190"/>
      <c r="C146" s="2191"/>
      <c r="D146" s="2191"/>
      <c r="E146" s="2191"/>
      <c r="F146" s="2191"/>
      <c r="G146" s="2191"/>
      <c r="H146" s="2191"/>
      <c r="I146" s="2191"/>
      <c r="J146" s="2191"/>
      <c r="K146" s="2191"/>
      <c r="L146" s="2191"/>
      <c r="M146" s="2191"/>
      <c r="N146" s="2192"/>
    </row>
    <row r="147" spans="2:14" x14ac:dyDescent="0.15">
      <c r="B147" s="2190"/>
      <c r="C147" s="2191"/>
      <c r="D147" s="2191"/>
      <c r="E147" s="2191"/>
      <c r="F147" s="2191"/>
      <c r="G147" s="2191"/>
      <c r="H147" s="2191"/>
      <c r="I147" s="2191"/>
      <c r="J147" s="2191"/>
      <c r="K147" s="2191"/>
      <c r="L147" s="2191"/>
      <c r="M147" s="2191"/>
      <c r="N147" s="2192"/>
    </row>
    <row r="148" spans="2:14" x14ac:dyDescent="0.15">
      <c r="B148" s="2190"/>
      <c r="C148" s="2191"/>
      <c r="D148" s="2191"/>
      <c r="E148" s="2191"/>
      <c r="F148" s="2191"/>
      <c r="G148" s="2191"/>
      <c r="H148" s="2191"/>
      <c r="I148" s="2191"/>
      <c r="J148" s="2191"/>
      <c r="K148" s="2191"/>
      <c r="L148" s="2191"/>
      <c r="M148" s="2191"/>
      <c r="N148" s="2192"/>
    </row>
    <row r="149" spans="2:14" ht="11.25" customHeight="1" x14ac:dyDescent="0.15">
      <c r="B149" s="2190"/>
      <c r="C149" s="2191"/>
      <c r="D149" s="2191"/>
      <c r="E149" s="2191"/>
      <c r="F149" s="2191"/>
      <c r="G149" s="2191"/>
      <c r="H149" s="2191"/>
      <c r="I149" s="2191"/>
      <c r="J149" s="2191"/>
      <c r="K149" s="2191"/>
      <c r="L149" s="2191"/>
      <c r="M149" s="2191"/>
      <c r="N149" s="2192"/>
    </row>
    <row r="150" spans="2:14" ht="12" customHeight="1" x14ac:dyDescent="0.15">
      <c r="B150" s="2377"/>
      <c r="C150" s="2195"/>
      <c r="D150" s="2195"/>
      <c r="E150" s="2195"/>
      <c r="F150" s="2195"/>
      <c r="G150" s="2195"/>
      <c r="H150" s="2195"/>
      <c r="I150" s="2195"/>
      <c r="J150" s="2195"/>
      <c r="K150" s="2195"/>
      <c r="L150" s="2195"/>
      <c r="M150" s="2195"/>
      <c r="N150" s="2196"/>
    </row>
    <row r="151" spans="2:14" ht="13.5" thickBot="1" x14ac:dyDescent="0.2">
      <c r="B151" s="2190"/>
      <c r="C151" s="2191"/>
      <c r="D151" s="2191"/>
      <c r="E151" s="2191"/>
      <c r="F151" s="2191"/>
      <c r="G151" s="2191"/>
      <c r="H151" s="2191"/>
      <c r="I151" s="2191"/>
      <c r="J151" s="2191"/>
      <c r="K151" s="2191"/>
      <c r="L151" s="2191"/>
      <c r="M151" s="2191"/>
      <c r="N151" s="2192"/>
    </row>
    <row r="152" spans="2:14" ht="13.5" thickBot="1" x14ac:dyDescent="0.2">
      <c r="B152" s="3058" t="s">
        <v>3133</v>
      </c>
      <c r="C152" s="3059"/>
      <c r="D152" s="3059"/>
      <c r="E152" s="3059"/>
      <c r="F152" s="3059"/>
      <c r="G152" s="3059"/>
      <c r="H152" s="3059"/>
      <c r="I152" s="3059"/>
      <c r="J152" s="3059"/>
      <c r="K152" s="3059"/>
      <c r="L152" s="3059"/>
      <c r="M152" s="3059"/>
      <c r="N152" s="3060"/>
    </row>
    <row r="153" spans="2:14" x14ac:dyDescent="0.15">
      <c r="B153" s="2191"/>
      <c r="C153" s="2191"/>
      <c r="D153" s="2191"/>
      <c r="E153" s="2191"/>
      <c r="F153" s="2191"/>
      <c r="G153" s="2191"/>
      <c r="H153" s="2191"/>
      <c r="I153" s="2191"/>
      <c r="J153" s="2191"/>
      <c r="K153" s="2191"/>
      <c r="L153" s="2191"/>
      <c r="M153" s="2191"/>
      <c r="N153" s="2191"/>
    </row>
    <row r="154" spans="2:14" x14ac:dyDescent="0.15">
      <c r="B154" s="2191" t="s">
        <v>636</v>
      </c>
      <c r="C154" s="2191"/>
      <c r="D154" s="2191"/>
      <c r="E154" s="2191"/>
      <c r="F154" s="2191"/>
      <c r="G154" s="2191"/>
      <c r="H154" s="2191"/>
      <c r="I154" s="2191"/>
      <c r="J154" s="2191"/>
      <c r="K154" s="2191"/>
      <c r="L154" s="2191"/>
      <c r="M154" s="2191"/>
      <c r="N154" s="2191"/>
    </row>
    <row r="155" spans="2:14" x14ac:dyDescent="0.15">
      <c r="B155" s="2191"/>
      <c r="C155" s="2191"/>
      <c r="D155" s="2191"/>
      <c r="E155" s="2191"/>
      <c r="F155" s="2191"/>
      <c r="G155" s="2191"/>
      <c r="H155" s="2191"/>
      <c r="I155" s="2191"/>
      <c r="J155" s="2191"/>
      <c r="K155" s="2191"/>
      <c r="L155" s="2191"/>
      <c r="M155" s="2191"/>
      <c r="N155" s="2191"/>
    </row>
    <row r="156" spans="2:14" x14ac:dyDescent="0.15">
      <c r="B156" s="2191" t="s">
        <v>3134</v>
      </c>
      <c r="C156" s="2191"/>
      <c r="D156" s="2191"/>
      <c r="E156" s="2191"/>
      <c r="F156" s="2191"/>
      <c r="G156" s="2191"/>
      <c r="H156" s="2191"/>
      <c r="I156" s="2191"/>
      <c r="J156" s="2191"/>
      <c r="K156" s="2191"/>
      <c r="L156" s="2191"/>
      <c r="M156" s="2191"/>
      <c r="N156" s="2191"/>
    </row>
    <row r="157" spans="2:14" x14ac:dyDescent="0.15">
      <c r="B157" s="2191"/>
      <c r="C157" s="2191"/>
      <c r="D157" s="2191"/>
      <c r="E157" s="2191"/>
      <c r="F157" s="2191"/>
      <c r="G157" s="2191"/>
      <c r="H157" s="2191"/>
      <c r="I157" s="2191"/>
      <c r="J157" s="2191"/>
      <c r="K157" s="2191"/>
      <c r="L157" s="2191"/>
      <c r="M157" s="2191"/>
      <c r="N157" s="2191"/>
    </row>
  </sheetData>
  <mergeCells count="50">
    <mergeCell ref="N90:N91"/>
    <mergeCell ref="I92:J92"/>
    <mergeCell ref="G97:I97"/>
    <mergeCell ref="J97:L97"/>
    <mergeCell ref="B152:N152"/>
    <mergeCell ref="B90:B91"/>
    <mergeCell ref="C90:H90"/>
    <mergeCell ref="I90:J91"/>
    <mergeCell ref="K90:K91"/>
    <mergeCell ref="L90:L91"/>
    <mergeCell ref="M90:M91"/>
    <mergeCell ref="C88:E88"/>
    <mergeCell ref="G88:H88"/>
    <mergeCell ref="K88:M88"/>
    <mergeCell ref="L73:N73"/>
    <mergeCell ref="L74:N74"/>
    <mergeCell ref="L75:N75"/>
    <mergeCell ref="M76:N76"/>
    <mergeCell ref="M77:N77"/>
    <mergeCell ref="M78:N78"/>
    <mergeCell ref="M79:N79"/>
    <mergeCell ref="B81:D81"/>
    <mergeCell ref="C84:E84"/>
    <mergeCell ref="G84:H84"/>
    <mergeCell ref="K84:M84"/>
    <mergeCell ref="L72:N72"/>
    <mergeCell ref="B22:C22"/>
    <mergeCell ref="D22:E22"/>
    <mergeCell ref="J49:N49"/>
    <mergeCell ref="J50:N50"/>
    <mergeCell ref="J51:N51"/>
    <mergeCell ref="J52:N52"/>
    <mergeCell ref="L67:N67"/>
    <mergeCell ref="L68:N68"/>
    <mergeCell ref="L69:N69"/>
    <mergeCell ref="L70:N70"/>
    <mergeCell ref="L71:N71"/>
    <mergeCell ref="B20:C20"/>
    <mergeCell ref="H20:I20"/>
    <mergeCell ref="J20:K20"/>
    <mergeCell ref="L20:M20"/>
    <mergeCell ref="B21:C21"/>
    <mergeCell ref="G21:J21"/>
    <mergeCell ref="B19:C19"/>
    <mergeCell ref="H19:I19"/>
    <mergeCell ref="F5:N6"/>
    <mergeCell ref="E10:F10"/>
    <mergeCell ref="E11:F11"/>
    <mergeCell ref="J11:L11"/>
    <mergeCell ref="M14:N14"/>
  </mergeCells>
  <dataValidations count="13">
    <dataValidation type="list" allowBlank="1" showInputMessage="1" showErrorMessage="1" sqref="I58:I64 G68:G73 H77">
      <formula1>$U$69:$U$73</formula1>
    </dataValidation>
    <dataValidation type="list" allowBlank="1" showInputMessage="1" showErrorMessage="1" sqref="W13">
      <formula1>FEVE</formula1>
    </dataValidation>
    <dataValidation type="list" allowBlank="1" showInputMessage="1" showErrorMessage="1" sqref="P12">
      <formula1>rorac</formula1>
    </dataValidation>
    <dataValidation type="list" showInputMessage="1" showErrorMessage="1" sqref="E68:E72 E58:E63">
      <formula1>$Q$69:$Q$75</formula1>
    </dataValidation>
    <dataValidation type="list" allowBlank="1" showInputMessage="1" showErrorMessage="1" sqref="F68:F73 F58:F64 G77">
      <formula1>$S$69:$S$75</formula1>
    </dataValidation>
    <dataValidation type="list" allowBlank="1" showInputMessage="1" showErrorMessage="1" sqref="K16">
      <formula1>$U$10:$U$19</formula1>
    </dataValidation>
    <dataValidation type="list" showInputMessage="1" showErrorMessage="1" sqref="G9">
      <formula1>$T$49:$T$53</formula1>
    </dataValidation>
    <dataValidation showInputMessage="1" showErrorMessage="1" sqref="C9"/>
    <dataValidation type="list" allowBlank="1" showInputMessage="1" showErrorMessage="1" sqref="L9">
      <formula1>$W$4:$W$11</formula1>
    </dataValidation>
    <dataValidation type="list" allowBlank="1" showInputMessage="1" showErrorMessage="1" sqref="L10">
      <formula1>SiNo</formula1>
    </dataValidation>
    <dataValidation type="list" allowBlank="1" showInputMessage="1" showErrorMessage="1" sqref="M92">
      <formula1>$S$10:$S$12</formula1>
    </dataValidation>
    <dataValidation type="list" allowBlank="1" showInputMessage="1" showErrorMessage="1" sqref="K92">
      <formula1>$T$10:$T$14</formula1>
    </dataValidation>
    <dataValidation type="list" allowBlank="1" showInputMessage="1" showErrorMessage="1" sqref="C92:H92">
      <formula1>$R$5:$R$28</formula1>
    </dataValidation>
  </dataValidations>
  <printOptions horizontalCentered="1"/>
  <pageMargins left="0.23622047244094491" right="0.23622047244094491" top="0.74803149606299213" bottom="0.74803149606299213" header="0.31496062992125984" footer="0.31496062992125984"/>
  <pageSetup scale="65" fitToHeight="2" orientation="portrait" r:id="rId1"/>
  <headerFooter alignWithMargins="0"/>
  <rowBreaks count="1" manualBreakCount="1">
    <brk id="101" min="1" max="12" man="1"/>
  </rowBreak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Hoja2!$F$3:$F$12</xm:f>
          </x14:formula1>
          <xm:sqref>J97</xm:sqref>
        </x14:dataValidation>
        <x14:dataValidation type="list" allowBlank="1" showInputMessage="1" showErrorMessage="1">
          <x14:formula1>
            <xm:f>Hoja2!$H$4:$H$20</xm:f>
          </x14:formula1>
          <xm:sqref>G21</xm:sqref>
        </x14:dataValidation>
        <x14:dataValidation type="list" allowBlank="1" showInputMessage="1" showErrorMessage="1">
          <x14:formula1>
            <xm:f>Hoja2!$F$4:$F$12</xm:f>
          </x14:formula1>
          <xm:sqref>D21</xm:sqref>
        </x14:dataValidation>
        <x14:dataValidation type="list" allowBlank="1" showInputMessage="1" showErrorMessage="1">
          <x14:formula1>
            <xm:f>Hoja2!$B$4:$B$8</xm:f>
          </x14:formula1>
          <xm:sqref>J20 E97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L54"/>
  <sheetViews>
    <sheetView showGridLines="0" workbookViewId="0">
      <selection activeCell="B152" sqref="B152:N152"/>
    </sheetView>
  </sheetViews>
  <sheetFormatPr baseColWidth="10" defaultRowHeight="11.25" x14ac:dyDescent="0.15"/>
  <cols>
    <col min="1" max="1" width="11.42578125" style="2933"/>
    <col min="2" max="2" width="19.28515625" style="2933" bestFit="1" customWidth="1"/>
    <col min="3" max="3" width="2.140625" style="2933" customWidth="1"/>
    <col min="4" max="4" width="28.7109375" style="2933" bestFit="1" customWidth="1"/>
    <col min="5" max="5" width="2.140625" style="2933" customWidth="1"/>
    <col min="6" max="6" width="27.85546875" style="2933" bestFit="1" customWidth="1"/>
    <col min="7" max="7" width="2.42578125" style="2933" customWidth="1"/>
    <col min="8" max="8" width="37.140625" style="2933" bestFit="1" customWidth="1"/>
    <col min="9" max="9" width="2.5703125" style="2933" customWidth="1"/>
    <col min="10" max="10" width="27" style="2933" customWidth="1"/>
    <col min="11" max="11" width="2.7109375" style="2933" customWidth="1"/>
    <col min="12" max="12" width="37.5703125" style="2933" bestFit="1" customWidth="1"/>
    <col min="13" max="16384" width="11.42578125" style="2933"/>
  </cols>
  <sheetData>
    <row r="3" spans="2:12" x14ac:dyDescent="0.15">
      <c r="B3" s="2932" t="s">
        <v>3135</v>
      </c>
      <c r="D3" s="2932" t="s">
        <v>3136</v>
      </c>
      <c r="F3" s="2933" t="s">
        <v>3137</v>
      </c>
      <c r="H3" s="2933" t="s">
        <v>3138</v>
      </c>
      <c r="J3" s="2933" t="s">
        <v>3139</v>
      </c>
      <c r="L3" s="2933" t="s">
        <v>3140</v>
      </c>
    </row>
    <row r="4" spans="2:12" x14ac:dyDescent="0.15">
      <c r="B4" s="2932" t="s">
        <v>3141</v>
      </c>
      <c r="D4" s="2932" t="s">
        <v>3142</v>
      </c>
      <c r="F4" s="2933" t="s">
        <v>3143</v>
      </c>
      <c r="H4" s="2933" t="s">
        <v>3144</v>
      </c>
      <c r="J4" s="2932" t="s">
        <v>3145</v>
      </c>
      <c r="L4" s="2933" t="s">
        <v>953</v>
      </c>
    </row>
    <row r="5" spans="2:12" x14ac:dyDescent="0.15">
      <c r="B5" s="2932" t="s">
        <v>3146</v>
      </c>
      <c r="D5" s="2932" t="s">
        <v>3147</v>
      </c>
      <c r="F5" s="2933" t="s">
        <v>3148</v>
      </c>
      <c r="H5" s="2933" t="s">
        <v>3149</v>
      </c>
      <c r="J5" s="2932" t="s">
        <v>3145</v>
      </c>
      <c r="L5" s="2933" t="s">
        <v>953</v>
      </c>
    </row>
    <row r="6" spans="2:12" x14ac:dyDescent="0.15">
      <c r="B6" s="2932" t="s">
        <v>3150</v>
      </c>
      <c r="D6" s="2932" t="s">
        <v>3142</v>
      </c>
      <c r="F6" s="2933" t="s">
        <v>3151</v>
      </c>
      <c r="H6" s="2933" t="s">
        <v>3152</v>
      </c>
      <c r="J6" s="2932" t="s">
        <v>3145</v>
      </c>
      <c r="L6" s="2933" t="s">
        <v>953</v>
      </c>
    </row>
    <row r="7" spans="2:12" x14ac:dyDescent="0.15">
      <c r="B7" s="2932" t="s">
        <v>3108</v>
      </c>
      <c r="D7" s="2932" t="s">
        <v>3142</v>
      </c>
      <c r="F7" s="2933" t="s">
        <v>3153</v>
      </c>
      <c r="H7" s="2933" t="s">
        <v>3154</v>
      </c>
      <c r="J7" s="2932" t="s">
        <v>850</v>
      </c>
      <c r="L7" s="2933" t="s">
        <v>3155</v>
      </c>
    </row>
    <row r="8" spans="2:12" x14ac:dyDescent="0.15">
      <c r="B8" s="2932" t="s">
        <v>3156</v>
      </c>
      <c r="D8" s="2932" t="s">
        <v>3157</v>
      </c>
      <c r="F8" s="2933" t="s">
        <v>3110</v>
      </c>
      <c r="H8" s="2933" t="s">
        <v>3158</v>
      </c>
      <c r="J8" s="2932" t="s">
        <v>850</v>
      </c>
      <c r="L8" s="2933" t="s">
        <v>3155</v>
      </c>
    </row>
    <row r="9" spans="2:12" x14ac:dyDescent="0.15">
      <c r="F9" s="2933" t="s">
        <v>3159</v>
      </c>
      <c r="H9" s="2933" t="s">
        <v>3160</v>
      </c>
      <c r="J9" s="2932" t="s">
        <v>850</v>
      </c>
      <c r="L9" s="2933" t="s">
        <v>3155</v>
      </c>
    </row>
    <row r="10" spans="2:12" x14ac:dyDescent="0.15">
      <c r="F10" s="2933" t="s">
        <v>3161</v>
      </c>
      <c r="H10" s="2933" t="s">
        <v>3162</v>
      </c>
      <c r="J10" s="2932" t="s">
        <v>850</v>
      </c>
      <c r="L10" s="2933" t="s">
        <v>3155</v>
      </c>
    </row>
    <row r="11" spans="2:12" x14ac:dyDescent="0.15">
      <c r="F11" s="2933" t="s">
        <v>3163</v>
      </c>
      <c r="H11" s="2933" t="s">
        <v>3112</v>
      </c>
      <c r="J11" s="2932" t="s">
        <v>850</v>
      </c>
      <c r="L11" s="2933" t="s">
        <v>3164</v>
      </c>
    </row>
    <row r="12" spans="2:12" x14ac:dyDescent="0.15">
      <c r="F12" s="2933" t="s">
        <v>3165</v>
      </c>
      <c r="H12" s="2933" t="s">
        <v>3166</v>
      </c>
      <c r="J12" s="2932" t="s">
        <v>850</v>
      </c>
      <c r="L12" s="2933" t="s">
        <v>3164</v>
      </c>
    </row>
    <row r="13" spans="2:12" x14ac:dyDescent="0.15">
      <c r="H13" s="2933" t="s">
        <v>3167</v>
      </c>
      <c r="J13" s="2932" t="s">
        <v>850</v>
      </c>
      <c r="L13" s="2933" t="s">
        <v>3168</v>
      </c>
    </row>
    <row r="14" spans="2:12" x14ac:dyDescent="0.15">
      <c r="H14" s="2933" t="s">
        <v>3169</v>
      </c>
      <c r="J14" s="2932" t="s">
        <v>850</v>
      </c>
      <c r="L14" s="2933" t="s">
        <v>3168</v>
      </c>
    </row>
    <row r="15" spans="2:12" x14ac:dyDescent="0.15">
      <c r="H15" s="2933" t="s">
        <v>3170</v>
      </c>
      <c r="J15" s="2932" t="s">
        <v>851</v>
      </c>
      <c r="L15" s="2933" t="s">
        <v>3171</v>
      </c>
    </row>
    <row r="16" spans="2:12" x14ac:dyDescent="0.15">
      <c r="H16" s="2933" t="s">
        <v>3172</v>
      </c>
      <c r="J16" s="2932" t="s">
        <v>851</v>
      </c>
      <c r="L16" s="2933" t="s">
        <v>3171</v>
      </c>
    </row>
    <row r="17" spans="8:12" x14ac:dyDescent="0.15">
      <c r="H17" s="2933" t="s">
        <v>3173</v>
      </c>
      <c r="J17" s="2932" t="s">
        <v>851</v>
      </c>
      <c r="L17" s="2933" t="s">
        <v>3171</v>
      </c>
    </row>
    <row r="18" spans="8:12" x14ac:dyDescent="0.15">
      <c r="H18" s="2933" t="s">
        <v>3174</v>
      </c>
      <c r="J18" s="2932" t="s">
        <v>851</v>
      </c>
      <c r="L18" s="2933" t="s">
        <v>3175</v>
      </c>
    </row>
    <row r="19" spans="8:12" x14ac:dyDescent="0.15">
      <c r="H19" s="2933" t="s">
        <v>3176</v>
      </c>
      <c r="J19" s="2932" t="s">
        <v>849</v>
      </c>
      <c r="L19" s="2933" t="s">
        <v>953</v>
      </c>
    </row>
    <row r="20" spans="8:12" x14ac:dyDescent="0.15">
      <c r="H20" s="2933" t="s">
        <v>3177</v>
      </c>
      <c r="J20" s="2932" t="s">
        <v>849</v>
      </c>
      <c r="L20" s="2933" t="s">
        <v>953</v>
      </c>
    </row>
    <row r="53" spans="6:6" x14ac:dyDescent="0.15">
      <c r="F53" s="2934">
        <v>43711</v>
      </c>
    </row>
    <row r="54" spans="6:6" x14ac:dyDescent="0.15">
      <c r="F54" s="2934">
        <v>43711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B1:P129"/>
  <sheetViews>
    <sheetView showGridLines="0" tabSelected="1" topLeftCell="A4" zoomScale="90" zoomScaleNormal="90" workbookViewId="0">
      <selection activeCell="K19" sqref="K19"/>
    </sheetView>
  </sheetViews>
  <sheetFormatPr baseColWidth="10" defaultRowHeight="12.75" customHeight="1" x14ac:dyDescent="0.2"/>
  <cols>
    <col min="1" max="2" width="7.140625" style="2955" customWidth="1"/>
    <col min="3" max="3" width="27.7109375" style="2955" bestFit="1" customWidth="1"/>
    <col min="4" max="4" width="11" style="2955" customWidth="1"/>
    <col min="5" max="6" width="12.7109375" style="2955" customWidth="1"/>
    <col min="7" max="7" width="17.5703125" style="2955" customWidth="1"/>
    <col min="8" max="8" width="9.140625" style="2955" customWidth="1"/>
    <col min="9" max="9" width="7" style="2955" customWidth="1"/>
    <col min="10" max="16384" width="11.42578125" style="2955"/>
  </cols>
  <sheetData>
    <row r="1" spans="2:16" ht="12.75" customHeight="1" thickTop="1" x14ac:dyDescent="0.2">
      <c r="B1" s="2952"/>
      <c r="C1" s="2953"/>
      <c r="D1" s="2953"/>
      <c r="E1" s="2953"/>
      <c r="F1" s="2953"/>
      <c r="G1" s="2953"/>
      <c r="H1" s="2954"/>
    </row>
    <row r="2" spans="2:16" ht="12.75" customHeight="1" x14ac:dyDescent="0.2">
      <c r="B2" s="2956"/>
      <c r="C2" s="2957"/>
      <c r="D2" s="2958"/>
      <c r="E2" s="2958"/>
      <c r="F2" s="2959"/>
      <c r="G2" s="2959"/>
      <c r="H2" s="2960"/>
      <c r="P2" s="2955" t="s">
        <v>3098</v>
      </c>
    </row>
    <row r="3" spans="2:16" ht="12.75" customHeight="1" x14ac:dyDescent="0.2">
      <c r="B3" s="2956"/>
      <c r="C3" s="2957"/>
      <c r="D3" s="2958"/>
      <c r="E3" s="2958"/>
      <c r="F3" s="2959"/>
      <c r="G3" s="2959"/>
      <c r="H3" s="2960"/>
      <c r="P3" s="2955" t="s">
        <v>3099</v>
      </c>
    </row>
    <row r="4" spans="2:16" ht="12.75" customHeight="1" thickBot="1" x14ac:dyDescent="0.25">
      <c r="B4" s="2961"/>
      <c r="C4" s="2962"/>
      <c r="D4" s="2962"/>
      <c r="E4" s="2962"/>
      <c r="F4" s="2962"/>
      <c r="G4" s="2962"/>
      <c r="H4" s="2963"/>
    </row>
    <row r="5" spans="2:16" ht="12.75" customHeight="1" thickTop="1" x14ac:dyDescent="0.2">
      <c r="B5" s="2964"/>
      <c r="C5" s="2965"/>
      <c r="D5" s="2965"/>
      <c r="E5" s="2965"/>
      <c r="F5" s="2965"/>
      <c r="G5" s="2965"/>
      <c r="H5" s="2966"/>
    </row>
    <row r="6" spans="2:16" ht="12.75" customHeight="1" thickBot="1" x14ac:dyDescent="0.25">
      <c r="B6" s="2967"/>
      <c r="C6" s="2968" t="s">
        <v>105</v>
      </c>
      <c r="D6" s="3069"/>
      <c r="E6" s="3069"/>
      <c r="F6" s="3069"/>
      <c r="G6" s="3070"/>
      <c r="H6" s="2969"/>
    </row>
    <row r="7" spans="2:16" ht="12.75" customHeight="1" thickBot="1" x14ac:dyDescent="0.25">
      <c r="B7" s="2967"/>
      <c r="C7" s="2968" t="s">
        <v>106</v>
      </c>
      <c r="D7" s="3069"/>
      <c r="E7" s="3069"/>
      <c r="F7" s="3069"/>
      <c r="G7" s="3070"/>
      <c r="H7" s="2969"/>
    </row>
    <row r="8" spans="2:16" ht="12.75" customHeight="1" thickBot="1" x14ac:dyDescent="0.25">
      <c r="B8" s="2967"/>
      <c r="C8" s="2968" t="s">
        <v>852</v>
      </c>
      <c r="D8" s="2992"/>
      <c r="E8" s="2992"/>
      <c r="F8" s="2992"/>
      <c r="G8" s="2992"/>
      <c r="H8" s="2969"/>
    </row>
    <row r="9" spans="2:16" ht="12.75" customHeight="1" thickBot="1" x14ac:dyDescent="0.25">
      <c r="B9" s="2967"/>
      <c r="C9" s="2968" t="s">
        <v>107</v>
      </c>
      <c r="D9" s="3071">
        <v>0</v>
      </c>
      <c r="E9" s="3071"/>
      <c r="F9" s="3071"/>
      <c r="G9" s="3072"/>
      <c r="H9" s="2969"/>
    </row>
    <row r="10" spans="2:16" ht="12.75" customHeight="1" x14ac:dyDescent="0.2">
      <c r="B10" s="2967"/>
      <c r="C10" s="2968" t="s">
        <v>3096</v>
      </c>
      <c r="D10" s="2993"/>
      <c r="E10" s="2942"/>
      <c r="F10" s="2942"/>
      <c r="G10" s="2943"/>
      <c r="H10" s="2969"/>
    </row>
    <row r="11" spans="2:16" ht="12.75" customHeight="1" x14ac:dyDescent="0.2">
      <c r="B11" s="2967"/>
      <c r="C11" s="2968" t="s">
        <v>1476</v>
      </c>
      <c r="D11" s="2990">
        <f>+AR!M81</f>
        <v>3.9000000000000004</v>
      </c>
      <c r="E11" s="2970"/>
      <c r="F11" s="2970"/>
      <c r="G11" s="2971"/>
      <c r="H11" s="2969"/>
    </row>
    <row r="12" spans="2:16" ht="12.75" customHeight="1" x14ac:dyDescent="0.2">
      <c r="B12" s="2967"/>
      <c r="C12" s="2968" t="s">
        <v>250</v>
      </c>
      <c r="D12" s="2991">
        <f>+AR!B78</f>
        <v>3</v>
      </c>
      <c r="E12" s="2970"/>
      <c r="F12" s="2970"/>
      <c r="G12" s="2971"/>
      <c r="H12" s="2969"/>
    </row>
    <row r="13" spans="2:16" ht="12.75" customHeight="1" x14ac:dyDescent="0.2">
      <c r="B13" s="2967"/>
      <c r="C13" s="2968" t="s">
        <v>251</v>
      </c>
      <c r="D13" s="2991">
        <f>+AR!C78</f>
        <v>9</v>
      </c>
      <c r="E13" s="2970"/>
      <c r="F13" s="2970"/>
      <c r="G13" s="2971"/>
      <c r="H13" s="2969"/>
    </row>
    <row r="14" spans="2:16" ht="12.75" customHeight="1" x14ac:dyDescent="0.2">
      <c r="B14" s="2967"/>
      <c r="C14" s="2968" t="s">
        <v>252</v>
      </c>
      <c r="D14" s="2991">
        <f>+AR!D78</f>
        <v>3</v>
      </c>
      <c r="E14" s="2970"/>
      <c r="F14" s="2970"/>
      <c r="G14" s="2971"/>
      <c r="H14" s="2969"/>
    </row>
    <row r="15" spans="2:16" ht="12.75" customHeight="1" x14ac:dyDescent="0.2">
      <c r="B15" s="2967"/>
      <c r="C15" s="2968" t="s">
        <v>253</v>
      </c>
      <c r="D15" s="2991">
        <f>+AR!E78</f>
        <v>3</v>
      </c>
      <c r="E15" s="2970"/>
      <c r="F15" s="2970"/>
      <c r="G15" s="2971"/>
      <c r="H15" s="2969"/>
    </row>
    <row r="16" spans="2:16" ht="12.75" customHeight="1" x14ac:dyDescent="0.2">
      <c r="B16" s="2967"/>
      <c r="C16" s="2968" t="s">
        <v>254</v>
      </c>
      <c r="D16" s="2991">
        <f>AR!F78</f>
        <v>3</v>
      </c>
      <c r="E16" s="2970"/>
      <c r="F16" s="2970"/>
      <c r="G16" s="2971"/>
      <c r="H16" s="2969"/>
    </row>
    <row r="17" spans="2:8" ht="12.75" customHeight="1" x14ac:dyDescent="0.2">
      <c r="B17" s="2967"/>
      <c r="C17" s="2968" t="s">
        <v>255</v>
      </c>
      <c r="D17" s="2991">
        <f>+AR!G78</f>
        <v>3</v>
      </c>
      <c r="E17" s="2970"/>
      <c r="F17" s="2970"/>
      <c r="G17" s="2971"/>
      <c r="H17" s="2969"/>
    </row>
    <row r="18" spans="2:8" ht="12.75" customHeight="1" thickBot="1" x14ac:dyDescent="0.25">
      <c r="B18" s="2967"/>
      <c r="C18" s="2968" t="s">
        <v>3097</v>
      </c>
      <c r="D18" s="2944" t="s">
        <v>3098</v>
      </c>
      <c r="E18" s="2970"/>
      <c r="F18" s="2970"/>
      <c r="G18" s="2971"/>
      <c r="H18" s="2969"/>
    </row>
    <row r="19" spans="2:8" ht="12.75" customHeight="1" x14ac:dyDescent="0.2">
      <c r="B19" s="2967"/>
      <c r="C19" s="2968"/>
      <c r="D19" s="2972"/>
      <c r="E19" s="2970"/>
      <c r="F19" s="2970"/>
      <c r="G19" s="2970"/>
      <c r="H19" s="2969"/>
    </row>
    <row r="20" spans="2:8" ht="12.75" customHeight="1" thickBot="1" x14ac:dyDescent="0.25">
      <c r="B20" s="2967"/>
      <c r="C20" s="2968" t="s">
        <v>108</v>
      </c>
      <c r="D20" s="2941" t="s">
        <v>104</v>
      </c>
      <c r="E20" s="2970"/>
      <c r="F20" s="2970"/>
      <c r="G20" s="2970"/>
      <c r="H20" s="2969"/>
    </row>
    <row r="21" spans="2:8" ht="12.75" customHeight="1" thickBot="1" x14ac:dyDescent="0.25">
      <c r="B21" s="2967"/>
      <c r="C21" s="2968" t="s">
        <v>109</v>
      </c>
      <c r="D21" s="3069"/>
      <c r="E21" s="3069"/>
      <c r="F21" s="3069"/>
      <c r="G21" s="3070"/>
      <c r="H21" s="2940"/>
    </row>
    <row r="22" spans="2:8" ht="12.75" customHeight="1" thickBot="1" x14ac:dyDescent="0.25">
      <c r="B22" s="2967"/>
      <c r="C22" s="2968"/>
      <c r="D22" s="2942"/>
      <c r="E22" s="2942"/>
      <c r="F22" s="2942"/>
      <c r="G22" s="2942"/>
      <c r="H22" s="2940"/>
    </row>
    <row r="23" spans="2:8" ht="12.75" customHeight="1" thickBot="1" x14ac:dyDescent="0.25">
      <c r="B23" s="2967"/>
      <c r="C23" s="2973" t="s">
        <v>110</v>
      </c>
      <c r="D23" s="2941" t="s">
        <v>104</v>
      </c>
      <c r="E23" s="2942"/>
      <c r="F23" s="2945" t="s">
        <v>3050</v>
      </c>
      <c r="G23" s="3073" t="s">
        <v>1932</v>
      </c>
      <c r="H23" s="3074"/>
    </row>
    <row r="24" spans="2:8" ht="12.75" customHeight="1" thickBot="1" x14ac:dyDescent="0.25">
      <c r="B24" s="2967"/>
      <c r="C24" s="2973" t="s">
        <v>640</v>
      </c>
      <c r="D24" s="2941" t="s">
        <v>104</v>
      </c>
      <c r="E24" s="2946"/>
      <c r="F24" s="2946"/>
      <c r="G24" s="2946"/>
      <c r="H24" s="2940"/>
    </row>
    <row r="25" spans="2:8" ht="12.75" customHeight="1" x14ac:dyDescent="0.2">
      <c r="B25" s="2974"/>
      <c r="C25" s="2975"/>
      <c r="D25" s="2947"/>
      <c r="E25" s="2947"/>
      <c r="F25" s="2947"/>
      <c r="G25" s="2947"/>
      <c r="H25" s="2948"/>
    </row>
    <row r="26" spans="2:8" ht="12.75" customHeight="1" x14ac:dyDescent="0.2">
      <c r="B26" s="2974"/>
      <c r="C26" s="3068" t="s">
        <v>111</v>
      </c>
      <c r="D26" s="3068"/>
      <c r="E26" s="3068"/>
      <c r="F26" s="3068"/>
      <c r="G26" s="2977"/>
      <c r="H26" s="2976"/>
    </row>
    <row r="27" spans="2:8" ht="12.75" customHeight="1" x14ac:dyDescent="0.2">
      <c r="B27" s="2974"/>
      <c r="C27" s="2975"/>
      <c r="D27" s="2975"/>
      <c r="E27" s="2975"/>
      <c r="F27" s="2975"/>
      <c r="G27" s="2975"/>
      <c r="H27" s="2976"/>
    </row>
    <row r="28" spans="2:8" ht="12.75" customHeight="1" x14ac:dyDescent="0.2">
      <c r="B28" s="2974"/>
      <c r="C28" s="2978">
        <f>IF(D24="NO",'Info Entrada'!C1,'Info Entrada'!D1)</f>
        <v>42735</v>
      </c>
      <c r="D28" s="2975"/>
      <c r="E28" s="2979">
        <f>VLOOKUP(C28,TRM,2,0)</f>
        <v>3000.71</v>
      </c>
      <c r="F28" s="2980" t="s">
        <v>112</v>
      </c>
      <c r="G28" s="2975"/>
      <c r="H28" s="2976"/>
    </row>
    <row r="29" spans="2:8" ht="12.75" customHeight="1" x14ac:dyDescent="0.2">
      <c r="B29" s="2974"/>
      <c r="C29" s="2978">
        <f>IF(D24="NO",'Info Entrada'!D1,'Info Entrada'!E1)</f>
        <v>43100</v>
      </c>
      <c r="D29" s="2975"/>
      <c r="E29" s="2979">
        <f>VLOOKUP(C29,TRM,2,0)</f>
        <v>2984</v>
      </c>
      <c r="F29" s="2980" t="s">
        <v>112</v>
      </c>
      <c r="G29" s="2975"/>
      <c r="H29" s="2976"/>
    </row>
    <row r="30" spans="2:8" ht="12.75" customHeight="1" x14ac:dyDescent="0.2">
      <c r="B30" s="2974"/>
      <c r="C30" s="2978">
        <f>IF(D24="NO",'Info Entrada'!E1,'Info Entrada'!G1)</f>
        <v>43465</v>
      </c>
      <c r="D30" s="2975"/>
      <c r="E30" s="2979">
        <f>VLOOKUP(C30,TRM,2,0)</f>
        <v>3249.75</v>
      </c>
      <c r="F30" s="2980" t="s">
        <v>112</v>
      </c>
      <c r="G30" s="2975"/>
      <c r="H30" s="2976"/>
    </row>
    <row r="31" spans="2:8" ht="12.75" customHeight="1" x14ac:dyDescent="0.2">
      <c r="B31" s="2974"/>
      <c r="C31" s="2978"/>
      <c r="D31" s="2975"/>
      <c r="E31" s="2975"/>
      <c r="F31" s="2980"/>
      <c r="G31" s="2975"/>
      <c r="H31" s="2976"/>
    </row>
    <row r="32" spans="2:8" ht="12.75" customHeight="1" x14ac:dyDescent="0.2">
      <c r="B32" s="2974"/>
      <c r="C32" s="2978">
        <v>40908</v>
      </c>
      <c r="D32" s="2975"/>
      <c r="E32" s="2979">
        <v>2510.6799999999998</v>
      </c>
      <c r="F32" s="2980" t="s">
        <v>1084</v>
      </c>
      <c r="G32" s="2975"/>
      <c r="H32" s="2976"/>
    </row>
    <row r="33" spans="2:8" ht="12.75" customHeight="1" thickBot="1" x14ac:dyDescent="0.25">
      <c r="B33" s="2981"/>
      <c r="C33" s="2982"/>
      <c r="D33" s="2982"/>
      <c r="E33" s="2982"/>
      <c r="F33" s="2982"/>
      <c r="G33" s="2982"/>
      <c r="H33" s="2983"/>
    </row>
    <row r="35" spans="2:8" ht="12.75" customHeight="1" x14ac:dyDescent="0.2">
      <c r="C35" s="2949" t="s">
        <v>249</v>
      </c>
      <c r="D35" s="2949" t="s">
        <v>848</v>
      </c>
      <c r="E35" s="2949" t="s">
        <v>847</v>
      </c>
      <c r="F35" s="2949" t="s">
        <v>3081</v>
      </c>
      <c r="G35" s="2984"/>
    </row>
    <row r="36" spans="2:8" ht="12.75" customHeight="1" x14ac:dyDescent="0.2">
      <c r="C36" s="2989">
        <v>42369</v>
      </c>
      <c r="D36" s="2950">
        <v>3149.47</v>
      </c>
      <c r="E36" s="2951">
        <v>3441.1109199650537</v>
      </c>
      <c r="F36" s="2951" t="s">
        <v>1087</v>
      </c>
      <c r="G36" s="2985"/>
    </row>
    <row r="37" spans="2:8" ht="12.75" customHeight="1" x14ac:dyDescent="0.2">
      <c r="C37" s="2989">
        <v>42400</v>
      </c>
      <c r="D37" s="2950">
        <v>3287.31</v>
      </c>
      <c r="E37" s="2951">
        <v>3589.742520002389</v>
      </c>
      <c r="F37" s="2951" t="s">
        <v>1087</v>
      </c>
      <c r="G37" s="2986"/>
    </row>
    <row r="38" spans="2:8" ht="12.75" customHeight="1" x14ac:dyDescent="0.2">
      <c r="C38" s="2989">
        <v>42429</v>
      </c>
      <c r="D38" s="2950">
        <v>3319.8</v>
      </c>
      <c r="E38" s="2951">
        <v>3509.5</v>
      </c>
      <c r="F38" s="2951">
        <v>839.48</v>
      </c>
      <c r="G38" s="2986"/>
    </row>
    <row r="39" spans="2:8" ht="12.75" customHeight="1" x14ac:dyDescent="0.2">
      <c r="C39" s="2989">
        <v>42460</v>
      </c>
      <c r="D39" s="2950">
        <v>3000.63</v>
      </c>
      <c r="E39" s="2951">
        <v>3460.5</v>
      </c>
      <c r="F39" s="2951">
        <v>853.39</v>
      </c>
      <c r="G39" s="2986"/>
    </row>
    <row r="40" spans="2:8" ht="12.75" customHeight="1" x14ac:dyDescent="0.2">
      <c r="C40" s="2989">
        <v>42490</v>
      </c>
      <c r="D40" s="2950">
        <v>2851.14</v>
      </c>
      <c r="E40" s="2951">
        <v>3267.5</v>
      </c>
      <c r="F40" s="2951">
        <v>833.07</v>
      </c>
      <c r="G40" s="2986"/>
    </row>
    <row r="41" spans="2:8" ht="12.75" customHeight="1" x14ac:dyDescent="0.2">
      <c r="C41" s="2989">
        <v>42521</v>
      </c>
      <c r="D41" s="2950">
        <v>3089.65</v>
      </c>
      <c r="E41" s="2951">
        <v>3484.5</v>
      </c>
      <c r="F41" s="2951">
        <v>865.76</v>
      </c>
      <c r="G41" s="2986"/>
    </row>
    <row r="42" spans="2:8" ht="12.75" customHeight="1" x14ac:dyDescent="0.2">
      <c r="C42" s="2989">
        <v>42551</v>
      </c>
      <c r="D42" s="2950">
        <v>2919.01</v>
      </c>
      <c r="E42" s="2951">
        <v>3267</v>
      </c>
      <c r="F42" s="2951">
        <v>906.83</v>
      </c>
      <c r="G42" s="2986"/>
    </row>
    <row r="43" spans="2:8" ht="12.75" customHeight="1" x14ac:dyDescent="0.2">
      <c r="C43" s="2989">
        <v>42582</v>
      </c>
      <c r="D43" s="2950">
        <v>3081.75</v>
      </c>
      <c r="E43" s="2951">
        <v>3449</v>
      </c>
      <c r="F43" s="2951">
        <v>941.92</v>
      </c>
      <c r="G43" s="2986"/>
    </row>
    <row r="44" spans="2:8" ht="12.75" customHeight="1" x14ac:dyDescent="0.2">
      <c r="C44" s="2989">
        <v>42613</v>
      </c>
      <c r="D44" s="2950">
        <v>2956.53</v>
      </c>
      <c r="E44" s="2951">
        <v>3348</v>
      </c>
      <c r="F44" s="2951">
        <v>909.1</v>
      </c>
      <c r="G44" s="2986"/>
    </row>
    <row r="45" spans="2:8" ht="12.75" customHeight="1" x14ac:dyDescent="0.2">
      <c r="C45" s="2989">
        <v>42643</v>
      </c>
      <c r="D45" s="2950">
        <v>2880.08</v>
      </c>
      <c r="E45" s="2951">
        <v>3286</v>
      </c>
      <c r="F45" s="2951">
        <v>884.22</v>
      </c>
      <c r="G45" s="2986"/>
    </row>
    <row r="46" spans="2:8" ht="12.75" customHeight="1" x14ac:dyDescent="0.2">
      <c r="C46" s="2989">
        <v>42674</v>
      </c>
      <c r="D46" s="2950">
        <v>2998.55</v>
      </c>
      <c r="E46" s="2951">
        <v>3370</v>
      </c>
      <c r="F46" s="2951">
        <v>941.76</v>
      </c>
      <c r="G46" s="2986"/>
    </row>
    <row r="47" spans="2:8" ht="12.75" customHeight="1" x14ac:dyDescent="0.2">
      <c r="C47" s="2989">
        <v>42704</v>
      </c>
      <c r="D47" s="2950">
        <v>3085.6</v>
      </c>
      <c r="E47" s="2951">
        <v>3277</v>
      </c>
      <c r="F47" s="2951">
        <v>885.26</v>
      </c>
      <c r="G47" s="2986"/>
    </row>
    <row r="48" spans="2:8" ht="12.75" customHeight="1" x14ac:dyDescent="0.2">
      <c r="C48" s="2989">
        <v>42735</v>
      </c>
      <c r="D48" s="2950">
        <v>3000.71</v>
      </c>
      <c r="E48" s="2951">
        <v>3136.6421599999999</v>
      </c>
      <c r="F48" s="2951">
        <v>919.2165</v>
      </c>
      <c r="G48" s="2986"/>
    </row>
    <row r="49" spans="3:7" ht="12.75" customHeight="1" x14ac:dyDescent="0.2">
      <c r="C49" s="2989">
        <v>42766</v>
      </c>
      <c r="D49" s="2950">
        <v>2921.9</v>
      </c>
      <c r="E49" s="2951">
        <v>3142.5034500000002</v>
      </c>
      <c r="F49" s="2951">
        <v>937.08254999999997</v>
      </c>
      <c r="G49" s="2986"/>
    </row>
    <row r="50" spans="3:7" ht="12.75" customHeight="1" x14ac:dyDescent="0.2">
      <c r="C50" s="2989">
        <v>42794</v>
      </c>
      <c r="D50" s="2950">
        <v>2919.17</v>
      </c>
      <c r="E50" s="2951">
        <v>3093.44445</v>
      </c>
      <c r="F50" s="2951">
        <v>942.83645000000001</v>
      </c>
      <c r="G50" s="2986"/>
    </row>
    <row r="51" spans="3:7" ht="12.75" customHeight="1" x14ac:dyDescent="0.2">
      <c r="C51" s="2989">
        <v>42825</v>
      </c>
      <c r="D51" s="2950">
        <v>2885.57</v>
      </c>
      <c r="E51" s="2951">
        <v>3084.9628899999998</v>
      </c>
      <c r="F51" s="2951">
        <v>912.71155999999996</v>
      </c>
      <c r="G51" s="2986"/>
    </row>
    <row r="52" spans="3:7" ht="12.75" customHeight="1" x14ac:dyDescent="0.2">
      <c r="C52" s="2989">
        <v>42855</v>
      </c>
      <c r="D52" s="2950">
        <v>2947.85</v>
      </c>
      <c r="E52" s="2951">
        <v>3222.0000500000001</v>
      </c>
      <c r="F52" s="2951">
        <v>928.04803000000004</v>
      </c>
      <c r="G52" s="2986"/>
    </row>
    <row r="53" spans="3:7" ht="12.75" customHeight="1" x14ac:dyDescent="0.2">
      <c r="C53" s="2989">
        <v>42886</v>
      </c>
      <c r="D53" s="2950">
        <v>2921</v>
      </c>
      <c r="E53" s="2951">
        <v>3277.6541000000002</v>
      </c>
      <c r="F53" s="2951">
        <v>898.35646999999994</v>
      </c>
      <c r="G53" s="2986"/>
    </row>
    <row r="54" spans="3:7" ht="12.75" customHeight="1" x14ac:dyDescent="0.2">
      <c r="C54" s="2989">
        <v>42916</v>
      </c>
      <c r="D54" s="2950">
        <v>3050.43</v>
      </c>
      <c r="E54" s="2951">
        <v>3481.1507200000001</v>
      </c>
      <c r="F54" s="2951">
        <v>925.83906000000002</v>
      </c>
      <c r="G54" s="2986"/>
    </row>
    <row r="55" spans="3:7" ht="12.75" customHeight="1" x14ac:dyDescent="0.2">
      <c r="C55" s="2989">
        <v>42947</v>
      </c>
      <c r="D55" s="2950">
        <v>2997.59</v>
      </c>
      <c r="E55" s="2951">
        <v>3515.2737900000002</v>
      </c>
      <c r="F55" s="2951">
        <v>956.17426</v>
      </c>
      <c r="G55" s="2986"/>
    </row>
    <row r="56" spans="3:7" ht="12.75" customHeight="1" x14ac:dyDescent="0.2">
      <c r="C56" s="2989">
        <v>42978</v>
      </c>
      <c r="D56" s="2950">
        <v>2948.09</v>
      </c>
      <c r="E56" s="2951">
        <v>3486.11643</v>
      </c>
      <c r="F56" s="2951">
        <v>931.86766</v>
      </c>
      <c r="G56" s="2986"/>
    </row>
    <row r="57" spans="3:7" ht="12.75" customHeight="1" x14ac:dyDescent="0.2">
      <c r="C57" s="2989">
        <v>43008</v>
      </c>
      <c r="D57" s="2950">
        <v>2936.67</v>
      </c>
      <c r="E57" s="2951">
        <v>3467.0326</v>
      </c>
      <c r="F57" s="2951">
        <v>921.22456999999997</v>
      </c>
      <c r="G57" s="2986"/>
    </row>
    <row r="58" spans="3:7" ht="12.75" customHeight="1" x14ac:dyDescent="0.2">
      <c r="C58" s="2989">
        <v>43039</v>
      </c>
      <c r="D58" s="2950">
        <v>3039.19</v>
      </c>
      <c r="E58" s="2951">
        <v>3537.0093200000001</v>
      </c>
      <c r="F58" s="2951">
        <v>929.34783000000004</v>
      </c>
      <c r="G58" s="2986"/>
    </row>
    <row r="59" spans="3:7" ht="12.75" customHeight="1" x14ac:dyDescent="0.2">
      <c r="C59" s="2989">
        <v>43069</v>
      </c>
      <c r="D59" s="2950">
        <v>3006.04</v>
      </c>
      <c r="E59" s="2951">
        <v>3561.8568</v>
      </c>
      <c r="F59" s="2951">
        <v>921.13783000000001</v>
      </c>
      <c r="G59" s="2986"/>
    </row>
    <row r="60" spans="3:7" ht="12.75" customHeight="1" x14ac:dyDescent="0.2">
      <c r="C60" s="2989">
        <v>43100</v>
      </c>
      <c r="D60" s="2950">
        <v>2984</v>
      </c>
      <c r="E60" s="2951">
        <v>3561.1055999999999</v>
      </c>
      <c r="F60" s="2951">
        <v>901.63648999999998</v>
      </c>
      <c r="G60" s="2986"/>
    </row>
    <row r="61" spans="3:7" ht="12.75" customHeight="1" x14ac:dyDescent="0.2">
      <c r="C61" s="2989">
        <v>43131</v>
      </c>
      <c r="D61" s="2950">
        <v>2835.05</v>
      </c>
      <c r="E61" s="2951">
        <v>3531.6217900000001</v>
      </c>
      <c r="F61" s="2951">
        <v>897.08069999999998</v>
      </c>
      <c r="G61" s="2986"/>
    </row>
    <row r="62" spans="3:7" ht="12.75" customHeight="1" x14ac:dyDescent="0.2">
      <c r="C62" s="2989">
        <v>43159</v>
      </c>
      <c r="D62" s="2950">
        <v>2867.94</v>
      </c>
      <c r="E62" s="2951">
        <v>3502.9019199999998</v>
      </c>
      <c r="F62" s="2951">
        <v>884.23752000000002</v>
      </c>
      <c r="G62" s="2986"/>
    </row>
    <row r="63" spans="3:7" ht="12.75" customHeight="1" x14ac:dyDescent="0.2">
      <c r="C63" s="2989">
        <v>43190</v>
      </c>
      <c r="D63" s="2950">
        <v>2780.47</v>
      </c>
      <c r="E63" s="2951">
        <v>3447.2267099999999</v>
      </c>
      <c r="F63" s="2951">
        <v>835.40889000000004</v>
      </c>
      <c r="G63" s="2986"/>
    </row>
    <row r="64" spans="3:7" ht="12.75" customHeight="1" x14ac:dyDescent="0.2">
      <c r="C64" s="2989">
        <v>43220</v>
      </c>
      <c r="D64" s="2950">
        <v>2809.92</v>
      </c>
      <c r="E64" s="2951">
        <v>3394.1023700000001</v>
      </c>
      <c r="F64" s="2951">
        <v>809.43118000000004</v>
      </c>
      <c r="G64" s="2986"/>
    </row>
    <row r="65" spans="3:7" ht="12.75" customHeight="1" x14ac:dyDescent="0.2">
      <c r="C65" s="2989">
        <v>43251</v>
      </c>
      <c r="D65" s="2950">
        <v>2889.32</v>
      </c>
      <c r="E65" s="2951">
        <v>3380.2154700000001</v>
      </c>
      <c r="F65" s="2951">
        <v>774.81739000000005</v>
      </c>
      <c r="G65" s="2986"/>
    </row>
    <row r="66" spans="3:7" ht="12.75" customHeight="1" x14ac:dyDescent="0.2">
      <c r="C66" s="2989">
        <v>43281</v>
      </c>
      <c r="D66" s="2950">
        <v>2930.8</v>
      </c>
      <c r="E66" s="2951">
        <v>3416.7266399999999</v>
      </c>
      <c r="F66" s="2951">
        <v>761.37202000000002</v>
      </c>
      <c r="G66" s="2986"/>
    </row>
    <row r="67" spans="3:7" ht="12.75" customHeight="1" x14ac:dyDescent="0.2">
      <c r="C67" s="2989">
        <v>43312</v>
      </c>
      <c r="D67" s="2950">
        <v>2886.8</v>
      </c>
      <c r="E67" s="2951">
        <v>3387.94848</v>
      </c>
      <c r="F67" s="2951">
        <v>773.18607999999995</v>
      </c>
      <c r="G67" s="2986"/>
    </row>
    <row r="68" spans="3:7" ht="12.75" customHeight="1" x14ac:dyDescent="0.2">
      <c r="C68" s="2989">
        <v>43343</v>
      </c>
      <c r="D68" s="2950">
        <v>3053.14</v>
      </c>
      <c r="E68" s="2951">
        <v>3557.2134099999998</v>
      </c>
      <c r="F68" s="2951">
        <v>732.07275000000004</v>
      </c>
      <c r="G68" s="2986"/>
    </row>
    <row r="69" spans="3:7" ht="12.75" customHeight="1" x14ac:dyDescent="0.2">
      <c r="C69" s="2989">
        <v>43373</v>
      </c>
      <c r="D69" s="2950">
        <v>2972.18</v>
      </c>
      <c r="E69" s="2951">
        <v>3440.59557</v>
      </c>
      <c r="F69" s="2951">
        <v>739.35652000000005</v>
      </c>
      <c r="G69" s="2986"/>
    </row>
    <row r="70" spans="3:7" ht="12.75" customHeight="1" x14ac:dyDescent="0.2">
      <c r="C70" s="2989">
        <v>43404</v>
      </c>
      <c r="D70" s="2950">
        <v>3219.85</v>
      </c>
      <c r="E70" s="2951">
        <v>3644.2262300000002</v>
      </c>
      <c r="F70" s="2951">
        <v>868.85076000000004</v>
      </c>
      <c r="G70" s="2986"/>
    </row>
    <row r="71" spans="3:7" ht="12.75" customHeight="1" x14ac:dyDescent="0.2">
      <c r="C71" s="2989">
        <v>43434</v>
      </c>
      <c r="D71" s="2950">
        <v>3235.27</v>
      </c>
      <c r="E71" s="2951">
        <v>3621.3420999999998</v>
      </c>
      <c r="F71" s="2951">
        <v>829.78218000000004</v>
      </c>
      <c r="G71" s="2986"/>
    </row>
    <row r="72" spans="3:7" ht="12.75" customHeight="1" x14ac:dyDescent="0.2">
      <c r="C72" s="2989">
        <v>43465</v>
      </c>
      <c r="D72" s="2950">
        <v>3249.75</v>
      </c>
      <c r="E72" s="2951">
        <v>3722.2636499999999</v>
      </c>
      <c r="F72" s="2951">
        <v>837.83754999999996</v>
      </c>
      <c r="G72" s="2986"/>
    </row>
    <row r="73" spans="3:7" ht="12.75" customHeight="1" x14ac:dyDescent="0.2">
      <c r="C73" s="2989">
        <v>43496</v>
      </c>
      <c r="D73" s="2950">
        <v>3115.7</v>
      </c>
      <c r="E73" s="2951">
        <v>3579.3161599999999</v>
      </c>
      <c r="F73" s="2951">
        <v>851.38683000000003</v>
      </c>
      <c r="G73" s="2986"/>
    </row>
    <row r="74" spans="3:7" ht="12.75" customHeight="1" x14ac:dyDescent="0.2">
      <c r="C74" s="2989">
        <v>43524</v>
      </c>
      <c r="D74" s="2950">
        <v>3077.35</v>
      </c>
      <c r="E74" s="2951">
        <v>3513.1027600000002</v>
      </c>
      <c r="F74" s="2951">
        <v>822.97262999999998</v>
      </c>
      <c r="G74" s="2986"/>
    </row>
    <row r="75" spans="3:7" ht="12.75" customHeight="1" x14ac:dyDescent="0.2">
      <c r="C75" s="2989">
        <v>43555</v>
      </c>
      <c r="D75" s="2950">
        <v>3174.79</v>
      </c>
      <c r="E75" s="2951">
        <v>3566.8765699999999</v>
      </c>
      <c r="F75" s="2951">
        <v>813.14944000000003</v>
      </c>
      <c r="G75" s="2986"/>
    </row>
    <row r="76" spans="3:7" ht="12.75" customHeight="1" x14ac:dyDescent="0.2">
      <c r="C76" s="2989">
        <f>EOMONTH(C75,1)</f>
        <v>43585</v>
      </c>
      <c r="D76" s="2950">
        <v>3247.72</v>
      </c>
      <c r="E76" s="2951">
        <v>3627.8675499999999</v>
      </c>
      <c r="F76" s="2951">
        <v>823.57897000000003</v>
      </c>
      <c r="G76" s="2986"/>
    </row>
    <row r="77" spans="3:7" ht="12.75" customHeight="1" x14ac:dyDescent="0.2">
      <c r="C77" s="2989">
        <f t="shared" ref="C77:C79" si="0">EOMONTH(C76,1)</f>
        <v>43616</v>
      </c>
      <c r="D77" s="2950">
        <v>3357.82</v>
      </c>
      <c r="E77" s="2951">
        <v>3765.8711199999998</v>
      </c>
      <c r="F77" s="2951">
        <v>846.98496999999998</v>
      </c>
      <c r="G77" s="2986"/>
    </row>
    <row r="78" spans="3:7" ht="12.75" customHeight="1" x14ac:dyDescent="0.2">
      <c r="C78" s="2989">
        <f t="shared" si="0"/>
        <v>43646</v>
      </c>
      <c r="D78" s="2950">
        <v>3205.67</v>
      </c>
      <c r="E78" s="2951"/>
      <c r="F78" s="2951"/>
      <c r="G78" s="2986"/>
    </row>
    <row r="79" spans="3:7" ht="12.75" customHeight="1" x14ac:dyDescent="0.2">
      <c r="C79" s="2989">
        <f t="shared" si="0"/>
        <v>43677</v>
      </c>
      <c r="D79" s="2950"/>
      <c r="E79" s="2951"/>
      <c r="F79" s="2951"/>
      <c r="G79" s="2986"/>
    </row>
    <row r="80" spans="3:7" ht="12.75" customHeight="1" x14ac:dyDescent="0.2">
      <c r="C80" s="2950"/>
      <c r="D80" s="2950"/>
      <c r="E80" s="2951"/>
      <c r="F80" s="2951"/>
      <c r="G80" s="2986"/>
    </row>
    <row r="81" spans="3:7" ht="12.75" customHeight="1" x14ac:dyDescent="0.2">
      <c r="C81" s="2950"/>
      <c r="D81" s="2950"/>
      <c r="E81" s="2951"/>
      <c r="F81" s="2951"/>
      <c r="G81" s="2986"/>
    </row>
    <row r="82" spans="3:7" ht="12.75" customHeight="1" x14ac:dyDescent="0.2">
      <c r="C82" s="2950"/>
      <c r="D82" s="2950"/>
      <c r="E82" s="2951"/>
      <c r="F82" s="2951"/>
      <c r="G82" s="2986"/>
    </row>
    <row r="83" spans="3:7" ht="12.75" customHeight="1" x14ac:dyDescent="0.2">
      <c r="C83" s="2950"/>
      <c r="D83" s="2950"/>
      <c r="E83" s="2951"/>
      <c r="F83" s="2951"/>
      <c r="G83" s="2986"/>
    </row>
    <row r="84" spans="3:7" ht="12.75" customHeight="1" x14ac:dyDescent="0.2">
      <c r="C84" s="2950"/>
      <c r="D84" s="2950"/>
      <c r="E84" s="2951"/>
      <c r="F84" s="2951"/>
      <c r="G84" s="2986"/>
    </row>
    <row r="85" spans="3:7" ht="12.75" customHeight="1" x14ac:dyDescent="0.2">
      <c r="C85" s="2950"/>
      <c r="D85" s="2950"/>
      <c r="E85" s="2951"/>
      <c r="F85" s="2951"/>
      <c r="G85" s="2986"/>
    </row>
    <row r="86" spans="3:7" ht="12.75" customHeight="1" x14ac:dyDescent="0.2">
      <c r="C86" s="2950"/>
      <c r="D86" s="2950"/>
      <c r="E86" s="2951"/>
      <c r="F86" s="2951"/>
      <c r="G86" s="2986"/>
    </row>
    <row r="87" spans="3:7" ht="12.75" customHeight="1" x14ac:dyDescent="0.2">
      <c r="C87" s="2950"/>
      <c r="D87" s="2950"/>
      <c r="E87" s="2951"/>
      <c r="F87" s="2951"/>
      <c r="G87" s="2986"/>
    </row>
    <row r="88" spans="3:7" ht="12.75" customHeight="1" x14ac:dyDescent="0.2">
      <c r="C88" s="2950"/>
      <c r="D88" s="2950"/>
      <c r="E88" s="2951"/>
      <c r="F88" s="2951"/>
      <c r="G88" s="2986"/>
    </row>
    <row r="89" spans="3:7" ht="12.75" customHeight="1" x14ac:dyDescent="0.2">
      <c r="C89" s="2950"/>
      <c r="D89" s="2950"/>
      <c r="E89" s="2951"/>
      <c r="F89" s="2951"/>
      <c r="G89" s="2986"/>
    </row>
    <row r="90" spans="3:7" ht="12.75" customHeight="1" x14ac:dyDescent="0.2">
      <c r="C90" s="2950"/>
      <c r="D90" s="2950"/>
      <c r="E90" s="2951"/>
      <c r="F90" s="2951"/>
      <c r="G90" s="2986"/>
    </row>
    <row r="91" spans="3:7" ht="12.75" customHeight="1" x14ac:dyDescent="0.2">
      <c r="C91" s="2950"/>
      <c r="D91" s="2950"/>
      <c r="E91" s="2951"/>
      <c r="F91" s="2951"/>
      <c r="G91" s="2986"/>
    </row>
    <row r="92" spans="3:7" ht="12.75" customHeight="1" x14ac:dyDescent="0.2">
      <c r="C92" s="2950"/>
      <c r="D92" s="2950"/>
      <c r="E92" s="2951"/>
      <c r="F92" s="2951"/>
      <c r="G92" s="2986"/>
    </row>
    <row r="93" spans="3:7" ht="12.75" customHeight="1" x14ac:dyDescent="0.2">
      <c r="C93" s="2950"/>
      <c r="D93" s="2950"/>
      <c r="E93" s="2951"/>
      <c r="F93" s="2951"/>
      <c r="G93" s="2986"/>
    </row>
    <row r="94" spans="3:7" ht="12.75" customHeight="1" x14ac:dyDescent="0.2">
      <c r="C94" s="2950"/>
      <c r="D94" s="2950"/>
      <c r="E94" s="2951"/>
      <c r="F94" s="2951"/>
      <c r="G94" s="2986"/>
    </row>
    <row r="95" spans="3:7" ht="12.75" customHeight="1" x14ac:dyDescent="0.2">
      <c r="C95" s="2950"/>
      <c r="D95" s="2950"/>
      <c r="E95" s="2951"/>
      <c r="F95" s="2951"/>
      <c r="G95" s="2986"/>
    </row>
    <row r="96" spans="3:7" ht="12.75" customHeight="1" x14ac:dyDescent="0.2">
      <c r="C96" s="2950"/>
      <c r="D96" s="2950"/>
      <c r="E96" s="2951"/>
      <c r="F96" s="2951"/>
      <c r="G96" s="2986"/>
    </row>
    <row r="97" spans="3:7" ht="12.75" customHeight="1" x14ac:dyDescent="0.2">
      <c r="C97" s="2950"/>
      <c r="D97" s="2950"/>
      <c r="E97" s="2951"/>
      <c r="F97" s="2951"/>
      <c r="G97" s="2986"/>
    </row>
    <row r="98" spans="3:7" ht="12.75" customHeight="1" x14ac:dyDescent="0.2">
      <c r="C98" s="2950"/>
      <c r="D98" s="2950"/>
      <c r="E98" s="2951"/>
      <c r="F98" s="2951"/>
      <c r="G98" s="2986"/>
    </row>
    <row r="99" spans="3:7" ht="12.75" customHeight="1" x14ac:dyDescent="0.2">
      <c r="C99" s="2950"/>
      <c r="D99" s="2950"/>
      <c r="E99" s="2951"/>
      <c r="F99" s="2951"/>
      <c r="G99" s="2986"/>
    </row>
    <row r="100" spans="3:7" ht="12.75" customHeight="1" x14ac:dyDescent="0.2">
      <c r="C100" s="2950"/>
      <c r="D100" s="2950"/>
      <c r="E100" s="2951"/>
      <c r="F100" s="2951"/>
      <c r="G100" s="2986"/>
    </row>
    <row r="101" spans="3:7" ht="12.75" customHeight="1" x14ac:dyDescent="0.2">
      <c r="C101" s="2950"/>
      <c r="D101" s="2950"/>
      <c r="E101" s="2951"/>
      <c r="F101" s="2951"/>
      <c r="G101" s="2986"/>
    </row>
    <row r="102" spans="3:7" ht="12.75" customHeight="1" x14ac:dyDescent="0.2">
      <c r="C102" s="2950"/>
      <c r="D102" s="2950"/>
      <c r="E102" s="2951"/>
      <c r="F102" s="2951"/>
      <c r="G102" s="2986"/>
    </row>
    <row r="103" spans="3:7" ht="12.75" customHeight="1" x14ac:dyDescent="0.2">
      <c r="C103" s="2950"/>
      <c r="D103" s="2950"/>
      <c r="E103" s="2951"/>
      <c r="F103" s="2951"/>
      <c r="G103" s="2986"/>
    </row>
    <row r="104" spans="3:7" ht="12.75" customHeight="1" x14ac:dyDescent="0.2">
      <c r="C104" s="2950"/>
      <c r="D104" s="2950"/>
      <c r="E104" s="2951"/>
      <c r="F104" s="2951"/>
      <c r="G104" s="2986"/>
    </row>
    <row r="105" spans="3:7" ht="12.75" customHeight="1" x14ac:dyDescent="0.2">
      <c r="C105" s="2950"/>
      <c r="D105" s="2950"/>
      <c r="E105" s="2951"/>
      <c r="F105" s="2951"/>
      <c r="G105" s="2986"/>
    </row>
    <row r="106" spans="3:7" ht="12.75" customHeight="1" x14ac:dyDescent="0.2">
      <c r="C106" s="2950"/>
      <c r="D106" s="2950"/>
      <c r="E106" s="2951"/>
      <c r="F106" s="2951"/>
      <c r="G106" s="2986"/>
    </row>
    <row r="107" spans="3:7" ht="12.75" customHeight="1" x14ac:dyDescent="0.2">
      <c r="C107" s="2950"/>
      <c r="D107" s="2950"/>
      <c r="E107" s="2951"/>
      <c r="F107" s="2951"/>
      <c r="G107" s="2986"/>
    </row>
    <row r="108" spans="3:7" ht="12.75" customHeight="1" x14ac:dyDescent="0.2">
      <c r="C108" s="2950"/>
      <c r="D108" s="2950"/>
      <c r="E108" s="2951"/>
      <c r="F108" s="2951"/>
      <c r="G108" s="2986"/>
    </row>
    <row r="109" spans="3:7" ht="12.75" customHeight="1" x14ac:dyDescent="0.2">
      <c r="C109" s="2950"/>
      <c r="D109" s="2950"/>
      <c r="E109" s="2951"/>
      <c r="F109" s="2951"/>
      <c r="G109" s="2986"/>
    </row>
    <row r="110" spans="3:7" ht="12.75" customHeight="1" x14ac:dyDescent="0.2">
      <c r="C110" s="2950"/>
      <c r="D110" s="2950"/>
      <c r="E110" s="2951"/>
      <c r="F110" s="2951"/>
      <c r="G110" s="2986"/>
    </row>
    <row r="111" spans="3:7" ht="12.75" customHeight="1" x14ac:dyDescent="0.2">
      <c r="C111" s="2950"/>
      <c r="D111" s="2950"/>
      <c r="E111" s="2951"/>
      <c r="F111" s="2951"/>
      <c r="G111" s="2986"/>
    </row>
    <row r="112" spans="3:7" ht="12.75" customHeight="1" x14ac:dyDescent="0.2">
      <c r="C112" s="2950"/>
      <c r="D112" s="2950"/>
      <c r="E112" s="2951"/>
      <c r="F112" s="2951"/>
      <c r="G112" s="2986"/>
    </row>
    <row r="113" spans="3:8" ht="12.75" customHeight="1" x14ac:dyDescent="0.2">
      <c r="C113" s="2950"/>
      <c r="D113" s="2950"/>
      <c r="E113" s="2951"/>
      <c r="F113" s="2951"/>
      <c r="G113" s="2986"/>
    </row>
    <row r="114" spans="3:8" ht="12.75" customHeight="1" x14ac:dyDescent="0.2">
      <c r="C114" s="2950"/>
      <c r="D114" s="2950"/>
      <c r="E114" s="2951"/>
      <c r="F114" s="2951"/>
      <c r="G114" s="2986"/>
      <c r="H114" s="2987"/>
    </row>
    <row r="115" spans="3:8" ht="12.75" customHeight="1" x14ac:dyDescent="0.2">
      <c r="C115" s="2950"/>
      <c r="D115" s="2950"/>
      <c r="E115" s="2951"/>
      <c r="F115" s="2951"/>
      <c r="G115" s="2986"/>
    </row>
    <row r="116" spans="3:8" ht="12.75" customHeight="1" x14ac:dyDescent="0.2">
      <c r="C116" s="2950"/>
      <c r="D116" s="2950"/>
      <c r="E116" s="2951"/>
      <c r="F116" s="2951"/>
      <c r="G116" s="2986"/>
      <c r="H116" s="2987"/>
    </row>
    <row r="117" spans="3:8" ht="12.75" customHeight="1" x14ac:dyDescent="0.2">
      <c r="C117" s="2950"/>
      <c r="D117" s="2950"/>
      <c r="E117" s="2951"/>
      <c r="F117" s="2951"/>
      <c r="G117" s="2986"/>
    </row>
    <row r="118" spans="3:8" ht="12.75" customHeight="1" x14ac:dyDescent="0.2">
      <c r="C118" s="2950"/>
      <c r="D118" s="2950"/>
      <c r="E118" s="2951"/>
      <c r="F118" s="2951"/>
      <c r="G118" s="2988"/>
    </row>
    <row r="119" spans="3:8" ht="12.75" customHeight="1" x14ac:dyDescent="0.2">
      <c r="C119" s="2950"/>
      <c r="D119" s="2950"/>
      <c r="E119" s="2951"/>
      <c r="F119" s="2951"/>
      <c r="G119" s="2988"/>
    </row>
    <row r="120" spans="3:8" ht="12.75" customHeight="1" x14ac:dyDescent="0.2">
      <c r="C120" s="2950"/>
      <c r="D120" s="2950"/>
      <c r="E120" s="2951"/>
      <c r="F120" s="2951"/>
      <c r="G120" s="2988"/>
    </row>
    <row r="121" spans="3:8" ht="12.75" customHeight="1" x14ac:dyDescent="0.2">
      <c r="C121" s="2950"/>
      <c r="D121" s="2950"/>
      <c r="E121" s="2951"/>
      <c r="F121" s="2951"/>
      <c r="G121" s="2988"/>
    </row>
    <row r="122" spans="3:8" ht="12.75" customHeight="1" x14ac:dyDescent="0.2">
      <c r="C122" s="2950"/>
      <c r="D122" s="2950"/>
      <c r="E122" s="2951"/>
      <c r="F122" s="2951"/>
      <c r="G122" s="2988"/>
    </row>
    <row r="123" spans="3:8" ht="12.75" customHeight="1" x14ac:dyDescent="0.2">
      <c r="C123" s="2950"/>
      <c r="D123" s="2950"/>
      <c r="E123" s="2951"/>
      <c r="F123" s="2951"/>
      <c r="G123" s="2988"/>
    </row>
    <row r="124" spans="3:8" ht="12.75" customHeight="1" x14ac:dyDescent="0.2">
      <c r="C124" s="2950"/>
      <c r="D124" s="2950"/>
      <c r="E124" s="2951"/>
      <c r="F124" s="2951"/>
      <c r="G124" s="2988"/>
    </row>
    <row r="125" spans="3:8" ht="12.75" customHeight="1" x14ac:dyDescent="0.2">
      <c r="C125" s="2950"/>
      <c r="D125" s="2950"/>
      <c r="E125" s="2951"/>
      <c r="F125" s="2951"/>
      <c r="G125" s="2988"/>
    </row>
    <row r="126" spans="3:8" ht="12.75" customHeight="1" x14ac:dyDescent="0.2">
      <c r="C126" s="2950"/>
      <c r="D126" s="2950"/>
      <c r="E126" s="2951"/>
      <c r="F126" s="2951"/>
      <c r="G126" s="2988"/>
    </row>
    <row r="127" spans="3:8" ht="12.75" customHeight="1" x14ac:dyDescent="0.2">
      <c r="C127" s="2950"/>
      <c r="D127" s="2950"/>
      <c r="E127" s="2951"/>
      <c r="F127" s="2951"/>
      <c r="G127" s="2988"/>
    </row>
    <row r="128" spans="3:8" ht="12.75" customHeight="1" x14ac:dyDescent="0.2">
      <c r="C128" s="2950"/>
      <c r="D128" s="2950"/>
      <c r="E128" s="2951"/>
      <c r="F128" s="2951"/>
      <c r="G128" s="2988"/>
    </row>
    <row r="129" spans="3:6" ht="12.75" customHeight="1" x14ac:dyDescent="0.2">
      <c r="C129" s="2950"/>
      <c r="D129" s="2950"/>
      <c r="E129" s="2951"/>
      <c r="F129" s="2951"/>
    </row>
  </sheetData>
  <sheetProtection algorithmName="SHA-512" hashValue="4+d/Sl+jxkfWIyGsa349YckP3QdVrqHxmUMSayS7dCFZoChy0u0AFd9iEwNqJftZyrRahpX0wDNauuU0RgewTg==" saltValue="dO3dofyAMBa2mQ+hvT9Vvw==" spinCount="100000" sheet="1" objects="1" scenarios="1"/>
  <mergeCells count="6">
    <mergeCell ref="C26:F26"/>
    <mergeCell ref="D6:G6"/>
    <mergeCell ref="D7:G7"/>
    <mergeCell ref="D9:G9"/>
    <mergeCell ref="D21:G21"/>
    <mergeCell ref="G23:H23"/>
  </mergeCells>
  <phoneticPr fontId="0" type="noConversion"/>
  <dataValidations count="3">
    <dataValidation type="list" allowBlank="1" showInputMessage="1" showErrorMessage="1" sqref="D20 D23:D24">
      <formula1>SiNo</formula1>
    </dataValidation>
    <dataValidation type="list" allowBlank="1" showInputMessage="1" showErrorMessage="1" sqref="D18">
      <formula1>$P$2:$P$3</formula1>
    </dataValidation>
    <dataValidation type="whole" allowBlank="1" showInputMessage="1" showErrorMessage="1" sqref="D9:G9">
      <formula1>0</formula1>
      <formula2>9999999999</formula2>
    </dataValidation>
  </dataValidations>
  <printOptions horizontalCentered="1" verticalCentered="1"/>
  <pageMargins left="0.75" right="0.75" top="1" bottom="1" header="0" footer="0"/>
  <pageSetup scale="9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84803" r:id="rId4" name="Button 3">
              <controlPr defaultSize="0" print="0" autoFill="0" autoPict="0" macro="[0]!ejecutar">
                <anchor moveWithCells="1" sizeWithCells="1">
                  <from>
                    <xdr:col>11</xdr:col>
                    <xdr:colOff>409575</xdr:colOff>
                    <xdr:row>11</xdr:row>
                    <xdr:rowOff>114300</xdr:rowOff>
                  </from>
                  <to>
                    <xdr:col>13</xdr:col>
                    <xdr:colOff>619125</xdr:colOff>
                    <xdr:row>15</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Parametros!$A$2:$A$32</xm:f>
          </x14:formula1>
          <xm:sqref>G23:H23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rgb="FF00B050"/>
  </sheetPr>
  <dimension ref="A2:V115"/>
  <sheetViews>
    <sheetView zoomScaleNormal="100" workbookViewId="0">
      <pane ySplit="7" topLeftCell="A26" activePane="bottomLeft" state="frozen"/>
      <selection pane="bottomLeft" activeCell="B35" sqref="B35"/>
    </sheetView>
  </sheetViews>
  <sheetFormatPr baseColWidth="10" defaultRowHeight="11.25" outlineLevelRow="1" x14ac:dyDescent="0.15"/>
  <cols>
    <col min="1" max="1" width="33.5703125" bestFit="1" customWidth="1"/>
    <col min="2" max="2" width="68.5703125" bestFit="1" customWidth="1"/>
    <col min="3" max="3" width="15.42578125" bestFit="1" customWidth="1"/>
    <col min="4" max="4" width="11.7109375" bestFit="1" customWidth="1"/>
    <col min="5" max="5" width="3.5703125" style="1120" customWidth="1"/>
    <col min="6" max="6" width="25.85546875" style="1131" bestFit="1" customWidth="1"/>
    <col min="7" max="11" width="10" style="1131" customWidth="1"/>
    <col min="12" max="12" width="13" style="1131" customWidth="1"/>
    <col min="13" max="14" width="0" hidden="1" customWidth="1"/>
    <col min="15" max="15" width="2.5703125" hidden="1" customWidth="1"/>
    <col min="16" max="16" width="3.140625" hidden="1" customWidth="1"/>
    <col min="17" max="17" width="2.85546875" hidden="1" customWidth="1"/>
    <col min="18" max="18" width="51" hidden="1" customWidth="1"/>
    <col min="19" max="19" width="0" hidden="1" customWidth="1"/>
    <col min="20" max="20" width="3" hidden="1" customWidth="1"/>
    <col min="21" max="21" width="35.85546875" hidden="1" customWidth="1"/>
    <col min="22" max="22" width="0" hidden="1" customWidth="1"/>
  </cols>
  <sheetData>
    <row r="2" spans="1:22" ht="12" hidden="1" outlineLevel="1" thickBot="1" x14ac:dyDescent="0.2">
      <c r="A2" s="3075" t="s">
        <v>1607</v>
      </c>
      <c r="B2" s="3076"/>
      <c r="C2" s="3076"/>
      <c r="D2" s="3077"/>
      <c r="E2" s="1121"/>
      <c r="F2" s="1132"/>
      <c r="G2" s="1132"/>
      <c r="H2" s="1132"/>
      <c r="I2" s="1132"/>
      <c r="J2" s="1132"/>
      <c r="K2" s="1132"/>
      <c r="L2" s="1132"/>
    </row>
    <row r="3" spans="1:22" ht="12" hidden="1" outlineLevel="1" thickBot="1" x14ac:dyDescent="0.2">
      <c r="A3" s="1115" t="s">
        <v>1603</v>
      </c>
      <c r="B3" s="1116" t="s">
        <v>1604</v>
      </c>
      <c r="C3" s="1117" t="s">
        <v>1605</v>
      </c>
      <c r="D3" s="1118" t="s">
        <v>1606</v>
      </c>
      <c r="E3" s="1122"/>
      <c r="F3" s="1133"/>
      <c r="G3" s="1133"/>
      <c r="H3" s="1133"/>
      <c r="I3" s="1133"/>
      <c r="J3" s="1133"/>
      <c r="K3" s="1133"/>
      <c r="L3" s="1133"/>
    </row>
    <row r="4" spans="1:22" ht="12" collapsed="1" thickBot="1" x14ac:dyDescent="0.2">
      <c r="E4" s="1122"/>
      <c r="F4" s="1133"/>
      <c r="G4" s="1133"/>
      <c r="H4" s="1133"/>
      <c r="I4" s="1133"/>
      <c r="J4" s="1133"/>
      <c r="K4" s="1133"/>
      <c r="L4" s="1133"/>
    </row>
    <row r="5" spans="1:22" ht="18.75" thickBot="1" x14ac:dyDescent="0.3">
      <c r="B5" s="1143" t="s">
        <v>1713</v>
      </c>
      <c r="C5" s="1141">
        <f>+C9*C43+C46*C61+C64*C75+C78*C87+C90*C100+C103*C114</f>
        <v>5.3295833333333338</v>
      </c>
      <c r="D5" s="1130"/>
      <c r="E5" s="1122"/>
      <c r="F5" s="1133"/>
      <c r="G5" s="1133"/>
      <c r="H5" s="1133"/>
      <c r="I5" s="1133"/>
      <c r="J5" s="1133"/>
      <c r="K5" s="1133"/>
      <c r="L5" s="1133"/>
    </row>
    <row r="6" spans="1:22" ht="18.75" thickBot="1" x14ac:dyDescent="0.3">
      <c r="B6" s="1144" t="s">
        <v>1714</v>
      </c>
      <c r="C6" s="1142">
        <f>+C9*D43+C46*D61+C64*D75+C78*D87+C90*D100+C103*D114</f>
        <v>5.8833333333333329</v>
      </c>
      <c r="E6" s="1122"/>
      <c r="F6" s="3083" t="s">
        <v>1716</v>
      </c>
      <c r="G6" s="3084"/>
      <c r="H6" s="3084"/>
      <c r="I6" s="3084"/>
      <c r="J6" s="3084"/>
      <c r="K6" s="3085"/>
      <c r="L6" s="1133"/>
    </row>
    <row r="8" spans="1:22" ht="14.25" x14ac:dyDescent="0.2">
      <c r="A8" s="3080" t="s">
        <v>1457</v>
      </c>
      <c r="B8" s="3081"/>
      <c r="C8" s="3081"/>
      <c r="D8" s="3082"/>
      <c r="E8" s="1123"/>
      <c r="F8" s="1134"/>
      <c r="G8" s="1134"/>
      <c r="H8" s="1134"/>
      <c r="I8" s="1134"/>
      <c r="J8" s="1134"/>
      <c r="K8" s="1134"/>
      <c r="L8" s="1134"/>
    </row>
    <row r="9" spans="1:22" x14ac:dyDescent="0.15">
      <c r="A9" s="1111"/>
      <c r="B9" s="1111" t="s">
        <v>1570</v>
      </c>
      <c r="C9" s="1112">
        <v>0.2</v>
      </c>
      <c r="D9" s="1111"/>
      <c r="E9" s="1124"/>
      <c r="F9" s="1135"/>
      <c r="G9" s="1135"/>
      <c r="H9" s="1135"/>
      <c r="I9" s="1135"/>
      <c r="J9" s="1135"/>
      <c r="K9" s="1135"/>
      <c r="L9" s="1135"/>
      <c r="M9">
        <f>+C9/(2*6)</f>
        <v>1.6666666666666666E-2</v>
      </c>
    </row>
    <row r="10" spans="1:22" ht="12" thickBot="1" x14ac:dyDescent="0.2">
      <c r="A10" s="1106"/>
      <c r="B10" s="1106"/>
      <c r="C10" s="1106"/>
      <c r="D10" s="1106"/>
      <c r="E10" s="1125"/>
      <c r="F10" s="1136"/>
      <c r="G10" s="1136"/>
      <c r="H10" s="1136"/>
      <c r="I10" s="1136"/>
      <c r="J10" s="1136"/>
      <c r="K10" s="1136"/>
      <c r="L10" s="1136"/>
    </row>
    <row r="11" spans="1:22" x14ac:dyDescent="0.15">
      <c r="A11" s="1106"/>
      <c r="B11" s="1110" t="s">
        <v>1571</v>
      </c>
      <c r="C11" s="425" t="s">
        <v>1568</v>
      </c>
      <c r="D11" s="425" t="s">
        <v>1569</v>
      </c>
      <c r="E11" s="1126"/>
      <c r="F11" s="3086" t="s">
        <v>1727</v>
      </c>
      <c r="G11" s="3087"/>
      <c r="H11" s="3087"/>
      <c r="I11" s="3087"/>
      <c r="J11" s="3087"/>
      <c r="K11" s="3088"/>
      <c r="L11" s="1137"/>
      <c r="R11" s="1105"/>
    </row>
    <row r="12" spans="1:22" x14ac:dyDescent="0.15">
      <c r="A12" s="1106"/>
      <c r="B12" s="1106"/>
      <c r="C12" s="1106"/>
      <c r="D12" s="1106"/>
      <c r="E12" s="1125"/>
      <c r="F12" s="3089"/>
      <c r="G12" s="3090"/>
      <c r="H12" s="3090"/>
      <c r="I12" s="3090"/>
      <c r="J12" s="3090"/>
      <c r="K12" s="3091"/>
      <c r="L12" s="1136"/>
      <c r="R12" s="1105" t="s">
        <v>1542</v>
      </c>
      <c r="S12">
        <v>8.6999999999999993</v>
      </c>
      <c r="U12" s="1105" t="s">
        <v>1574</v>
      </c>
      <c r="V12">
        <v>6.5</v>
      </c>
    </row>
    <row r="13" spans="1:22" x14ac:dyDescent="0.15">
      <c r="A13" s="1106" t="s">
        <v>1538</v>
      </c>
      <c r="B13" s="1107" t="s">
        <v>1541</v>
      </c>
      <c r="C13" s="1106">
        <f>+VLOOKUP(B13,R12:S15,2)</f>
        <v>6.5</v>
      </c>
      <c r="D13" s="1107">
        <v>5</v>
      </c>
      <c r="E13" s="1127"/>
      <c r="F13" s="3089"/>
      <c r="G13" s="3090"/>
      <c r="H13" s="3090"/>
      <c r="I13" s="3090"/>
      <c r="J13" s="3090"/>
      <c r="K13" s="3091"/>
      <c r="L13" s="1138"/>
      <c r="M13">
        <f>+$M$9*C13</f>
        <v>0.10833333333333334</v>
      </c>
      <c r="N13">
        <f>+D13*$M$9</f>
        <v>8.3333333333333329E-2</v>
      </c>
      <c r="R13" s="1105" t="s">
        <v>1541</v>
      </c>
      <c r="S13">
        <v>6.5</v>
      </c>
      <c r="U13" s="1105" t="s">
        <v>1575</v>
      </c>
      <c r="V13">
        <v>4</v>
      </c>
    </row>
    <row r="14" spans="1:22" x14ac:dyDescent="0.15">
      <c r="A14" s="1106"/>
      <c r="B14" s="1106"/>
      <c r="C14" s="1106"/>
      <c r="D14" s="1106"/>
      <c r="E14" s="1125"/>
      <c r="F14" s="3089"/>
      <c r="G14" s="3090"/>
      <c r="H14" s="3090"/>
      <c r="I14" s="3090"/>
      <c r="J14" s="3090"/>
      <c r="K14" s="3091"/>
      <c r="L14" s="1136"/>
      <c r="R14" s="1105" t="s">
        <v>1539</v>
      </c>
      <c r="S14">
        <v>2</v>
      </c>
      <c r="U14" s="1105" t="s">
        <v>1576</v>
      </c>
      <c r="V14">
        <v>8.6999999999999993</v>
      </c>
    </row>
    <row r="15" spans="1:22" x14ac:dyDescent="0.15">
      <c r="A15" s="1106" t="s">
        <v>1543</v>
      </c>
      <c r="B15" s="1107" t="s">
        <v>1546</v>
      </c>
      <c r="C15" s="1106">
        <f>+VLOOKUP(B15,R17:S20,2)</f>
        <v>4</v>
      </c>
      <c r="D15" s="1107">
        <v>5</v>
      </c>
      <c r="E15" s="1127"/>
      <c r="F15" s="3089"/>
      <c r="G15" s="3090"/>
      <c r="H15" s="3090"/>
      <c r="I15" s="3090"/>
      <c r="J15" s="3090"/>
      <c r="K15" s="3091"/>
      <c r="L15" s="1138"/>
      <c r="M15">
        <f>+$M$9*C15</f>
        <v>6.6666666666666666E-2</v>
      </c>
      <c r="N15">
        <f>+D15*$M$9</f>
        <v>8.3333333333333329E-2</v>
      </c>
      <c r="R15" s="1105" t="s">
        <v>1540</v>
      </c>
      <c r="S15">
        <v>4</v>
      </c>
      <c r="U15" s="1105" t="s">
        <v>1577</v>
      </c>
      <c r="V15">
        <v>2</v>
      </c>
    </row>
    <row r="16" spans="1:22" x14ac:dyDescent="0.15">
      <c r="A16" s="1106"/>
      <c r="B16" s="1106"/>
      <c r="C16" s="1106"/>
      <c r="D16" s="1106"/>
      <c r="E16" s="1125"/>
      <c r="F16" s="3089"/>
      <c r="G16" s="3090"/>
      <c r="H16" s="3090"/>
      <c r="I16" s="3090"/>
      <c r="J16" s="3090"/>
      <c r="K16" s="3091"/>
      <c r="L16" s="1136"/>
    </row>
    <row r="17" spans="1:22" x14ac:dyDescent="0.15">
      <c r="A17" s="1106" t="s">
        <v>1548</v>
      </c>
      <c r="B17" s="1107" t="s">
        <v>1549</v>
      </c>
      <c r="C17" s="1106">
        <f>+VLOOKUP(B17,R22:S25,2)</f>
        <v>6.5</v>
      </c>
      <c r="D17" s="1107">
        <v>6</v>
      </c>
      <c r="E17" s="1127"/>
      <c r="F17" s="3089"/>
      <c r="G17" s="3090"/>
      <c r="H17" s="3090"/>
      <c r="I17" s="3090"/>
      <c r="J17" s="3090"/>
      <c r="K17" s="3091"/>
      <c r="L17" s="1138"/>
      <c r="M17">
        <f>+$M$9*C17</f>
        <v>0.10833333333333334</v>
      </c>
      <c r="N17">
        <f>+D17*$M$9</f>
        <v>0.1</v>
      </c>
      <c r="R17" s="1105" t="s">
        <v>1545</v>
      </c>
      <c r="S17">
        <v>6.5</v>
      </c>
      <c r="U17" s="1105" t="s">
        <v>1578</v>
      </c>
      <c r="V17">
        <v>2</v>
      </c>
    </row>
    <row r="18" spans="1:22" x14ac:dyDescent="0.15">
      <c r="A18" s="1106"/>
      <c r="B18" s="1106"/>
      <c r="C18" s="1106"/>
      <c r="D18" s="1106"/>
      <c r="E18" s="1125"/>
      <c r="F18" s="3089"/>
      <c r="G18" s="3090"/>
      <c r="H18" s="3090"/>
      <c r="I18" s="3090"/>
      <c r="J18" s="3090"/>
      <c r="K18" s="3091"/>
      <c r="L18" s="1136"/>
      <c r="R18" s="1105" t="s">
        <v>1544</v>
      </c>
      <c r="S18">
        <v>2</v>
      </c>
      <c r="U18" s="1105" t="s">
        <v>1579</v>
      </c>
      <c r="V18">
        <v>8.6999999999999993</v>
      </c>
    </row>
    <row r="19" spans="1:22" x14ac:dyDescent="0.15">
      <c r="A19" s="1106" t="s">
        <v>1553</v>
      </c>
      <c r="B19" s="1107" t="s">
        <v>1556</v>
      </c>
      <c r="C19" s="1106">
        <f>+VLOOKUP(B19,R27:S30,2)</f>
        <v>4</v>
      </c>
      <c r="D19" s="1107">
        <v>5</v>
      </c>
      <c r="E19" s="1127"/>
      <c r="F19" s="3089"/>
      <c r="G19" s="3090"/>
      <c r="H19" s="3090"/>
      <c r="I19" s="3090"/>
      <c r="J19" s="3090"/>
      <c r="K19" s="3091"/>
      <c r="L19" s="1138"/>
      <c r="M19">
        <f>+$M$9*C19</f>
        <v>6.6666666666666666E-2</v>
      </c>
      <c r="N19">
        <f>+D19*$M$9</f>
        <v>8.3333333333333329E-2</v>
      </c>
      <c r="R19" s="1105" t="s">
        <v>1546</v>
      </c>
      <c r="S19">
        <v>4</v>
      </c>
      <c r="U19" s="1105" t="s">
        <v>1580</v>
      </c>
      <c r="V19">
        <v>4</v>
      </c>
    </row>
    <row r="20" spans="1:22" x14ac:dyDescent="0.15">
      <c r="A20" s="1106"/>
      <c r="B20" s="1106"/>
      <c r="C20" s="1106"/>
      <c r="D20" s="1106"/>
      <c r="E20" s="1125"/>
      <c r="F20" s="3089"/>
      <c r="G20" s="3090"/>
      <c r="H20" s="3090"/>
      <c r="I20" s="3090"/>
      <c r="J20" s="3090"/>
      <c r="K20" s="3091"/>
      <c r="L20" s="1136"/>
      <c r="R20" s="1105" t="s">
        <v>1547</v>
      </c>
      <c r="S20">
        <v>8.6999999999999993</v>
      </c>
      <c r="U20" s="1105" t="s">
        <v>1581</v>
      </c>
      <c r="V20">
        <v>6.5</v>
      </c>
    </row>
    <row r="21" spans="1:22" x14ac:dyDescent="0.15">
      <c r="A21" s="1106" t="s">
        <v>1558</v>
      </c>
      <c r="B21" s="1107" t="s">
        <v>1561</v>
      </c>
      <c r="C21" s="1106">
        <f>+VLOOKUP(B21,R32:S35,2)</f>
        <v>4</v>
      </c>
      <c r="D21" s="1107">
        <v>4.5</v>
      </c>
      <c r="E21" s="1127"/>
      <c r="F21" s="3089"/>
      <c r="G21" s="3090"/>
      <c r="H21" s="3090"/>
      <c r="I21" s="3090"/>
      <c r="J21" s="3090"/>
      <c r="K21" s="3091"/>
      <c r="L21" s="1138"/>
      <c r="M21">
        <f>+$M$9*C21</f>
        <v>6.6666666666666666E-2</v>
      </c>
      <c r="N21">
        <f>+D21*$M$9</f>
        <v>7.4999999999999997E-2</v>
      </c>
    </row>
    <row r="22" spans="1:22" x14ac:dyDescent="0.15">
      <c r="A22" s="1106"/>
      <c r="B22" s="1106"/>
      <c r="C22" s="1106"/>
      <c r="D22" s="1106"/>
      <c r="E22" s="1125"/>
      <c r="F22" s="3089"/>
      <c r="G22" s="3090"/>
      <c r="H22" s="3090"/>
      <c r="I22" s="3090"/>
      <c r="J22" s="3090"/>
      <c r="K22" s="3091"/>
      <c r="L22" s="1136"/>
      <c r="R22" s="1105" t="s">
        <v>1549</v>
      </c>
      <c r="S22">
        <v>6.5</v>
      </c>
      <c r="U22" s="1105" t="s">
        <v>1584</v>
      </c>
      <c r="V22">
        <v>8.6999999999999993</v>
      </c>
    </row>
    <row r="23" spans="1:22" x14ac:dyDescent="0.15">
      <c r="A23" s="1106" t="s">
        <v>1563</v>
      </c>
      <c r="B23" s="1107" t="s">
        <v>1564</v>
      </c>
      <c r="C23" s="1106">
        <f>+VLOOKUP(B23,R37:S40,2)</f>
        <v>4</v>
      </c>
      <c r="D23" s="1107">
        <v>5</v>
      </c>
      <c r="E23" s="1127"/>
      <c r="F23" s="3089"/>
      <c r="G23" s="3090"/>
      <c r="H23" s="3090"/>
      <c r="I23" s="3090"/>
      <c r="J23" s="3090"/>
      <c r="K23" s="3091"/>
      <c r="L23" s="1138"/>
      <c r="M23">
        <f>+$M$9*C23</f>
        <v>6.6666666666666666E-2</v>
      </c>
      <c r="N23">
        <f>+D23*$M$9</f>
        <v>8.3333333333333329E-2</v>
      </c>
      <c r="R23" s="1105" t="s">
        <v>1550</v>
      </c>
      <c r="S23">
        <v>4</v>
      </c>
      <c r="U23" s="1105" t="s">
        <v>1585</v>
      </c>
      <c r="V23">
        <v>2</v>
      </c>
    </row>
    <row r="24" spans="1:22" x14ac:dyDescent="0.15">
      <c r="A24" s="1106"/>
      <c r="B24" s="1106"/>
      <c r="C24" s="1106"/>
      <c r="D24" s="1106"/>
      <c r="E24" s="1125"/>
      <c r="F24" s="3089"/>
      <c r="G24" s="3090"/>
      <c r="H24" s="3090"/>
      <c r="I24" s="3090"/>
      <c r="J24" s="3090"/>
      <c r="K24" s="3091"/>
      <c r="L24" s="1136"/>
      <c r="R24" s="1105" t="s">
        <v>1551</v>
      </c>
      <c r="S24">
        <v>2</v>
      </c>
      <c r="U24" s="1105" t="s">
        <v>1586</v>
      </c>
      <c r="V24">
        <v>4</v>
      </c>
    </row>
    <row r="25" spans="1:22" ht="12" thickBot="1" x14ac:dyDescent="0.2">
      <c r="A25" s="1106"/>
      <c r="B25" s="1111" t="s">
        <v>1602</v>
      </c>
      <c r="C25" s="1109">
        <f>+M25/C9</f>
        <v>2.4166666666666661</v>
      </c>
      <c r="D25" s="1109">
        <f>+N25/C9</f>
        <v>2.5416666666666665</v>
      </c>
      <c r="E25" s="1128"/>
      <c r="F25" s="3092"/>
      <c r="G25" s="3093"/>
      <c r="H25" s="3093"/>
      <c r="I25" s="3093"/>
      <c r="J25" s="3093"/>
      <c r="K25" s="3094"/>
      <c r="L25" s="1139"/>
      <c r="M25">
        <f>SUM(M13:M23)</f>
        <v>0.48333333333333328</v>
      </c>
      <c r="N25">
        <f>SUM(N13:N23)</f>
        <v>0.5083333333333333</v>
      </c>
      <c r="R25" s="1105" t="s">
        <v>1552</v>
      </c>
      <c r="S25">
        <v>8.6999999999999993</v>
      </c>
      <c r="U25" s="1105" t="s">
        <v>1587</v>
      </c>
      <c r="V25">
        <v>6.5</v>
      </c>
    </row>
    <row r="26" spans="1:22" ht="12" thickBot="1" x14ac:dyDescent="0.2">
      <c r="A26" s="1106"/>
      <c r="B26" s="1106"/>
      <c r="C26" s="1106"/>
      <c r="D26" s="1106"/>
      <c r="E26" s="1125"/>
      <c r="F26" s="1136"/>
      <c r="G26" s="1136"/>
      <c r="H26" s="1136"/>
      <c r="I26" s="1136"/>
      <c r="J26" s="1136"/>
      <c r="K26" s="1136"/>
      <c r="L26" s="1136"/>
    </row>
    <row r="27" spans="1:22" x14ac:dyDescent="0.15">
      <c r="A27" s="1106"/>
      <c r="B27" s="1110" t="s">
        <v>1572</v>
      </c>
      <c r="C27" s="425" t="s">
        <v>1568</v>
      </c>
      <c r="D27" s="425" t="s">
        <v>1569</v>
      </c>
      <c r="E27" s="1126"/>
      <c r="F27" s="3086" t="s">
        <v>1728</v>
      </c>
      <c r="G27" s="3087"/>
      <c r="H27" s="3087"/>
      <c r="I27" s="3087"/>
      <c r="J27" s="3087"/>
      <c r="K27" s="3088"/>
      <c r="L27" s="1137"/>
      <c r="R27" s="1105" t="s">
        <v>1554</v>
      </c>
      <c r="S27">
        <v>8.6999999999999993</v>
      </c>
      <c r="U27" s="1105" t="s">
        <v>1590</v>
      </c>
      <c r="V27">
        <v>6.5</v>
      </c>
    </row>
    <row r="28" spans="1:22" x14ac:dyDescent="0.15">
      <c r="A28" s="1106"/>
      <c r="B28" s="1106"/>
      <c r="C28" s="1106"/>
      <c r="D28" s="1106"/>
      <c r="E28" s="1125"/>
      <c r="F28" s="3089"/>
      <c r="G28" s="3090"/>
      <c r="H28" s="3090"/>
      <c r="I28" s="3090"/>
      <c r="J28" s="3090"/>
      <c r="K28" s="3091"/>
      <c r="L28" s="1136"/>
      <c r="R28" s="1105" t="s">
        <v>1555</v>
      </c>
      <c r="S28">
        <v>6.5</v>
      </c>
      <c r="U28" s="1105" t="s">
        <v>1591</v>
      </c>
      <c r="V28">
        <v>8.6999999999999993</v>
      </c>
    </row>
    <row r="29" spans="1:22" x14ac:dyDescent="0.15">
      <c r="A29" s="1108" t="s">
        <v>1573</v>
      </c>
      <c r="B29" s="1107" t="s">
        <v>1575</v>
      </c>
      <c r="C29" s="1106">
        <f>+VLOOKUP(B29,U12:V15,2)</f>
        <v>4</v>
      </c>
      <c r="D29" s="1107">
        <v>4.5</v>
      </c>
      <c r="E29" s="1127"/>
      <c r="F29" s="3089"/>
      <c r="G29" s="3090"/>
      <c r="H29" s="3090"/>
      <c r="I29" s="3090"/>
      <c r="J29" s="3090"/>
      <c r="K29" s="3091"/>
      <c r="L29" s="1138"/>
      <c r="M29">
        <f>+$M$9*C29</f>
        <v>6.6666666666666666E-2</v>
      </c>
      <c r="N29">
        <f>+D29*$M$9</f>
        <v>7.4999999999999997E-2</v>
      </c>
      <c r="R29" s="1105" t="s">
        <v>1556</v>
      </c>
      <c r="S29">
        <v>4</v>
      </c>
      <c r="U29" s="1105" t="s">
        <v>1592</v>
      </c>
      <c r="V29">
        <v>2</v>
      </c>
    </row>
    <row r="30" spans="1:22" x14ac:dyDescent="0.15">
      <c r="A30" s="1106"/>
      <c r="B30" s="1106"/>
      <c r="C30" s="1106"/>
      <c r="D30" s="1106"/>
      <c r="E30" s="1125"/>
      <c r="F30" s="3089"/>
      <c r="G30" s="3090"/>
      <c r="H30" s="3090"/>
      <c r="I30" s="3090"/>
      <c r="J30" s="3090"/>
      <c r="K30" s="3091"/>
      <c r="L30" s="1136"/>
      <c r="R30" s="1105" t="s">
        <v>1557</v>
      </c>
      <c r="S30">
        <v>2</v>
      </c>
      <c r="U30" s="1105" t="s">
        <v>1593</v>
      </c>
      <c r="V30">
        <v>4</v>
      </c>
    </row>
    <row r="31" spans="1:22" x14ac:dyDescent="0.15">
      <c r="A31" s="1108" t="s">
        <v>1582</v>
      </c>
      <c r="B31" s="1107" t="s">
        <v>1581</v>
      </c>
      <c r="C31" s="1106">
        <f>+VLOOKUP(B31,U17:V20,2)</f>
        <v>6.5</v>
      </c>
      <c r="D31" s="1107">
        <v>6</v>
      </c>
      <c r="E31" s="1127"/>
      <c r="F31" s="3089"/>
      <c r="G31" s="3090"/>
      <c r="H31" s="3090"/>
      <c r="I31" s="3090"/>
      <c r="J31" s="3090"/>
      <c r="K31" s="3091"/>
      <c r="L31" s="1138"/>
      <c r="M31">
        <f>+$M$9*C31</f>
        <v>0.10833333333333334</v>
      </c>
      <c r="N31">
        <f>+D31*$M$9</f>
        <v>0.1</v>
      </c>
    </row>
    <row r="32" spans="1:22" x14ac:dyDescent="0.15">
      <c r="A32" s="1106"/>
      <c r="B32" s="1106"/>
      <c r="C32" s="1106"/>
      <c r="D32" s="1106"/>
      <c r="E32" s="1125"/>
      <c r="F32" s="3089"/>
      <c r="G32" s="3090"/>
      <c r="H32" s="3090"/>
      <c r="I32" s="3090"/>
      <c r="J32" s="3090"/>
      <c r="K32" s="3091"/>
      <c r="L32" s="1136"/>
      <c r="R32" s="1105" t="s">
        <v>1559</v>
      </c>
      <c r="S32">
        <v>6.5</v>
      </c>
      <c r="U32" s="1105" t="s">
        <v>1594</v>
      </c>
      <c r="V32">
        <v>8.6999999999999993</v>
      </c>
    </row>
    <row r="33" spans="1:22" x14ac:dyDescent="0.15">
      <c r="A33" s="1108" t="s">
        <v>1583</v>
      </c>
      <c r="B33" s="1107" t="s">
        <v>1587</v>
      </c>
      <c r="C33" s="1106">
        <f>+VLOOKUP(B33,U22:V25,2)</f>
        <v>6.5</v>
      </c>
      <c r="D33" s="1107">
        <v>6</v>
      </c>
      <c r="E33" s="1127"/>
      <c r="F33" s="3089"/>
      <c r="G33" s="3090"/>
      <c r="H33" s="3090"/>
      <c r="I33" s="3090"/>
      <c r="J33" s="3090"/>
      <c r="K33" s="3091"/>
      <c r="L33" s="1138"/>
      <c r="M33">
        <f>+$M$9*C33</f>
        <v>0.10833333333333334</v>
      </c>
      <c r="N33">
        <f>+D33*$M$9</f>
        <v>0.1</v>
      </c>
      <c r="R33" s="1105" t="s">
        <v>1561</v>
      </c>
      <c r="S33">
        <v>4</v>
      </c>
      <c r="U33" s="1105" t="s">
        <v>1595</v>
      </c>
      <c r="V33">
        <v>2</v>
      </c>
    </row>
    <row r="34" spans="1:22" x14ac:dyDescent="0.15">
      <c r="A34" s="1106"/>
      <c r="B34" s="1106"/>
      <c r="C34" s="1106"/>
      <c r="D34" s="1106"/>
      <c r="E34" s="1125"/>
      <c r="F34" s="3089"/>
      <c r="G34" s="3090"/>
      <c r="H34" s="3090"/>
      <c r="I34" s="3090"/>
      <c r="J34" s="3090"/>
      <c r="K34" s="3091"/>
      <c r="L34" s="1136"/>
      <c r="R34" s="1105" t="s">
        <v>1560</v>
      </c>
      <c r="S34">
        <v>2</v>
      </c>
      <c r="U34" s="1105" t="s">
        <v>1596</v>
      </c>
      <c r="V34">
        <v>4</v>
      </c>
    </row>
    <row r="35" spans="1:22" x14ac:dyDescent="0.15">
      <c r="A35" s="1108" t="s">
        <v>1588</v>
      </c>
      <c r="B35" s="1107" t="s">
        <v>1593</v>
      </c>
      <c r="C35" s="1106">
        <f>+VLOOKUP(B35,U27:V30,2)</f>
        <v>4</v>
      </c>
      <c r="D35" s="1107">
        <v>6</v>
      </c>
      <c r="E35" s="1127"/>
      <c r="F35" s="3089"/>
      <c r="G35" s="3090"/>
      <c r="H35" s="3090"/>
      <c r="I35" s="3090"/>
      <c r="J35" s="3090"/>
      <c r="K35" s="3091"/>
      <c r="L35" s="1138"/>
      <c r="M35">
        <f>+$M$9*C35</f>
        <v>6.6666666666666666E-2</v>
      </c>
      <c r="N35">
        <f>+D35*$M$9</f>
        <v>0.1</v>
      </c>
      <c r="R35" s="1105" t="s">
        <v>1562</v>
      </c>
      <c r="S35">
        <v>8.6999999999999993</v>
      </c>
      <c r="U35" s="1105" t="s">
        <v>1597</v>
      </c>
      <c r="V35">
        <v>6.5</v>
      </c>
    </row>
    <row r="36" spans="1:22" x14ac:dyDescent="0.15">
      <c r="A36" s="1106"/>
      <c r="B36" s="1106"/>
      <c r="C36" s="1106"/>
      <c r="D36" s="1106"/>
      <c r="E36" s="1125"/>
      <c r="F36" s="3089"/>
      <c r="G36" s="3090"/>
      <c r="H36" s="3090"/>
      <c r="I36" s="3090"/>
      <c r="J36" s="3090"/>
      <c r="K36" s="3091"/>
      <c r="L36" s="1136"/>
    </row>
    <row r="37" spans="1:22" x14ac:dyDescent="0.15">
      <c r="A37" s="1108" t="s">
        <v>308</v>
      </c>
      <c r="B37" s="1107" t="s">
        <v>1597</v>
      </c>
      <c r="C37" s="1106">
        <f>+VLOOKUP(B37,U32:V35,2)</f>
        <v>6.5</v>
      </c>
      <c r="D37" s="1107">
        <v>6</v>
      </c>
      <c r="E37" s="1127"/>
      <c r="F37" s="3089"/>
      <c r="G37" s="3090"/>
      <c r="H37" s="3090"/>
      <c r="I37" s="3090"/>
      <c r="J37" s="3090"/>
      <c r="K37" s="3091"/>
      <c r="L37" s="1138"/>
      <c r="M37">
        <f>+$M$9*C37</f>
        <v>0.10833333333333334</v>
      </c>
      <c r="N37">
        <f>+D37*$M$9</f>
        <v>0.1</v>
      </c>
      <c r="R37" s="1105" t="s">
        <v>1564</v>
      </c>
      <c r="S37">
        <v>4</v>
      </c>
      <c r="U37" s="1105" t="s">
        <v>1598</v>
      </c>
      <c r="V37">
        <v>4</v>
      </c>
    </row>
    <row r="38" spans="1:22" x14ac:dyDescent="0.15">
      <c r="A38" s="1106"/>
      <c r="B38" s="1106"/>
      <c r="C38" s="1106"/>
      <c r="D38" s="1106"/>
      <c r="E38" s="1125"/>
      <c r="F38" s="3089"/>
      <c r="G38" s="3090"/>
      <c r="H38" s="3090"/>
      <c r="I38" s="3090"/>
      <c r="J38" s="3090"/>
      <c r="K38" s="3091"/>
      <c r="L38" s="1136"/>
      <c r="R38" s="1105" t="s">
        <v>1565</v>
      </c>
      <c r="S38">
        <v>8.6999999999999993</v>
      </c>
      <c r="U38" s="1105" t="s">
        <v>1599</v>
      </c>
      <c r="V38">
        <v>2</v>
      </c>
    </row>
    <row r="39" spans="1:22" x14ac:dyDescent="0.15">
      <c r="A39" s="1108" t="s">
        <v>1589</v>
      </c>
      <c r="B39" s="1107" t="s">
        <v>1601</v>
      </c>
      <c r="C39" s="1106">
        <f>+VLOOKUP(B39,U37:V40,2)</f>
        <v>8.6999999999999993</v>
      </c>
      <c r="D39" s="1107">
        <v>6</v>
      </c>
      <c r="E39" s="1127"/>
      <c r="F39" s="3089"/>
      <c r="G39" s="3090"/>
      <c r="H39" s="3090"/>
      <c r="I39" s="3090"/>
      <c r="J39" s="3090"/>
      <c r="K39" s="3091"/>
      <c r="L39" s="1138"/>
      <c r="M39">
        <f>+$M$9*C39</f>
        <v>0.14499999999999999</v>
      </c>
      <c r="N39">
        <f>+D39*$M$9</f>
        <v>0.1</v>
      </c>
      <c r="R39" s="1105" t="s">
        <v>1566</v>
      </c>
      <c r="S39">
        <v>6.5</v>
      </c>
      <c r="U39" s="1105" t="s">
        <v>1600</v>
      </c>
      <c r="V39">
        <v>6.5</v>
      </c>
    </row>
    <row r="40" spans="1:22" x14ac:dyDescent="0.15">
      <c r="A40" s="1106"/>
      <c r="B40" s="1106"/>
      <c r="C40" s="1106"/>
      <c r="D40" s="1106"/>
      <c r="E40" s="1125"/>
      <c r="F40" s="3089"/>
      <c r="G40" s="3090"/>
      <c r="H40" s="3090"/>
      <c r="I40" s="3090"/>
      <c r="J40" s="3090"/>
      <c r="K40" s="3091"/>
      <c r="L40" s="1136"/>
      <c r="R40" s="1105" t="s">
        <v>1567</v>
      </c>
      <c r="S40">
        <v>2</v>
      </c>
      <c r="U40" s="1105" t="s">
        <v>1601</v>
      </c>
      <c r="V40">
        <v>8.6999999999999993</v>
      </c>
    </row>
    <row r="41" spans="1:22" ht="12" thickBot="1" x14ac:dyDescent="0.2">
      <c r="A41" s="1106"/>
      <c r="B41" s="1111" t="s">
        <v>1602</v>
      </c>
      <c r="C41" s="1109">
        <f>+M41/C9</f>
        <v>3.0166666666666662</v>
      </c>
      <c r="D41" s="1109">
        <f>+N41/C9</f>
        <v>2.8749999999999996</v>
      </c>
      <c r="E41" s="1128"/>
      <c r="F41" s="3092"/>
      <c r="G41" s="3093"/>
      <c r="H41" s="3093"/>
      <c r="I41" s="3093"/>
      <c r="J41" s="3093"/>
      <c r="K41" s="3094"/>
      <c r="L41" s="1139"/>
      <c r="M41">
        <f>SUM(M29:M39)</f>
        <v>0.60333333333333328</v>
      </c>
      <c r="N41">
        <f>SUM(N29:N39)</f>
        <v>0.57499999999999996</v>
      </c>
    </row>
    <row r="42" spans="1:22" x14ac:dyDescent="0.15">
      <c r="A42" s="1106"/>
      <c r="B42" s="1106"/>
      <c r="C42" s="1106"/>
      <c r="D42" s="1106"/>
      <c r="E42" s="1125"/>
      <c r="F42" s="1136"/>
      <c r="G42" s="1136"/>
      <c r="H42" s="1136"/>
      <c r="I42" s="1136"/>
      <c r="J42" s="1136"/>
      <c r="K42" s="1136"/>
      <c r="L42" s="1136"/>
    </row>
    <row r="43" spans="1:22" x14ac:dyDescent="0.15">
      <c r="A43" s="3078" t="s">
        <v>547</v>
      </c>
      <c r="B43" s="3079"/>
      <c r="C43" s="1113">
        <f>+C41+C25</f>
        <v>5.4333333333333318</v>
      </c>
      <c r="D43" s="1114">
        <f>+D41+D25</f>
        <v>5.4166666666666661</v>
      </c>
      <c r="E43" s="1129"/>
      <c r="F43" s="1140"/>
      <c r="G43" s="1140"/>
      <c r="H43" s="1140"/>
      <c r="I43" s="1140"/>
      <c r="J43" s="1140"/>
      <c r="K43" s="1140"/>
      <c r="L43" s="1140"/>
    </row>
    <row r="44" spans="1:22" ht="12" thickBot="1" x14ac:dyDescent="0.2">
      <c r="A44" s="1106"/>
      <c r="B44" s="1106"/>
      <c r="C44" s="1106"/>
      <c r="D44" s="1106"/>
      <c r="E44" s="1125"/>
      <c r="F44" s="1136"/>
      <c r="G44" s="1136"/>
      <c r="H44" s="1136"/>
      <c r="I44" s="1136"/>
      <c r="J44" s="1136"/>
      <c r="K44" s="1136"/>
      <c r="L44" s="1136"/>
    </row>
    <row r="45" spans="1:22" ht="14.25" customHeight="1" x14ac:dyDescent="0.2">
      <c r="A45" s="3080" t="s">
        <v>1608</v>
      </c>
      <c r="B45" s="3081"/>
      <c r="C45" s="3081"/>
      <c r="D45" s="3082"/>
      <c r="E45" s="1123"/>
      <c r="F45" s="3095" t="s">
        <v>1729</v>
      </c>
      <c r="G45" s="3096"/>
      <c r="H45" s="3096"/>
      <c r="I45" s="3096"/>
      <c r="J45" s="3096"/>
      <c r="K45" s="3097"/>
      <c r="L45" s="1134"/>
    </row>
    <row r="46" spans="1:22" ht="11.25" customHeight="1" x14ac:dyDescent="0.15">
      <c r="A46" s="1111"/>
      <c r="B46" s="1111" t="s">
        <v>1570</v>
      </c>
      <c r="C46" s="1112">
        <v>0.15</v>
      </c>
      <c r="D46" s="1119"/>
      <c r="E46" s="1124"/>
      <c r="F46" s="3098"/>
      <c r="G46" s="3099"/>
      <c r="H46" s="3099"/>
      <c r="I46" s="3099"/>
      <c r="J46" s="3099"/>
      <c r="K46" s="3100"/>
      <c r="L46" s="1135"/>
      <c r="M46">
        <f>+C46/6</f>
        <v>2.4999999999999998E-2</v>
      </c>
      <c r="R46" s="1105" t="s">
        <v>1609</v>
      </c>
      <c r="S46">
        <v>6.5</v>
      </c>
      <c r="U46" s="1105" t="s">
        <v>1626</v>
      </c>
      <c r="V46">
        <v>2</v>
      </c>
    </row>
    <row r="47" spans="1:22" x14ac:dyDescent="0.15">
      <c r="A47" s="1106"/>
      <c r="B47" s="1106"/>
      <c r="C47" s="1106"/>
      <c r="D47" s="1106"/>
      <c r="E47" s="1125"/>
      <c r="F47" s="3098"/>
      <c r="G47" s="3099"/>
      <c r="H47" s="3099"/>
      <c r="I47" s="3099"/>
      <c r="J47" s="3099"/>
      <c r="K47" s="3100"/>
      <c r="L47" s="1136"/>
      <c r="R47" s="1105" t="s">
        <v>1610</v>
      </c>
      <c r="S47">
        <v>4</v>
      </c>
      <c r="U47" s="1105" t="s">
        <v>1625</v>
      </c>
      <c r="V47">
        <v>6.5</v>
      </c>
    </row>
    <row r="48" spans="1:22" x14ac:dyDescent="0.15">
      <c r="A48" s="1106"/>
      <c r="B48" s="1106"/>
      <c r="C48" s="1106"/>
      <c r="D48" s="1106"/>
      <c r="E48" s="1125"/>
      <c r="F48" s="3098"/>
      <c r="G48" s="3099"/>
      <c r="H48" s="3099"/>
      <c r="I48" s="3099"/>
      <c r="J48" s="3099"/>
      <c r="K48" s="3100"/>
      <c r="L48" s="1136"/>
      <c r="R48" s="1105" t="s">
        <v>1611</v>
      </c>
      <c r="S48">
        <v>2</v>
      </c>
      <c r="U48" s="1105" t="s">
        <v>1627</v>
      </c>
      <c r="V48">
        <v>8.6999999999999993</v>
      </c>
    </row>
    <row r="49" spans="1:22" x14ac:dyDescent="0.15">
      <c r="A49" s="1108" t="s">
        <v>1613</v>
      </c>
      <c r="B49" s="1107" t="s">
        <v>1612</v>
      </c>
      <c r="C49" s="1106">
        <f>+VLOOKUP(B49,R46:S49,2)</f>
        <v>8.6999999999999993</v>
      </c>
      <c r="D49" s="1107">
        <v>6</v>
      </c>
      <c r="E49" s="1127"/>
      <c r="F49" s="3098"/>
      <c r="G49" s="3099"/>
      <c r="H49" s="3099"/>
      <c r="I49" s="3099"/>
      <c r="J49" s="3099"/>
      <c r="K49" s="3100"/>
      <c r="L49" s="1138"/>
      <c r="M49">
        <f>+C49*$M$46</f>
        <v>0.21749999999999997</v>
      </c>
      <c r="N49">
        <f>+D49*$M$46</f>
        <v>0.15</v>
      </c>
      <c r="R49" s="1105" t="s">
        <v>1612</v>
      </c>
      <c r="S49">
        <v>8.6999999999999993</v>
      </c>
      <c r="U49" s="1105" t="s">
        <v>1628</v>
      </c>
      <c r="V49">
        <v>4</v>
      </c>
    </row>
    <row r="50" spans="1:22" x14ac:dyDescent="0.15">
      <c r="A50" s="1106"/>
      <c r="B50" s="1106"/>
      <c r="C50" s="1106"/>
      <c r="D50" s="1106"/>
      <c r="E50" s="1125"/>
      <c r="F50" s="3098"/>
      <c r="G50" s="3099"/>
      <c r="H50" s="3099"/>
      <c r="I50" s="3099"/>
      <c r="J50" s="3099"/>
      <c r="K50" s="3100"/>
      <c r="L50" s="1136"/>
      <c r="M50">
        <f t="shared" ref="M50:M59" si="0">+C50*$M$46</f>
        <v>0</v>
      </c>
      <c r="N50">
        <f t="shared" ref="N50:N59" si="1">+D50*$M$46</f>
        <v>0</v>
      </c>
    </row>
    <row r="51" spans="1:22" x14ac:dyDescent="0.15">
      <c r="A51" s="1108" t="s">
        <v>1614</v>
      </c>
      <c r="B51" s="1107" t="s">
        <v>1618</v>
      </c>
      <c r="C51" s="1106">
        <f>+VLOOKUP(B51,R51:S54,2)</f>
        <v>8.6999999999999993</v>
      </c>
      <c r="D51" s="1107">
        <v>6</v>
      </c>
      <c r="E51" s="1127"/>
      <c r="F51" s="3098"/>
      <c r="G51" s="3099"/>
      <c r="H51" s="3099"/>
      <c r="I51" s="3099"/>
      <c r="J51" s="3099"/>
      <c r="K51" s="3100"/>
      <c r="L51" s="1138"/>
      <c r="M51">
        <f t="shared" si="0"/>
        <v>0.21749999999999997</v>
      </c>
      <c r="N51">
        <f t="shared" si="1"/>
        <v>0.15</v>
      </c>
      <c r="R51" s="1105" t="s">
        <v>1615</v>
      </c>
      <c r="S51">
        <v>2</v>
      </c>
      <c r="U51" s="1105" t="s">
        <v>1630</v>
      </c>
      <c r="V51">
        <v>8.6999999999999993</v>
      </c>
    </row>
    <row r="52" spans="1:22" x14ac:dyDescent="0.15">
      <c r="A52" s="1106"/>
      <c r="B52" s="1106"/>
      <c r="C52" s="1106"/>
      <c r="D52" s="1106"/>
      <c r="E52" s="1125"/>
      <c r="F52" s="3098"/>
      <c r="G52" s="3099"/>
      <c r="H52" s="3099"/>
      <c r="I52" s="3099"/>
      <c r="J52" s="3099"/>
      <c r="K52" s="3100"/>
      <c r="L52" s="1136"/>
      <c r="M52">
        <f t="shared" si="0"/>
        <v>0</v>
      </c>
      <c r="N52">
        <f t="shared" si="1"/>
        <v>0</v>
      </c>
      <c r="R52" s="1105" t="s">
        <v>1616</v>
      </c>
      <c r="S52">
        <v>4</v>
      </c>
      <c r="U52" s="1105" t="s">
        <v>1631</v>
      </c>
      <c r="V52">
        <v>4</v>
      </c>
    </row>
    <row r="53" spans="1:22" x14ac:dyDescent="0.15">
      <c r="A53" s="1108" t="s">
        <v>1619</v>
      </c>
      <c r="B53" s="1107" t="s">
        <v>1623</v>
      </c>
      <c r="C53" s="1106">
        <f>+VLOOKUP(B53,R56:S59,2)</f>
        <v>8.6999999999999993</v>
      </c>
      <c r="D53" s="1107">
        <v>6</v>
      </c>
      <c r="E53" s="1127"/>
      <c r="F53" s="3098"/>
      <c r="G53" s="3099"/>
      <c r="H53" s="3099"/>
      <c r="I53" s="3099"/>
      <c r="J53" s="3099"/>
      <c r="K53" s="3100"/>
      <c r="L53" s="1138"/>
      <c r="M53">
        <f t="shared" si="0"/>
        <v>0.21749999999999997</v>
      </c>
      <c r="N53">
        <f t="shared" si="1"/>
        <v>0.15</v>
      </c>
      <c r="R53" s="1105" t="s">
        <v>1617</v>
      </c>
      <c r="S53">
        <v>6.5</v>
      </c>
      <c r="U53" s="1105" t="s">
        <v>1632</v>
      </c>
      <c r="V53">
        <v>6.5</v>
      </c>
    </row>
    <row r="54" spans="1:22" x14ac:dyDescent="0.15">
      <c r="A54" s="1106"/>
      <c r="B54" s="1106"/>
      <c r="C54" s="1106"/>
      <c r="D54" s="1106"/>
      <c r="E54" s="1125"/>
      <c r="F54" s="3098"/>
      <c r="G54" s="3099"/>
      <c r="H54" s="3099"/>
      <c r="I54" s="3099"/>
      <c r="J54" s="3099"/>
      <c r="K54" s="3100"/>
      <c r="L54" s="1136"/>
      <c r="M54">
        <f t="shared" si="0"/>
        <v>0</v>
      </c>
      <c r="N54">
        <f t="shared" si="1"/>
        <v>0</v>
      </c>
      <c r="R54" s="1105" t="s">
        <v>1618</v>
      </c>
      <c r="S54">
        <v>8.6999999999999993</v>
      </c>
      <c r="U54" s="1105" t="s">
        <v>1633</v>
      </c>
      <c r="V54">
        <v>2</v>
      </c>
    </row>
    <row r="55" spans="1:22" x14ac:dyDescent="0.15">
      <c r="A55" s="1108" t="s">
        <v>1624</v>
      </c>
      <c r="B55" s="1107" t="s">
        <v>1628</v>
      </c>
      <c r="C55" s="1106">
        <f>+VLOOKUP(B55,U46:V49,2)</f>
        <v>4</v>
      </c>
      <c r="D55" s="1107">
        <v>6</v>
      </c>
      <c r="E55" s="1127"/>
      <c r="F55" s="3098"/>
      <c r="G55" s="3099"/>
      <c r="H55" s="3099"/>
      <c r="I55" s="3099"/>
      <c r="J55" s="3099"/>
      <c r="K55" s="3100"/>
      <c r="L55" s="1138"/>
      <c r="M55">
        <f t="shared" si="0"/>
        <v>9.9999999999999992E-2</v>
      </c>
      <c r="N55">
        <f t="shared" si="1"/>
        <v>0.15</v>
      </c>
    </row>
    <row r="56" spans="1:22" x14ac:dyDescent="0.15">
      <c r="A56" s="1106"/>
      <c r="B56" s="1106"/>
      <c r="C56" s="1106"/>
      <c r="D56" s="1106"/>
      <c r="E56" s="1125"/>
      <c r="F56" s="3098"/>
      <c r="G56" s="3099"/>
      <c r="H56" s="3099"/>
      <c r="I56" s="3099"/>
      <c r="J56" s="3099"/>
      <c r="K56" s="3100"/>
      <c r="L56" s="1136"/>
      <c r="M56">
        <f t="shared" si="0"/>
        <v>0</v>
      </c>
      <c r="N56">
        <f t="shared" si="1"/>
        <v>0</v>
      </c>
      <c r="R56" s="1105" t="s">
        <v>1621</v>
      </c>
      <c r="S56">
        <v>2</v>
      </c>
      <c r="U56" s="1105" t="s">
        <v>1635</v>
      </c>
      <c r="V56">
        <v>2</v>
      </c>
    </row>
    <row r="57" spans="1:22" x14ac:dyDescent="0.15">
      <c r="A57" s="1108" t="s">
        <v>1629</v>
      </c>
      <c r="B57" s="1107" t="s">
        <v>1633</v>
      </c>
      <c r="C57" s="1106">
        <f>+VLOOKUP(B57,U51:V54,2)</f>
        <v>2</v>
      </c>
      <c r="D57" s="1107">
        <v>6</v>
      </c>
      <c r="E57" s="1127"/>
      <c r="F57" s="3098"/>
      <c r="G57" s="3099"/>
      <c r="H57" s="3099"/>
      <c r="I57" s="3099"/>
      <c r="J57" s="3099"/>
      <c r="K57" s="3100"/>
      <c r="L57" s="1138"/>
      <c r="M57">
        <f t="shared" si="0"/>
        <v>4.9999999999999996E-2</v>
      </c>
      <c r="N57">
        <f t="shared" si="1"/>
        <v>0.15</v>
      </c>
      <c r="R57" s="1105" t="s">
        <v>1620</v>
      </c>
      <c r="S57">
        <v>6.5</v>
      </c>
      <c r="U57" s="1105" t="s">
        <v>1636</v>
      </c>
      <c r="V57">
        <v>4</v>
      </c>
    </row>
    <row r="58" spans="1:22" x14ac:dyDescent="0.15">
      <c r="A58" s="1106"/>
      <c r="B58" s="1106"/>
      <c r="C58" s="1106"/>
      <c r="D58" s="1106"/>
      <c r="E58" s="1125"/>
      <c r="F58" s="3098"/>
      <c r="G58" s="3099"/>
      <c r="H58" s="3099"/>
      <c r="I58" s="3099"/>
      <c r="J58" s="3099"/>
      <c r="K58" s="3100"/>
      <c r="L58" s="1136"/>
      <c r="M58">
        <f t="shared" si="0"/>
        <v>0</v>
      </c>
      <c r="N58">
        <f t="shared" si="1"/>
        <v>0</v>
      </c>
      <c r="R58" s="1105" t="s">
        <v>1622</v>
      </c>
      <c r="S58">
        <v>4</v>
      </c>
      <c r="U58" s="1105" t="s">
        <v>1637</v>
      </c>
      <c r="V58">
        <v>6.5</v>
      </c>
    </row>
    <row r="59" spans="1:22" x14ac:dyDescent="0.15">
      <c r="A59" s="1108" t="s">
        <v>1634</v>
      </c>
      <c r="B59" s="1107" t="s">
        <v>1638</v>
      </c>
      <c r="C59" s="1106">
        <f>+VLOOKUP(B59,U56:V59,2)</f>
        <v>8.6999999999999993</v>
      </c>
      <c r="D59" s="1107">
        <v>6</v>
      </c>
      <c r="E59" s="1127"/>
      <c r="F59" s="3098"/>
      <c r="G59" s="3099"/>
      <c r="H59" s="3099"/>
      <c r="I59" s="3099"/>
      <c r="J59" s="3099"/>
      <c r="K59" s="3100"/>
      <c r="L59" s="1138"/>
      <c r="M59">
        <f t="shared" si="0"/>
        <v>0.21749999999999997</v>
      </c>
      <c r="N59">
        <f t="shared" si="1"/>
        <v>0.15</v>
      </c>
      <c r="R59" s="1105" t="s">
        <v>1623</v>
      </c>
      <c r="S59">
        <v>8.6999999999999993</v>
      </c>
      <c r="U59" s="1105" t="s">
        <v>1638</v>
      </c>
      <c r="V59">
        <v>8.6999999999999993</v>
      </c>
    </row>
    <row r="60" spans="1:22" x14ac:dyDescent="0.15">
      <c r="A60" s="1106"/>
      <c r="B60" s="1106"/>
      <c r="C60" s="1106"/>
      <c r="D60" s="1106"/>
      <c r="E60" s="1125"/>
      <c r="F60" s="3098"/>
      <c r="G60" s="3099"/>
      <c r="H60" s="3099"/>
      <c r="I60" s="3099"/>
      <c r="J60" s="3099"/>
      <c r="K60" s="3100"/>
      <c r="L60" s="1136"/>
    </row>
    <row r="61" spans="1:22" x14ac:dyDescent="0.15">
      <c r="A61" s="3078" t="s">
        <v>547</v>
      </c>
      <c r="B61" s="3079"/>
      <c r="C61" s="1113">
        <f>+M61/C46</f>
        <v>6.7999999999999989</v>
      </c>
      <c r="D61" s="1114">
        <f>+N61/C46</f>
        <v>6</v>
      </c>
      <c r="E61" s="1129"/>
      <c r="F61" s="3098"/>
      <c r="G61" s="3099"/>
      <c r="H61" s="3099"/>
      <c r="I61" s="3099"/>
      <c r="J61" s="3099"/>
      <c r="K61" s="3100"/>
      <c r="L61" s="1140"/>
      <c r="M61">
        <f>SUM(M49:M59)</f>
        <v>1.0199999999999998</v>
      </c>
      <c r="N61">
        <f>SUM(N49:N59)</f>
        <v>0.9</v>
      </c>
    </row>
    <row r="62" spans="1:22" x14ac:dyDescent="0.15">
      <c r="A62" s="1106"/>
      <c r="B62" s="1106"/>
      <c r="C62" s="1106"/>
      <c r="D62" s="1106"/>
      <c r="E62" s="1125"/>
      <c r="F62" s="3098"/>
      <c r="G62" s="3099"/>
      <c r="H62" s="3099"/>
      <c r="I62" s="3099"/>
      <c r="J62" s="3099"/>
      <c r="K62" s="3100"/>
      <c r="L62" s="1136"/>
    </row>
    <row r="63" spans="1:22" ht="14.25" x14ac:dyDescent="0.2">
      <c r="A63" s="3080" t="s">
        <v>1639</v>
      </c>
      <c r="B63" s="3081"/>
      <c r="C63" s="3081"/>
      <c r="D63" s="3082"/>
      <c r="E63" s="1123"/>
      <c r="F63" s="3098"/>
      <c r="G63" s="3099"/>
      <c r="H63" s="3099"/>
      <c r="I63" s="3099"/>
      <c r="J63" s="3099"/>
      <c r="K63" s="3100"/>
      <c r="L63" s="1134"/>
    </row>
    <row r="64" spans="1:22" ht="12" thickBot="1" x14ac:dyDescent="0.2">
      <c r="A64" s="1111"/>
      <c r="B64" s="1111" t="s">
        <v>1570</v>
      </c>
      <c r="C64" s="1112">
        <v>0.1</v>
      </c>
      <c r="D64" s="1119"/>
      <c r="E64" s="1124"/>
      <c r="F64" s="3101"/>
      <c r="G64" s="3102"/>
      <c r="H64" s="3102"/>
      <c r="I64" s="3102"/>
      <c r="J64" s="3102"/>
      <c r="K64" s="3103"/>
      <c r="L64" s="1135"/>
      <c r="M64">
        <f>+C64/4</f>
        <v>2.5000000000000001E-2</v>
      </c>
      <c r="R64" s="1105" t="s">
        <v>1644</v>
      </c>
      <c r="S64">
        <v>6.5</v>
      </c>
      <c r="U64" s="1105" t="s">
        <v>1652</v>
      </c>
      <c r="V64">
        <v>6.5</v>
      </c>
    </row>
    <row r="65" spans="1:22" ht="12" thickBot="1" x14ac:dyDescent="0.2">
      <c r="A65" s="1106"/>
      <c r="B65" s="1106"/>
      <c r="C65" s="1106"/>
      <c r="D65" s="1106"/>
      <c r="E65" s="1125"/>
      <c r="F65" s="1136"/>
      <c r="G65" s="1136"/>
      <c r="H65" s="1136"/>
      <c r="I65" s="1136"/>
      <c r="J65" s="1136"/>
      <c r="K65" s="1136"/>
      <c r="L65" s="1136"/>
      <c r="R65" s="1105" t="s">
        <v>1645</v>
      </c>
      <c r="S65">
        <v>8.6999999999999993</v>
      </c>
      <c r="U65" s="1105" t="s">
        <v>1653</v>
      </c>
      <c r="V65">
        <v>4</v>
      </c>
    </row>
    <row r="66" spans="1:22" x14ac:dyDescent="0.15">
      <c r="A66" s="1106"/>
      <c r="B66" s="1106"/>
      <c r="C66" s="1106"/>
      <c r="D66" s="1106"/>
      <c r="E66" s="1125"/>
      <c r="F66" s="3104" t="s">
        <v>1730</v>
      </c>
      <c r="G66" s="3105"/>
      <c r="H66" s="3105"/>
      <c r="I66" s="3105"/>
      <c r="J66" s="3105"/>
      <c r="K66" s="3106"/>
      <c r="L66" s="1136"/>
      <c r="R66" s="1105" t="s">
        <v>1646</v>
      </c>
      <c r="S66">
        <v>2</v>
      </c>
      <c r="U66" s="1105" t="s">
        <v>1654</v>
      </c>
      <c r="V66">
        <v>8.6999999999999993</v>
      </c>
    </row>
    <row r="67" spans="1:22" x14ac:dyDescent="0.15">
      <c r="A67" s="1108" t="s">
        <v>1640</v>
      </c>
      <c r="B67" s="1107" t="s">
        <v>1647</v>
      </c>
      <c r="C67" s="1106">
        <f>+VLOOKUP(B67,R64:S67,2)</f>
        <v>4</v>
      </c>
      <c r="D67" s="1107">
        <v>6</v>
      </c>
      <c r="E67" s="1127"/>
      <c r="F67" s="3107"/>
      <c r="G67" s="3108"/>
      <c r="H67" s="3108"/>
      <c r="I67" s="3108"/>
      <c r="J67" s="3108"/>
      <c r="K67" s="3109"/>
      <c r="L67" s="1138"/>
      <c r="M67">
        <f>+C67*$M$64</f>
        <v>0.1</v>
      </c>
      <c r="N67">
        <f>+D67*$M$64</f>
        <v>0.15000000000000002</v>
      </c>
      <c r="R67" s="1105" t="s">
        <v>1647</v>
      </c>
      <c r="S67">
        <v>4</v>
      </c>
      <c r="U67" s="1105" t="s">
        <v>1655</v>
      </c>
      <c r="V67">
        <v>2</v>
      </c>
    </row>
    <row r="68" spans="1:22" x14ac:dyDescent="0.15">
      <c r="A68" s="1106"/>
      <c r="B68" s="1106"/>
      <c r="C68" s="1106"/>
      <c r="D68" s="1106"/>
      <c r="E68" s="1125"/>
      <c r="F68" s="3107"/>
      <c r="G68" s="3108"/>
      <c r="H68" s="3108"/>
      <c r="I68" s="3108"/>
      <c r="J68" s="3108"/>
      <c r="K68" s="3109"/>
      <c r="L68" s="1136"/>
      <c r="M68">
        <f t="shared" ref="M68:M73" si="2">+C68*$M$64</f>
        <v>0</v>
      </c>
      <c r="N68">
        <f t="shared" ref="N68:N73" si="3">+D68*$M$64</f>
        <v>0</v>
      </c>
    </row>
    <row r="69" spans="1:22" x14ac:dyDescent="0.15">
      <c r="A69" s="1108" t="s">
        <v>1641</v>
      </c>
      <c r="B69" s="1107" t="s">
        <v>1651</v>
      </c>
      <c r="C69" s="1106">
        <f>+VLOOKUP(B69,R69:S72,2)</f>
        <v>8.6999999999999993</v>
      </c>
      <c r="D69" s="1107">
        <v>6</v>
      </c>
      <c r="E69" s="1127"/>
      <c r="F69" s="3107"/>
      <c r="G69" s="3108"/>
      <c r="H69" s="3108"/>
      <c r="I69" s="3108"/>
      <c r="J69" s="3108"/>
      <c r="K69" s="3109"/>
      <c r="L69" s="1138"/>
      <c r="M69">
        <f t="shared" si="2"/>
        <v>0.2175</v>
      </c>
      <c r="N69">
        <f t="shared" si="3"/>
        <v>0.15000000000000002</v>
      </c>
      <c r="R69" s="1105" t="s">
        <v>1648</v>
      </c>
      <c r="S69">
        <v>6.5</v>
      </c>
      <c r="U69" s="1105" t="s">
        <v>1656</v>
      </c>
      <c r="V69">
        <v>2</v>
      </c>
    </row>
    <row r="70" spans="1:22" x14ac:dyDescent="0.15">
      <c r="A70" s="1106"/>
      <c r="B70" s="1106"/>
      <c r="C70" s="1106"/>
      <c r="D70" s="1106"/>
      <c r="E70" s="1125"/>
      <c r="F70" s="3107"/>
      <c r="G70" s="3108"/>
      <c r="H70" s="3108"/>
      <c r="I70" s="3108"/>
      <c r="J70" s="3108"/>
      <c r="K70" s="3109"/>
      <c r="L70" s="1136"/>
      <c r="M70">
        <f t="shared" si="2"/>
        <v>0</v>
      </c>
      <c r="N70">
        <f t="shared" si="3"/>
        <v>0</v>
      </c>
      <c r="R70" s="1105" t="s">
        <v>1649</v>
      </c>
      <c r="S70">
        <v>4</v>
      </c>
      <c r="U70" s="1105" t="s">
        <v>1657</v>
      </c>
      <c r="V70">
        <v>8.6999999999999993</v>
      </c>
    </row>
    <row r="71" spans="1:22" x14ac:dyDescent="0.15">
      <c r="A71" s="1108" t="s">
        <v>1642</v>
      </c>
      <c r="B71" s="1107" t="s">
        <v>1655</v>
      </c>
      <c r="C71" s="1106">
        <f>+VLOOKUP(B71,U64:V67,2)</f>
        <v>2</v>
      </c>
      <c r="D71" s="1107">
        <v>6</v>
      </c>
      <c r="E71" s="1127"/>
      <c r="F71" s="3107"/>
      <c r="G71" s="3108"/>
      <c r="H71" s="3108"/>
      <c r="I71" s="3108"/>
      <c r="J71" s="3108"/>
      <c r="K71" s="3109"/>
      <c r="L71" s="1138"/>
      <c r="M71">
        <f t="shared" si="2"/>
        <v>0.05</v>
      </c>
      <c r="N71">
        <f t="shared" si="3"/>
        <v>0.15000000000000002</v>
      </c>
      <c r="R71" s="1105" t="s">
        <v>1650</v>
      </c>
      <c r="S71">
        <v>2</v>
      </c>
      <c r="U71" s="1105" t="s">
        <v>1658</v>
      </c>
      <c r="V71">
        <v>6.5</v>
      </c>
    </row>
    <row r="72" spans="1:22" x14ac:dyDescent="0.15">
      <c r="A72" s="1106"/>
      <c r="B72" s="1106"/>
      <c r="C72" s="1106"/>
      <c r="D72" s="1106"/>
      <c r="E72" s="1125"/>
      <c r="F72" s="3107"/>
      <c r="G72" s="3108"/>
      <c r="H72" s="3108"/>
      <c r="I72" s="3108"/>
      <c r="J72" s="3108"/>
      <c r="K72" s="3109"/>
      <c r="L72" s="1136"/>
      <c r="M72">
        <f t="shared" si="2"/>
        <v>0</v>
      </c>
      <c r="N72">
        <f t="shared" si="3"/>
        <v>0</v>
      </c>
      <c r="R72" s="1105" t="s">
        <v>1651</v>
      </c>
      <c r="S72">
        <v>8.6999999999999993</v>
      </c>
      <c r="U72" s="1105" t="s">
        <v>1659</v>
      </c>
      <c r="V72">
        <v>4</v>
      </c>
    </row>
    <row r="73" spans="1:22" x14ac:dyDescent="0.15">
      <c r="A73" s="1108" t="s">
        <v>1643</v>
      </c>
      <c r="B73" s="1107" t="s">
        <v>1659</v>
      </c>
      <c r="C73" s="1106">
        <f>+VLOOKUP(B73,U69:V72,2)</f>
        <v>4</v>
      </c>
      <c r="D73" s="1107">
        <v>6</v>
      </c>
      <c r="E73" s="1127"/>
      <c r="F73" s="3107"/>
      <c r="G73" s="3108"/>
      <c r="H73" s="3108"/>
      <c r="I73" s="3108"/>
      <c r="J73" s="3108"/>
      <c r="K73" s="3109"/>
      <c r="L73" s="1138"/>
      <c r="M73">
        <f t="shared" si="2"/>
        <v>0.1</v>
      </c>
      <c r="N73">
        <f t="shared" si="3"/>
        <v>0.15000000000000002</v>
      </c>
    </row>
    <row r="74" spans="1:22" x14ac:dyDescent="0.15">
      <c r="A74" s="1106"/>
      <c r="B74" s="1106"/>
      <c r="C74" s="1106"/>
      <c r="D74" s="1106"/>
      <c r="E74" s="1125"/>
      <c r="F74" s="3107"/>
      <c r="G74" s="3108"/>
      <c r="H74" s="3108"/>
      <c r="I74" s="3108"/>
      <c r="J74" s="3108"/>
      <c r="K74" s="3109"/>
      <c r="L74" s="1136"/>
    </row>
    <row r="75" spans="1:22" x14ac:dyDescent="0.15">
      <c r="A75" s="3078" t="s">
        <v>547</v>
      </c>
      <c r="B75" s="3079"/>
      <c r="C75" s="1113">
        <f>+M75/C64</f>
        <v>4.6749999999999998</v>
      </c>
      <c r="D75" s="1114">
        <f>+N75/C64</f>
        <v>6.0000000000000009</v>
      </c>
      <c r="E75" s="1129"/>
      <c r="F75" s="3107"/>
      <c r="G75" s="3108"/>
      <c r="H75" s="3108"/>
      <c r="I75" s="3108"/>
      <c r="J75" s="3108"/>
      <c r="K75" s="3109"/>
      <c r="L75" s="1140"/>
      <c r="M75">
        <f>SUM(M67:M74)</f>
        <v>0.46750000000000003</v>
      </c>
      <c r="N75">
        <f>SUM(N67:N74)</f>
        <v>0.60000000000000009</v>
      </c>
    </row>
    <row r="76" spans="1:22" ht="12" thickBot="1" x14ac:dyDescent="0.2">
      <c r="A76" s="1106"/>
      <c r="B76" s="1106"/>
      <c r="C76" s="1106"/>
      <c r="D76" s="1106"/>
      <c r="E76" s="1125"/>
      <c r="F76" s="3110"/>
      <c r="G76" s="3111"/>
      <c r="H76" s="3111"/>
      <c r="I76" s="3111"/>
      <c r="J76" s="3111"/>
      <c r="K76" s="3112"/>
      <c r="L76" s="1136"/>
    </row>
    <row r="77" spans="1:22" ht="14.25" x14ac:dyDescent="0.2">
      <c r="A77" s="3080" t="s">
        <v>1660</v>
      </c>
      <c r="B77" s="3081"/>
      <c r="C77" s="3081"/>
      <c r="D77" s="3082"/>
    </row>
    <row r="78" spans="1:22" x14ac:dyDescent="0.15">
      <c r="A78" s="1111"/>
      <c r="B78" s="1111" t="s">
        <v>1570</v>
      </c>
      <c r="C78" s="1112">
        <v>0.15</v>
      </c>
      <c r="D78" s="1119"/>
      <c r="M78">
        <f>+C78/3</f>
        <v>4.9999999999999996E-2</v>
      </c>
      <c r="R78" s="1105" t="s">
        <v>1664</v>
      </c>
      <c r="S78">
        <v>8.6999999999999993</v>
      </c>
      <c r="U78" s="1105" t="s">
        <v>1670</v>
      </c>
      <c r="V78">
        <v>6.5</v>
      </c>
    </row>
    <row r="79" spans="1:22" ht="12" thickBot="1" x14ac:dyDescent="0.2">
      <c r="A79" s="1106"/>
      <c r="B79" s="1106"/>
      <c r="C79" s="1106"/>
      <c r="D79" s="1106"/>
      <c r="R79" s="1105" t="s">
        <v>1665</v>
      </c>
      <c r="S79">
        <v>4</v>
      </c>
      <c r="U79" s="1105" t="s">
        <v>1671</v>
      </c>
      <c r="V79">
        <v>8.6999999999999993</v>
      </c>
    </row>
    <row r="80" spans="1:22" ht="12" thickBot="1" x14ac:dyDescent="0.2">
      <c r="A80" s="1106"/>
      <c r="B80" s="1106"/>
      <c r="C80" s="1106"/>
      <c r="D80" s="1106"/>
      <c r="F80" s="1154"/>
      <c r="G80" s="1156">
        <f>+'Resumen Cuadros'!B22</f>
        <v>42735</v>
      </c>
      <c r="H80" s="1157">
        <f>+'Resumen Cuadros'!C22</f>
        <v>43100</v>
      </c>
      <c r="I80" s="1157">
        <f>+'Resumen Cuadros'!D22</f>
        <v>43465</v>
      </c>
      <c r="J80" s="1157">
        <f>+'Resumen Cuadros'!E22</f>
        <v>43281</v>
      </c>
      <c r="K80" s="1158">
        <f>+'Resumen Cuadros'!F22</f>
        <v>43646</v>
      </c>
      <c r="R80" s="1105" t="s">
        <v>1666</v>
      </c>
      <c r="S80">
        <v>2</v>
      </c>
      <c r="U80" s="1105" t="s">
        <v>1673</v>
      </c>
      <c r="V80">
        <v>4</v>
      </c>
    </row>
    <row r="81" spans="1:22" x14ac:dyDescent="0.15">
      <c r="A81" s="1108" t="s">
        <v>1661</v>
      </c>
      <c r="B81" s="1107" t="s">
        <v>1667</v>
      </c>
      <c r="C81" s="1106">
        <f>+VLOOKUP(B81,R78:S81,2)</f>
        <v>6.5</v>
      </c>
      <c r="D81" s="1107">
        <v>6</v>
      </c>
      <c r="F81" s="1164" t="s">
        <v>378</v>
      </c>
      <c r="G81" s="1159" t="str">
        <f>+'Resumen Cuadros'!B26</f>
        <v/>
      </c>
      <c r="H81" s="1160" t="str">
        <f>+'Resumen Cuadros'!C26</f>
        <v/>
      </c>
      <c r="I81" s="1160" t="str">
        <f>+'Resumen Cuadros'!D26</f>
        <v/>
      </c>
      <c r="J81" s="1160" t="str">
        <f>+'Resumen Cuadros'!E26</f>
        <v/>
      </c>
      <c r="K81" s="1161" t="str">
        <f>+'Resumen Cuadros'!F26</f>
        <v/>
      </c>
      <c r="M81">
        <f>+C81*$M$78</f>
        <v>0.32499999999999996</v>
      </c>
      <c r="N81">
        <f>+D81*$M$78</f>
        <v>0.3</v>
      </c>
      <c r="R81" s="1105" t="s">
        <v>1667</v>
      </c>
      <c r="S81">
        <v>6.5</v>
      </c>
      <c r="U81" s="1105" t="s">
        <v>1672</v>
      </c>
      <c r="V81">
        <v>2</v>
      </c>
    </row>
    <row r="82" spans="1:22" x14ac:dyDescent="0.15">
      <c r="A82" s="1106"/>
      <c r="B82" s="1106"/>
      <c r="C82" s="1106"/>
      <c r="D82" s="1106"/>
      <c r="F82" s="1165" t="s">
        <v>376</v>
      </c>
      <c r="G82" s="1146" t="str">
        <f>+'Resumen Cuadros'!B27</f>
        <v/>
      </c>
      <c r="H82" s="1147" t="str">
        <f>+'Resumen Cuadros'!C27</f>
        <v/>
      </c>
      <c r="I82" s="1147" t="str">
        <f>+'Resumen Cuadros'!D27</f>
        <v/>
      </c>
      <c r="J82" s="1147" t="str">
        <f>+'Resumen Cuadros'!E27</f>
        <v/>
      </c>
      <c r="K82" s="1148" t="str">
        <f>+'Resumen Cuadros'!F27</f>
        <v/>
      </c>
      <c r="M82">
        <f t="shared" ref="M82:M85" si="4">+C82*$M$78</f>
        <v>0</v>
      </c>
      <c r="N82">
        <f t="shared" ref="N82:N85" si="5">+D82*$M$78</f>
        <v>0</v>
      </c>
    </row>
    <row r="83" spans="1:22" x14ac:dyDescent="0.15">
      <c r="A83" s="1108" t="s">
        <v>1662</v>
      </c>
      <c r="B83" s="1107" t="s">
        <v>1674</v>
      </c>
      <c r="C83" s="1106">
        <f>+VLOOKUP(B83,R83:S86,2)</f>
        <v>6.5</v>
      </c>
      <c r="D83" s="1107">
        <v>6</v>
      </c>
      <c r="F83" s="1165" t="s">
        <v>1715</v>
      </c>
      <c r="G83" s="1146">
        <f>+'Resumen Cuadros'!B24</f>
        <v>0</v>
      </c>
      <c r="H83" s="1147">
        <f>+'Resumen Cuadros'!C24</f>
        <v>0</v>
      </c>
      <c r="I83" s="1147">
        <f>+'Resumen Cuadros'!D24</f>
        <v>0</v>
      </c>
      <c r="J83" s="1147">
        <f>+'Resumen Cuadros'!E24</f>
        <v>0</v>
      </c>
      <c r="K83" s="1148">
        <f>+'Resumen Cuadros'!F24</f>
        <v>0</v>
      </c>
      <c r="M83">
        <f t="shared" si="4"/>
        <v>0.32499999999999996</v>
      </c>
      <c r="N83">
        <f t="shared" si="5"/>
        <v>0.3</v>
      </c>
      <c r="R83" s="1105" t="s">
        <v>1668</v>
      </c>
      <c r="S83">
        <v>4</v>
      </c>
    </row>
    <row r="84" spans="1:22" x14ac:dyDescent="0.15">
      <c r="A84" s="1106"/>
      <c r="B84" s="1106"/>
      <c r="C84" s="1106"/>
      <c r="D84" s="1106"/>
      <c r="F84" s="1165" t="s">
        <v>1717</v>
      </c>
      <c r="G84" s="1146">
        <f>+'Resumen Cuadros'!B23</f>
        <v>0</v>
      </c>
      <c r="H84" s="1147">
        <f>+'Resumen Cuadros'!C23</f>
        <v>0</v>
      </c>
      <c r="I84" s="1147">
        <f>+'Resumen Cuadros'!D23</f>
        <v>0</v>
      </c>
      <c r="J84" s="1147">
        <f>+'Resumen Cuadros'!E23</f>
        <v>0</v>
      </c>
      <c r="K84" s="1148">
        <f>+'Resumen Cuadros'!F23</f>
        <v>0</v>
      </c>
      <c r="M84">
        <f t="shared" si="4"/>
        <v>0</v>
      </c>
      <c r="N84">
        <f t="shared" si="5"/>
        <v>0</v>
      </c>
      <c r="R84" s="1105" t="s">
        <v>1669</v>
      </c>
      <c r="S84">
        <v>8.6999999999999993</v>
      </c>
    </row>
    <row r="85" spans="1:22" x14ac:dyDescent="0.15">
      <c r="A85" s="1108" t="s">
        <v>1663</v>
      </c>
      <c r="B85" s="1107" t="s">
        <v>1672</v>
      </c>
      <c r="C85" s="1106">
        <f>+VLOOKUP(B85,U78:V81,2)</f>
        <v>2</v>
      </c>
      <c r="D85" s="1107">
        <v>6</v>
      </c>
      <c r="F85" s="1165" t="s">
        <v>455</v>
      </c>
      <c r="G85" s="1146">
        <f>+'Resumen Cuadros'!B25</f>
        <v>0</v>
      </c>
      <c r="H85" s="1147">
        <f>+'Resumen Cuadros'!C25</f>
        <v>0</v>
      </c>
      <c r="I85" s="1147">
        <f>+'Resumen Cuadros'!D25</f>
        <v>0</v>
      </c>
      <c r="J85" s="1147">
        <f>+'Resumen Cuadros'!E25</f>
        <v>0</v>
      </c>
      <c r="K85" s="1148">
        <f>+'Resumen Cuadros'!F25</f>
        <v>0</v>
      </c>
      <c r="M85">
        <f t="shared" si="4"/>
        <v>9.9999999999999992E-2</v>
      </c>
      <c r="N85">
        <f t="shared" si="5"/>
        <v>0.3</v>
      </c>
      <c r="R85" s="1105" t="s">
        <v>1675</v>
      </c>
      <c r="S85">
        <v>2</v>
      </c>
    </row>
    <row r="86" spans="1:22" ht="12" thickBot="1" x14ac:dyDescent="0.2">
      <c r="A86" s="1106"/>
      <c r="B86" s="1106"/>
      <c r="C86" s="1106"/>
      <c r="D86" s="1106"/>
      <c r="F86" s="1166" t="s">
        <v>1723</v>
      </c>
      <c r="G86" s="1151" t="e">
        <f>+'Info Entrada'!C161/'Info Entrada'!C163</f>
        <v>#DIV/0!</v>
      </c>
      <c r="H86" s="1152" t="e">
        <f>+'Info Entrada'!D161/'Info Entrada'!D163</f>
        <v>#DIV/0!</v>
      </c>
      <c r="I86" s="1152" t="e">
        <f>+'Info Entrada'!E161/'Info Entrada'!E163</f>
        <v>#DIV/0!</v>
      </c>
      <c r="J86" s="1152" t="e">
        <f>+'Info Entrada'!F161/'Info Entrada'!F163</f>
        <v>#DIV/0!</v>
      </c>
      <c r="K86" s="1153" t="e">
        <f>+'Info Entrada'!G161/'Info Entrada'!G163</f>
        <v>#DIV/0!</v>
      </c>
      <c r="R86" s="1105" t="s">
        <v>1674</v>
      </c>
      <c r="S86">
        <v>6.5</v>
      </c>
    </row>
    <row r="87" spans="1:22" x14ac:dyDescent="0.15">
      <c r="A87" s="3078" t="s">
        <v>547</v>
      </c>
      <c r="B87" s="3079"/>
      <c r="C87" s="1113">
        <f>+M87/C78</f>
        <v>4.9999999999999991</v>
      </c>
      <c r="D87" s="1114">
        <f>+N87/C78</f>
        <v>6</v>
      </c>
      <c r="M87">
        <f>SUM(M81:M86)</f>
        <v>0.74999999999999989</v>
      </c>
      <c r="N87">
        <f>SUM(N81:N86)</f>
        <v>0.89999999999999991</v>
      </c>
    </row>
    <row r="88" spans="1:22" x14ac:dyDescent="0.15">
      <c r="A88" s="1106"/>
      <c r="B88" s="1106"/>
      <c r="C88" s="1106"/>
      <c r="D88" s="1106"/>
    </row>
    <row r="89" spans="1:22" ht="14.25" x14ac:dyDescent="0.2">
      <c r="A89" s="3080" t="s">
        <v>1676</v>
      </c>
      <c r="B89" s="3081"/>
      <c r="C89" s="3081"/>
      <c r="D89" s="3082"/>
      <c r="E89" s="1123"/>
      <c r="F89" s="1134"/>
      <c r="G89" s="1134"/>
      <c r="H89" s="1134"/>
      <c r="I89" s="1134"/>
      <c r="J89" s="1134"/>
      <c r="K89" s="1134"/>
      <c r="L89" s="1134"/>
    </row>
    <row r="90" spans="1:22" ht="12" thickBot="1" x14ac:dyDescent="0.2">
      <c r="A90" s="1111"/>
      <c r="B90" s="1111" t="s">
        <v>1570</v>
      </c>
      <c r="C90" s="1112">
        <v>0.25</v>
      </c>
      <c r="D90" s="1119"/>
      <c r="E90" s="1124"/>
      <c r="F90" s="1135"/>
      <c r="G90" s="1135"/>
      <c r="H90" s="1135"/>
      <c r="I90" s="1135"/>
      <c r="J90" s="1135"/>
      <c r="K90" s="1135"/>
      <c r="L90" s="1135"/>
      <c r="M90">
        <f>+C90/3</f>
        <v>8.3333333333333329E-2</v>
      </c>
      <c r="R90" s="1105" t="s">
        <v>1680</v>
      </c>
      <c r="S90">
        <v>4</v>
      </c>
      <c r="U90" s="1105" t="s">
        <v>1689</v>
      </c>
      <c r="V90">
        <v>4</v>
      </c>
    </row>
    <row r="91" spans="1:22" ht="12" thickBot="1" x14ac:dyDescent="0.2">
      <c r="A91" s="1106"/>
      <c r="B91" s="1106"/>
      <c r="C91" s="1106"/>
      <c r="D91" s="1106"/>
      <c r="E91" s="1125"/>
      <c r="F91" s="1145"/>
      <c r="G91" s="1156">
        <f>+G80</f>
        <v>42735</v>
      </c>
      <c r="H91" s="1157">
        <f t="shared" ref="H91:K91" si="6">+H80</f>
        <v>43100</v>
      </c>
      <c r="I91" s="1157">
        <f t="shared" si="6"/>
        <v>43465</v>
      </c>
      <c r="J91" s="1157">
        <f t="shared" si="6"/>
        <v>43281</v>
      </c>
      <c r="K91" s="1158">
        <f t="shared" si="6"/>
        <v>43646</v>
      </c>
      <c r="L91" s="1136"/>
      <c r="R91" s="1105" t="s">
        <v>1681</v>
      </c>
      <c r="S91">
        <v>2</v>
      </c>
      <c r="T91" s="1105" t="s">
        <v>303</v>
      </c>
      <c r="U91" s="1105" t="s">
        <v>1690</v>
      </c>
      <c r="V91">
        <v>6.5</v>
      </c>
    </row>
    <row r="92" spans="1:22" x14ac:dyDescent="0.15">
      <c r="A92" s="1106"/>
      <c r="B92" s="1106"/>
      <c r="C92" s="1106"/>
      <c r="D92" s="1106"/>
      <c r="E92" s="1125"/>
      <c r="F92" s="1168" t="s">
        <v>1718</v>
      </c>
      <c r="G92" s="1177" t="e">
        <f>+('Info Entrada'!C215+'Info Entrada'!C216+'Info Entrada'!C228+'Info Entrada'!C229)/'Info Entrada'!C168</f>
        <v>#DIV/0!</v>
      </c>
      <c r="H92" s="1169" t="e">
        <f>+('Info Entrada'!D215+'Info Entrada'!D216+'Info Entrada'!D228+'Info Entrada'!D229)/'Info Entrada'!D168</f>
        <v>#DIV/0!</v>
      </c>
      <c r="I92" s="1169" t="e">
        <f>+('Info Entrada'!E215+'Info Entrada'!E216+'Info Entrada'!E228+'Info Entrada'!E229)/'Info Entrada'!E168</f>
        <v>#DIV/0!</v>
      </c>
      <c r="J92" s="1179" t="e">
        <f>+('Info Entrada'!F215+'Info Entrada'!F216+'Info Entrada'!F228+'Info Entrada'!F229)/('Info Entrada'!F168*12/MONTH(J91))</f>
        <v>#DIV/0!</v>
      </c>
      <c r="K92" s="1180" t="e">
        <f>+('Info Entrada'!G215+'Info Entrada'!G216+'Info Entrada'!G228+'Info Entrada'!G229)/('Info Entrada'!G168*12/MONTH(K91))</f>
        <v>#DIV/0!</v>
      </c>
      <c r="L92" s="1136"/>
      <c r="R92" s="1105" t="s">
        <v>1682</v>
      </c>
      <c r="S92">
        <v>8.6999999999999993</v>
      </c>
      <c r="U92" s="1105" t="s">
        <v>1691</v>
      </c>
      <c r="V92">
        <v>8.6999999999999993</v>
      </c>
    </row>
    <row r="93" spans="1:22" x14ac:dyDescent="0.15">
      <c r="A93" s="1108" t="s">
        <v>1677</v>
      </c>
      <c r="B93" s="1107" t="s">
        <v>1683</v>
      </c>
      <c r="C93" s="1106">
        <f>+VLOOKUP(B93,R90:S93,2)</f>
        <v>6.5</v>
      </c>
      <c r="D93" s="1107">
        <v>6</v>
      </c>
      <c r="E93" s="1127"/>
      <c r="F93" s="1170" t="s">
        <v>1692</v>
      </c>
      <c r="G93" s="1170" t="s">
        <v>953</v>
      </c>
      <c r="H93" s="1138" t="e">
        <f ca="1">+'Resumen Cuadros'!L30/'Resumen Cuadros'!C17</f>
        <v>#DIV/0!</v>
      </c>
      <c r="I93" s="1138" t="e">
        <f ca="1">+'Resumen Cuadros'!M30/'Resumen Cuadros'!D17</f>
        <v>#DIV/0!</v>
      </c>
      <c r="J93" s="1138" t="e">
        <f>+'Resumen Cuadros'!#REF!/'Resumen Cuadros'!E17</f>
        <v>#REF!</v>
      </c>
      <c r="K93" s="1171" t="e">
        <f ca="1">+'Resumen Cuadros'!N30/'Resumen Cuadros'!F17</f>
        <v>#DIV/0!</v>
      </c>
      <c r="L93" s="1138"/>
      <c r="M93">
        <f>+C93*$M$90</f>
        <v>0.54166666666666663</v>
      </c>
      <c r="N93">
        <f>+D93*$M$90</f>
        <v>0.5</v>
      </c>
      <c r="R93" s="1105" t="s">
        <v>1683</v>
      </c>
      <c r="S93">
        <v>6.5</v>
      </c>
      <c r="U93" s="1105" t="s">
        <v>1688</v>
      </c>
      <c r="V93">
        <v>2</v>
      </c>
    </row>
    <row r="94" spans="1:22" x14ac:dyDescent="0.15">
      <c r="A94" s="1106"/>
      <c r="B94" s="1106"/>
      <c r="C94" s="1106"/>
      <c r="D94" s="1106"/>
      <c r="E94" s="1125"/>
      <c r="F94" s="1172" t="s">
        <v>1719</v>
      </c>
      <c r="G94" s="1178" t="e">
        <f>+Indicadores!D14</f>
        <v>#DIV/0!</v>
      </c>
      <c r="H94" s="1136" t="e">
        <f>+Indicadores!E14</f>
        <v>#DIV/0!</v>
      </c>
      <c r="I94" s="1136" t="e">
        <f>+Indicadores!F14</f>
        <v>#DIV/0!</v>
      </c>
      <c r="J94" s="1136" t="e">
        <f>+Indicadores!G14</f>
        <v>#DIV/0!</v>
      </c>
      <c r="K94" s="1173" t="e">
        <f>+Indicadores!H14</f>
        <v>#DIV/0!</v>
      </c>
      <c r="L94" s="1136"/>
      <c r="M94">
        <f t="shared" ref="M94:N98" si="7">+C94*$M$90</f>
        <v>0</v>
      </c>
      <c r="N94">
        <f t="shared" si="7"/>
        <v>0</v>
      </c>
    </row>
    <row r="95" spans="1:22" x14ac:dyDescent="0.15">
      <c r="A95" s="1108" t="s">
        <v>1678</v>
      </c>
      <c r="B95" s="1107" t="s">
        <v>1687</v>
      </c>
      <c r="C95" s="1106">
        <f>+VLOOKUP(B95,R95:S98,2)</f>
        <v>4</v>
      </c>
      <c r="D95" s="1107">
        <v>6</v>
      </c>
      <c r="E95" s="1127"/>
      <c r="F95" s="1170" t="s">
        <v>1721</v>
      </c>
      <c r="G95" s="1170" t="s">
        <v>953</v>
      </c>
      <c r="H95" s="1136" t="e">
        <f>+'Resumen Cuadros'!L44/('Info Entrada'!D215+'Info Entrada'!D216+'Info Entrada'!D228+'Info Entrada'!D229)</f>
        <v>#DIV/0!</v>
      </c>
      <c r="I95" s="1136" t="e">
        <f>+'Resumen Cuadros'!M44/('Info Entrada'!E215+'Info Entrada'!E216+'Info Entrada'!E228+'Info Entrada'!E229)</f>
        <v>#DIV/0!</v>
      </c>
      <c r="J95" s="1136" t="e">
        <f>+'Resumen Cuadros'!#REF!/('Info Entrada'!F215+'Info Entrada'!F216+'Info Entrada'!F228+'Info Entrada'!F229)</f>
        <v>#REF!</v>
      </c>
      <c r="K95" s="1173" t="e">
        <f>+'Resumen Cuadros'!N44/('Info Entrada'!G215+'Info Entrada'!G216+'Info Entrada'!G228+'Info Entrada'!G229)</f>
        <v>#DIV/0!</v>
      </c>
      <c r="L95" s="1138"/>
      <c r="M95">
        <f t="shared" si="7"/>
        <v>0.33333333333333331</v>
      </c>
      <c r="N95">
        <f t="shared" si="7"/>
        <v>0.5</v>
      </c>
      <c r="R95" s="1105" t="s">
        <v>1684</v>
      </c>
      <c r="S95">
        <v>8.6999999999999993</v>
      </c>
      <c r="U95" s="1105" t="s">
        <v>1689</v>
      </c>
      <c r="V95">
        <v>4</v>
      </c>
    </row>
    <row r="96" spans="1:22" ht="12" thickBot="1" x14ac:dyDescent="0.2">
      <c r="A96" s="1106"/>
      <c r="B96" s="1106"/>
      <c r="C96" s="1106"/>
      <c r="D96" s="1106"/>
      <c r="E96" s="1125"/>
      <c r="F96" s="1174" t="s">
        <v>1722</v>
      </c>
      <c r="G96" s="1174" t="s">
        <v>953</v>
      </c>
      <c r="H96" s="1175">
        <f>+'Resumen Cuadros'!L44</f>
        <v>0</v>
      </c>
      <c r="I96" s="1175">
        <f>+'Resumen Cuadros'!M44</f>
        <v>0</v>
      </c>
      <c r="J96" s="1175" t="e">
        <f>+'Resumen Cuadros'!#REF!</f>
        <v>#REF!</v>
      </c>
      <c r="K96" s="1176">
        <f>+'Resumen Cuadros'!N44</f>
        <v>0</v>
      </c>
      <c r="L96" s="1136"/>
      <c r="M96">
        <f t="shared" si="7"/>
        <v>0</v>
      </c>
      <c r="N96">
        <f t="shared" si="7"/>
        <v>0</v>
      </c>
      <c r="R96" s="1105" t="s">
        <v>1685</v>
      </c>
      <c r="S96">
        <v>6.5</v>
      </c>
      <c r="U96" s="1105" t="s">
        <v>1690</v>
      </c>
      <c r="V96">
        <v>6.5</v>
      </c>
    </row>
    <row r="97" spans="1:22" x14ac:dyDescent="0.15">
      <c r="A97" s="1108" t="s">
        <v>1679</v>
      </c>
      <c r="B97" s="1107" t="s">
        <v>1688</v>
      </c>
      <c r="C97" s="1106">
        <f>+VLOOKUP(B97,U90:V93,2)</f>
        <v>2</v>
      </c>
      <c r="D97" s="1107">
        <v>6</v>
      </c>
      <c r="E97" s="1127"/>
      <c r="F97" s="1170" t="s">
        <v>1731</v>
      </c>
      <c r="L97" s="1138"/>
      <c r="M97">
        <f t="shared" si="7"/>
        <v>0.16666666666666666</v>
      </c>
      <c r="N97">
        <f t="shared" si="7"/>
        <v>0.5</v>
      </c>
      <c r="R97" s="1105" t="s">
        <v>1686</v>
      </c>
      <c r="S97">
        <v>2</v>
      </c>
      <c r="U97" s="1105" t="s">
        <v>1691</v>
      </c>
      <c r="V97">
        <v>8.6999999999999993</v>
      </c>
    </row>
    <row r="98" spans="1:22" x14ac:dyDescent="0.15">
      <c r="A98" s="1106"/>
      <c r="B98" s="1106"/>
      <c r="C98" s="1106"/>
      <c r="D98" s="1106"/>
      <c r="E98" s="1125"/>
      <c r="F98" s="1170" t="s">
        <v>1732</v>
      </c>
      <c r="L98" s="1136"/>
      <c r="M98">
        <f t="shared" si="7"/>
        <v>0</v>
      </c>
      <c r="N98">
        <f t="shared" si="7"/>
        <v>0</v>
      </c>
      <c r="R98" s="1105" t="s">
        <v>1687</v>
      </c>
      <c r="S98">
        <v>4</v>
      </c>
      <c r="U98" s="1105" t="s">
        <v>1688</v>
      </c>
      <c r="V98">
        <v>2</v>
      </c>
    </row>
    <row r="99" spans="1:22" x14ac:dyDescent="0.15">
      <c r="A99" s="1106"/>
      <c r="B99" s="1106"/>
      <c r="C99" s="1106"/>
      <c r="D99" s="1106"/>
      <c r="E99" s="1125"/>
      <c r="F99" s="1167" t="s">
        <v>1733</v>
      </c>
      <c r="G99" s="1136"/>
      <c r="H99" s="1136"/>
      <c r="I99" s="1136"/>
      <c r="J99" s="1136"/>
      <c r="K99" s="1136"/>
      <c r="L99" s="1136"/>
    </row>
    <row r="100" spans="1:22" x14ac:dyDescent="0.15">
      <c r="A100" s="3078" t="s">
        <v>547</v>
      </c>
      <c r="B100" s="3079"/>
      <c r="C100" s="1113">
        <f>+M100/C90</f>
        <v>4.166666666666667</v>
      </c>
      <c r="D100" s="1114">
        <f>+N100/C90</f>
        <v>6</v>
      </c>
      <c r="E100" s="1129"/>
      <c r="F100" s="1140"/>
      <c r="G100" s="1140"/>
      <c r="H100" s="1140"/>
      <c r="I100" s="1140"/>
      <c r="J100" s="1140"/>
      <c r="K100" s="1140"/>
      <c r="L100" s="1140"/>
      <c r="M100">
        <f>SUM(M93:M99)</f>
        <v>1.0416666666666667</v>
      </c>
      <c r="N100">
        <f>SUM(N93:N99)</f>
        <v>1.5</v>
      </c>
    </row>
    <row r="101" spans="1:22" x14ac:dyDescent="0.15">
      <c r="A101" s="1106"/>
      <c r="B101" s="1106"/>
      <c r="C101" s="1106"/>
      <c r="D101" s="1106"/>
    </row>
    <row r="102" spans="1:22" ht="14.25" x14ac:dyDescent="0.2">
      <c r="A102" s="3080" t="s">
        <v>255</v>
      </c>
      <c r="B102" s="3081"/>
      <c r="C102" s="3081"/>
      <c r="D102" s="3082"/>
      <c r="U102" s="1105"/>
    </row>
    <row r="103" spans="1:22" ht="12" thickBot="1" x14ac:dyDescent="0.2">
      <c r="A103" s="1111"/>
      <c r="B103" s="1111" t="s">
        <v>1570</v>
      </c>
      <c r="C103" s="1112">
        <v>0.15</v>
      </c>
      <c r="D103" s="1119"/>
      <c r="M103">
        <f>+C103/4</f>
        <v>3.7499999999999999E-2</v>
      </c>
      <c r="R103" s="1105" t="s">
        <v>1697</v>
      </c>
      <c r="S103">
        <v>4</v>
      </c>
      <c r="U103" s="1105" t="s">
        <v>1708</v>
      </c>
      <c r="V103">
        <v>4</v>
      </c>
    </row>
    <row r="104" spans="1:22" ht="12" thickBot="1" x14ac:dyDescent="0.2">
      <c r="A104" s="1106"/>
      <c r="B104" s="1106"/>
      <c r="C104" s="1106"/>
      <c r="D104" s="1106"/>
      <c r="F104" s="1155"/>
      <c r="G104" s="1156">
        <f>+G91</f>
        <v>42735</v>
      </c>
      <c r="H104" s="1157">
        <f t="shared" ref="H104:K104" si="8">+H91</f>
        <v>43100</v>
      </c>
      <c r="I104" s="1157">
        <f t="shared" si="8"/>
        <v>43465</v>
      </c>
      <c r="J104" s="1157">
        <f t="shared" si="8"/>
        <v>43281</v>
      </c>
      <c r="K104" s="1158">
        <f t="shared" si="8"/>
        <v>43646</v>
      </c>
      <c r="R104" s="1105" t="s">
        <v>1698</v>
      </c>
      <c r="S104">
        <v>2</v>
      </c>
      <c r="U104" s="1105" t="s">
        <v>1707</v>
      </c>
      <c r="V104">
        <v>6.5</v>
      </c>
    </row>
    <row r="105" spans="1:22" x14ac:dyDescent="0.15">
      <c r="A105" s="1106"/>
      <c r="B105" s="1106"/>
      <c r="C105" s="1106"/>
      <c r="D105" s="1106"/>
      <c r="F105" s="1183" t="s">
        <v>1720</v>
      </c>
      <c r="G105" s="1181" t="e">
        <f>+'Resumen Cuadros'!B46</f>
        <v>#DIV/0!</v>
      </c>
      <c r="H105" s="1181" t="e">
        <f>+'Resumen Cuadros'!C46</f>
        <v>#DIV/0!</v>
      </c>
      <c r="I105" s="1181" t="e">
        <f>+'Resumen Cuadros'!D46</f>
        <v>#DIV/0!</v>
      </c>
      <c r="J105" s="1181" t="e">
        <f>+'Resumen Cuadros'!E46</f>
        <v>#DIV/0!</v>
      </c>
      <c r="K105" s="1182" t="e">
        <f>+'Resumen Cuadros'!F46</f>
        <v>#DIV/0!</v>
      </c>
      <c r="R105" s="1105" t="s">
        <v>1699</v>
      </c>
      <c r="S105">
        <v>6.5</v>
      </c>
      <c r="U105" s="1105" t="s">
        <v>1706</v>
      </c>
      <c r="V105">
        <v>2</v>
      </c>
    </row>
    <row r="106" spans="1:22" x14ac:dyDescent="0.15">
      <c r="A106" s="1108" t="s">
        <v>1693</v>
      </c>
      <c r="B106" s="1107" t="s">
        <v>1700</v>
      </c>
      <c r="C106" s="1106">
        <f>+VLOOKUP(B106,R103:S106,2)</f>
        <v>8.6999999999999993</v>
      </c>
      <c r="D106" s="1107">
        <v>6</v>
      </c>
      <c r="F106" s="1165" t="s">
        <v>449</v>
      </c>
      <c r="G106" s="1149" t="e">
        <f>+'Resumen Cuadros'!B42</f>
        <v>#DIV/0!</v>
      </c>
      <c r="H106" s="1149" t="e">
        <f>+'Resumen Cuadros'!C42</f>
        <v>#DIV/0!</v>
      </c>
      <c r="I106" s="1149" t="e">
        <f>+'Resumen Cuadros'!D42</f>
        <v>#DIV/0!</v>
      </c>
      <c r="J106" s="1149" t="e">
        <f>+'Resumen Cuadros'!E42</f>
        <v>#DIV/0!</v>
      </c>
      <c r="K106" s="1150" t="e">
        <f>+'Resumen Cuadros'!F42</f>
        <v>#DIV/0!</v>
      </c>
      <c r="M106">
        <f>+C106*$M$103</f>
        <v>0.32624999999999998</v>
      </c>
      <c r="N106">
        <f>+D106*$M$103</f>
        <v>0.22499999999999998</v>
      </c>
      <c r="R106" s="1105" t="s">
        <v>1700</v>
      </c>
      <c r="S106">
        <v>8.6999999999999993</v>
      </c>
      <c r="U106" s="1105" t="s">
        <v>1705</v>
      </c>
      <c r="V106">
        <v>8.6999999999999993</v>
      </c>
    </row>
    <row r="107" spans="1:22" ht="12" thickBot="1" x14ac:dyDescent="0.2">
      <c r="A107" s="1106"/>
      <c r="B107" s="1106"/>
      <c r="C107" s="1106"/>
      <c r="D107" s="1106"/>
      <c r="F107" s="1184" t="s">
        <v>1724</v>
      </c>
      <c r="G107" s="1162" t="e">
        <f>+('Info Entrada'!C215+'Info Entrada'!C216+'Info Entrada'!C228+'Info Entrada'!C229)/('Info Entrada'!C215+'Info Entrada'!C216+'Info Entrada'!C228+'Info Entrada'!C229+'Info Entrada'!C239)</f>
        <v>#DIV/0!</v>
      </c>
      <c r="H107" s="1162" t="e">
        <f>+('Info Entrada'!D215+'Info Entrada'!D216+'Info Entrada'!D228+'Info Entrada'!D229)/('Info Entrada'!D215+'Info Entrada'!D216+'Info Entrada'!D228+'Info Entrada'!D229+'Info Entrada'!D239)</f>
        <v>#DIV/0!</v>
      </c>
      <c r="I107" s="1162" t="e">
        <f>+('Info Entrada'!E215+'Info Entrada'!E216+'Info Entrada'!E228+'Info Entrada'!E229)/('Info Entrada'!E215+'Info Entrada'!E216+'Info Entrada'!E228+'Info Entrada'!E229+'Info Entrada'!E239)</f>
        <v>#DIV/0!</v>
      </c>
      <c r="J107" s="1162" t="e">
        <f>+('Info Entrada'!F215+'Info Entrada'!F216+'Info Entrada'!F228+'Info Entrada'!F229)/('Info Entrada'!F215+'Info Entrada'!F216+'Info Entrada'!F228+'Info Entrada'!F229+'Info Entrada'!F239)</f>
        <v>#DIV/0!</v>
      </c>
      <c r="K107" s="1163" t="e">
        <f>+('Info Entrada'!G215+'Info Entrada'!G216+'Info Entrada'!G228+'Info Entrada'!G229)/('Info Entrada'!G215+'Info Entrada'!G216+'Info Entrada'!G228+'Info Entrada'!G229+'Info Entrada'!G239)</f>
        <v>#DIV/0!</v>
      </c>
      <c r="M107">
        <f t="shared" ref="M107:N110" si="9">+C107*$M$103</f>
        <v>0</v>
      </c>
      <c r="N107">
        <f t="shared" ref="N107:N109" si="10">+D107*$M$103</f>
        <v>0</v>
      </c>
    </row>
    <row r="108" spans="1:22" x14ac:dyDescent="0.15">
      <c r="A108" s="1108" t="s">
        <v>1694</v>
      </c>
      <c r="B108" s="1107" t="s">
        <v>1704</v>
      </c>
      <c r="C108" s="1106">
        <f>+VLOOKUP(B108,R108:S111,2)</f>
        <v>4</v>
      </c>
      <c r="D108" s="1107">
        <v>6</v>
      </c>
      <c r="M108">
        <f t="shared" si="9"/>
        <v>0.15</v>
      </c>
      <c r="N108">
        <f t="shared" si="10"/>
        <v>0.22499999999999998</v>
      </c>
      <c r="R108" s="1105" t="s">
        <v>1701</v>
      </c>
      <c r="S108">
        <v>8.6999999999999993</v>
      </c>
      <c r="U108" s="1105" t="s">
        <v>1709</v>
      </c>
      <c r="V108">
        <v>8.6999999999999993</v>
      </c>
    </row>
    <row r="109" spans="1:22" x14ac:dyDescent="0.15">
      <c r="A109" s="1106"/>
      <c r="B109" s="1106"/>
      <c r="C109" s="1106"/>
      <c r="D109" s="1106"/>
      <c r="M109">
        <f t="shared" si="9"/>
        <v>0</v>
      </c>
      <c r="N109">
        <f t="shared" si="10"/>
        <v>0</v>
      </c>
      <c r="R109" s="1105" t="s">
        <v>1702</v>
      </c>
      <c r="S109">
        <v>6.5</v>
      </c>
      <c r="U109" s="1105" t="s">
        <v>1710</v>
      </c>
      <c r="V109">
        <v>4</v>
      </c>
    </row>
    <row r="110" spans="1:22" x14ac:dyDescent="0.15">
      <c r="A110" s="1108" t="s">
        <v>1695</v>
      </c>
      <c r="B110" s="1107" t="s">
        <v>1707</v>
      </c>
      <c r="C110" s="1106">
        <f>+VLOOKUP(B110,U103:V106,2)</f>
        <v>6.5</v>
      </c>
      <c r="D110" s="1107">
        <v>6</v>
      </c>
      <c r="M110">
        <f t="shared" si="9"/>
        <v>0.24374999999999999</v>
      </c>
      <c r="N110">
        <f t="shared" si="9"/>
        <v>0.22499999999999998</v>
      </c>
      <c r="R110" s="1105" t="s">
        <v>1703</v>
      </c>
      <c r="S110">
        <v>2</v>
      </c>
      <c r="U110" s="1105" t="s">
        <v>1711</v>
      </c>
      <c r="V110">
        <v>2</v>
      </c>
    </row>
    <row r="111" spans="1:22" x14ac:dyDescent="0.15">
      <c r="A111" s="1106"/>
      <c r="B111" s="1106"/>
      <c r="C111" s="1106"/>
      <c r="D111" s="1106"/>
      <c r="M111">
        <f t="shared" ref="M111:N112" si="11">+C111*$M$103</f>
        <v>0</v>
      </c>
      <c r="N111">
        <f t="shared" si="11"/>
        <v>0</v>
      </c>
      <c r="R111" s="1105" t="s">
        <v>1704</v>
      </c>
      <c r="S111">
        <v>4</v>
      </c>
      <c r="U111" s="1105" t="s">
        <v>1712</v>
      </c>
      <c r="V111">
        <v>6.5</v>
      </c>
    </row>
    <row r="112" spans="1:22" x14ac:dyDescent="0.15">
      <c r="A112" s="1108" t="s">
        <v>1696</v>
      </c>
      <c r="B112" s="1107" t="s">
        <v>1712</v>
      </c>
      <c r="C112" s="1106">
        <f>+VLOOKUP(B112,U108:V111,2)</f>
        <v>6.5</v>
      </c>
      <c r="D112" s="1107">
        <v>6</v>
      </c>
      <c r="M112">
        <f t="shared" si="11"/>
        <v>0.24374999999999999</v>
      </c>
      <c r="N112">
        <f t="shared" si="11"/>
        <v>0.22499999999999998</v>
      </c>
    </row>
    <row r="113" spans="1:14" x14ac:dyDescent="0.15">
      <c r="A113" s="1106"/>
      <c r="B113" s="1106"/>
      <c r="C113" s="1106"/>
      <c r="D113" s="1106"/>
    </row>
    <row r="114" spans="1:14" x14ac:dyDescent="0.15">
      <c r="A114" s="3078" t="s">
        <v>547</v>
      </c>
      <c r="B114" s="3079"/>
      <c r="C114" s="1113">
        <f>+M114/C103</f>
        <v>6.4249999999999998</v>
      </c>
      <c r="D114" s="1114">
        <f>+N114/C103</f>
        <v>6</v>
      </c>
      <c r="M114">
        <f>SUM(M106:M112)</f>
        <v>0.96375</v>
      </c>
      <c r="N114">
        <f>SUM(N106:N112)</f>
        <v>0.89999999999999991</v>
      </c>
    </row>
    <row r="115" spans="1:14" x14ac:dyDescent="0.15">
      <c r="A115" s="1106"/>
      <c r="B115" s="1106"/>
      <c r="C115" s="1106"/>
      <c r="D115" s="1106"/>
    </row>
  </sheetData>
  <mergeCells count="18">
    <mergeCell ref="F6:K6"/>
    <mergeCell ref="F11:K25"/>
    <mergeCell ref="F27:K41"/>
    <mergeCell ref="F45:K64"/>
    <mergeCell ref="A75:B75"/>
    <mergeCell ref="F66:K76"/>
    <mergeCell ref="A8:D8"/>
    <mergeCell ref="A43:B43"/>
    <mergeCell ref="A45:D45"/>
    <mergeCell ref="A2:D2"/>
    <mergeCell ref="A61:B61"/>
    <mergeCell ref="A63:D63"/>
    <mergeCell ref="A102:D102"/>
    <mergeCell ref="A114:B114"/>
    <mergeCell ref="A77:D77"/>
    <mergeCell ref="A87:B87"/>
    <mergeCell ref="A89:D89"/>
    <mergeCell ref="A100:B100"/>
  </mergeCells>
  <dataValidations count="32">
    <dataValidation type="list" allowBlank="1" showInputMessage="1" showErrorMessage="1" sqref="B29">
      <formula1>$U$12:$U$15</formula1>
    </dataValidation>
    <dataValidation type="list" allowBlank="1" showInputMessage="1" showErrorMessage="1" sqref="B31">
      <formula1>$U$17:$U$20</formula1>
    </dataValidation>
    <dataValidation type="list" allowBlank="1" showInputMessage="1" showErrorMessage="1" sqref="B33">
      <formula1>$U$22:$U$25</formula1>
    </dataValidation>
    <dataValidation type="list" allowBlank="1" showInputMessage="1" showErrorMessage="1" sqref="B35">
      <formula1>$U$27:$U$30</formula1>
    </dataValidation>
    <dataValidation type="list" allowBlank="1" showInputMessage="1" showErrorMessage="1" sqref="B37">
      <formula1>$U$32:$U$35</formula1>
    </dataValidation>
    <dataValidation type="list" allowBlank="1" showInputMessage="1" showErrorMessage="1" sqref="B39">
      <formula1>$U$37:$U$40</formula1>
    </dataValidation>
    <dataValidation type="list" allowBlank="1" showInputMessage="1" showErrorMessage="1" sqref="B13">
      <formula1>$R$12:$R$15</formula1>
    </dataValidation>
    <dataValidation type="list" allowBlank="1" showInputMessage="1" showErrorMessage="1" sqref="B15">
      <formula1>$R$17:$R$20</formula1>
    </dataValidation>
    <dataValidation type="list" allowBlank="1" showInputMessage="1" showErrorMessage="1" sqref="B17">
      <formula1>$R$22:$R$25</formula1>
    </dataValidation>
    <dataValidation type="list" allowBlank="1" showInputMessage="1" showErrorMessage="1" sqref="B19">
      <formula1>$R$27:$R$30</formula1>
    </dataValidation>
    <dataValidation type="list" allowBlank="1" showInputMessage="1" showErrorMessage="1" sqref="B21">
      <formula1>$R$32:$R$35</formula1>
    </dataValidation>
    <dataValidation type="list" allowBlank="1" showInputMessage="1" showErrorMessage="1" sqref="B23">
      <formula1>$R$37:$R$40</formula1>
    </dataValidation>
    <dataValidation type="list" allowBlank="1" showInputMessage="1" showErrorMessage="1" sqref="B49">
      <formula1>$R$46:$R$49</formula1>
    </dataValidation>
    <dataValidation type="list" allowBlank="1" showInputMessage="1" showErrorMessage="1" sqref="B51">
      <formula1>$R$51:$R$54</formula1>
    </dataValidation>
    <dataValidation type="list" allowBlank="1" showInputMessage="1" showErrorMessage="1" sqref="B53">
      <formula1>$R$56:$R$59</formula1>
    </dataValidation>
    <dataValidation type="list" allowBlank="1" showInputMessage="1" showErrorMessage="1" sqref="B55">
      <formula1>$U$46:$U$49</formula1>
    </dataValidation>
    <dataValidation type="list" allowBlank="1" showInputMessage="1" showErrorMessage="1" sqref="B57">
      <formula1>$U$51:$U$54</formula1>
    </dataValidation>
    <dataValidation type="list" allowBlank="1" showInputMessage="1" showErrorMessage="1" sqref="B59">
      <formula1>$U$56:$U$59</formula1>
    </dataValidation>
    <dataValidation type="list" allowBlank="1" showInputMessage="1" showErrorMessage="1" sqref="B67">
      <formula1>$R$64:$R$67</formula1>
    </dataValidation>
    <dataValidation type="list" allowBlank="1" showInputMessage="1" showErrorMessage="1" sqref="B69">
      <formula1>$R$69:$R$72</formula1>
    </dataValidation>
    <dataValidation type="list" allowBlank="1" showInputMessage="1" showErrorMessage="1" sqref="B71">
      <formula1>$U$64:$U$67</formula1>
    </dataValidation>
    <dataValidation type="list" allowBlank="1" showInputMessage="1" showErrorMessage="1" sqref="B73">
      <formula1>$U$69:$U$72</formula1>
    </dataValidation>
    <dataValidation type="list" allowBlank="1" showInputMessage="1" showErrorMessage="1" sqref="B81">
      <formula1>$R$78:$R$81</formula1>
    </dataValidation>
    <dataValidation type="list" allowBlank="1" showInputMessage="1" showErrorMessage="1" sqref="B83">
      <formula1>$R$83:$R$86</formula1>
    </dataValidation>
    <dataValidation type="list" allowBlank="1" showInputMessage="1" showErrorMessage="1" sqref="B85">
      <formula1>$U$78:$U$81</formula1>
    </dataValidation>
    <dataValidation type="list" allowBlank="1" showInputMessage="1" showErrorMessage="1" sqref="B93">
      <formula1>$R$90:$R$93</formula1>
    </dataValidation>
    <dataValidation type="list" allowBlank="1" showInputMessage="1" showErrorMessage="1" sqref="B95">
      <formula1>$R$95:$R$98</formula1>
    </dataValidation>
    <dataValidation type="list" allowBlank="1" showInputMessage="1" showErrorMessage="1" sqref="B97">
      <formula1>$U$90:$U$93</formula1>
    </dataValidation>
    <dataValidation type="list" allowBlank="1" showInputMessage="1" showErrorMessage="1" sqref="B106">
      <formula1>$R$103:$R$106</formula1>
    </dataValidation>
    <dataValidation type="list" allowBlank="1" showInputMessage="1" showErrorMessage="1" sqref="B108">
      <formula1>$R$108:$R$111</formula1>
    </dataValidation>
    <dataValidation type="list" allowBlank="1" showInputMessage="1" showErrorMessage="1" sqref="B110">
      <formula1>$U$103:$U$106</formula1>
    </dataValidation>
    <dataValidation type="list" allowBlank="1" showInputMessage="1" showErrorMessage="1" sqref="B112">
      <formula1>$U$108:$U$111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2" tint="-0.499984740745262"/>
  </sheetPr>
  <dimension ref="A1:X240"/>
  <sheetViews>
    <sheetView zoomScale="85" zoomScaleNormal="85" workbookViewId="0">
      <pane xSplit="2" ySplit="6" topLeftCell="C7" activePane="bottomRight" state="frozen"/>
      <selection pane="topRight" activeCell="C1" sqref="C1"/>
      <selection pane="bottomLeft" activeCell="A7" sqref="A7"/>
      <selection pane="bottomRight" activeCell="E102" sqref="E102"/>
    </sheetView>
  </sheetViews>
  <sheetFormatPr baseColWidth="10" defaultRowHeight="11.25" outlineLevelRow="1" outlineLevelCol="1" x14ac:dyDescent="0.15"/>
  <cols>
    <col min="1" max="1" width="39.140625" customWidth="1"/>
    <col min="2" max="2" width="28.7109375" customWidth="1"/>
    <col min="3" max="3" width="11" customWidth="1"/>
    <col min="4" max="4" width="10.5703125" customWidth="1"/>
    <col min="5" max="5" width="10.85546875" customWidth="1"/>
    <col min="6" max="6" width="10.140625" hidden="1" customWidth="1" outlineLevel="1"/>
    <col min="7" max="7" width="10.85546875" hidden="1" customWidth="1" outlineLevel="1"/>
    <col min="8" max="8" width="23.85546875" style="1399" customWidth="1" collapsed="1"/>
    <col min="9" max="9" width="13.140625" style="1399" customWidth="1"/>
    <col min="10" max="10" width="13.7109375" style="1400" customWidth="1"/>
    <col min="11" max="11" width="14.42578125" style="1400" customWidth="1"/>
    <col min="12" max="12" width="12.42578125" style="1400" customWidth="1"/>
    <col min="13" max="13" width="12.5703125" style="1400" customWidth="1"/>
    <col min="14" max="14" width="13" style="1400" customWidth="1"/>
    <col min="15" max="24" width="13.28515625" style="1400" bestFit="1" customWidth="1"/>
    <col min="25" max="16384" width="11.42578125" style="1400"/>
  </cols>
  <sheetData>
    <row r="1" spans="1:24" customFormat="1" x14ac:dyDescent="0.15">
      <c r="H1" s="1235"/>
      <c r="I1" s="1235"/>
    </row>
    <row r="2" spans="1:24" customFormat="1" x14ac:dyDescent="0.15">
      <c r="A2" s="1098" t="s">
        <v>1516</v>
      </c>
      <c r="B2">
        <v>2</v>
      </c>
      <c r="H2" s="1235"/>
      <c r="I2" s="1235"/>
    </row>
    <row r="3" spans="1:24" customFormat="1" x14ac:dyDescent="0.15">
      <c r="A3" s="1099" t="s">
        <v>1517</v>
      </c>
      <c r="H3" s="1235"/>
      <c r="I3" s="1235"/>
    </row>
    <row r="4" spans="1:24" customFormat="1" x14ac:dyDescent="0.15">
      <c r="H4" s="1235"/>
      <c r="I4" s="1235"/>
    </row>
    <row r="5" spans="1:24" customFormat="1" ht="12" thickBot="1" x14ac:dyDescent="0.2">
      <c r="A5" s="1241" t="s">
        <v>1518</v>
      </c>
      <c r="H5" s="1235"/>
      <c r="I5" s="1235"/>
    </row>
    <row r="6" spans="1:24" customFormat="1" x14ac:dyDescent="0.15">
      <c r="A6" s="1244"/>
      <c r="B6" s="1268" t="s">
        <v>1779</v>
      </c>
      <c r="C6" s="1245">
        <f>+'Info Entrada'!C1</f>
        <v>42735</v>
      </c>
      <c r="D6" s="1245">
        <f>+'Info Entrada'!D1</f>
        <v>43100</v>
      </c>
      <c r="E6" s="1245">
        <f>+'Info Entrada'!E1</f>
        <v>43465</v>
      </c>
      <c r="F6" s="1246">
        <f>+'Info Entrada'!F1</f>
        <v>43281</v>
      </c>
      <c r="G6" s="1245">
        <f>+'Info Entrada'!G1</f>
        <v>43646</v>
      </c>
      <c r="H6" s="1247">
        <f>+'Info Entrada'!H1</f>
        <v>43830</v>
      </c>
      <c r="I6" s="1247"/>
      <c r="J6" s="1247">
        <f>+'Info Entrada'!I1</f>
        <v>44196</v>
      </c>
      <c r="K6" s="1247">
        <f>+'Info Entrada'!J1</f>
        <v>44561</v>
      </c>
      <c r="L6" s="1247">
        <f>+'Info Entrada'!K1</f>
        <v>44926</v>
      </c>
      <c r="M6" s="1247">
        <f>+'Info Entrada'!L1</f>
        <v>45291</v>
      </c>
      <c r="N6" s="1340">
        <f>+'Info Entrada'!M1</f>
        <v>45657</v>
      </c>
      <c r="O6" s="1240">
        <f>+'Info Entrada'!N1</f>
        <v>46022</v>
      </c>
      <c r="P6" s="1187">
        <f>+'Info Entrada'!O1</f>
        <v>46387</v>
      </c>
      <c r="Q6" s="1187">
        <f>+'Info Entrada'!P1</f>
        <v>46752</v>
      </c>
      <c r="R6" s="1187">
        <f>+'Info Entrada'!Q1</f>
        <v>47118</v>
      </c>
      <c r="S6" s="1187">
        <f>+'Info Entrada'!R1</f>
        <v>47483</v>
      </c>
      <c r="T6" s="1187">
        <f>+'Info Entrada'!S1</f>
        <v>47848</v>
      </c>
      <c r="U6" s="1187">
        <f>+'Info Entrada'!T1</f>
        <v>48213</v>
      </c>
      <c r="V6" s="1187">
        <f>+'Info Entrada'!U1</f>
        <v>48579</v>
      </c>
      <c r="W6" s="1187">
        <f>+'Info Entrada'!V1</f>
        <v>48944</v>
      </c>
      <c r="X6" s="1187">
        <f>+'Info Entrada'!W1</f>
        <v>49309</v>
      </c>
    </row>
    <row r="7" spans="1:24" customFormat="1" hidden="1" outlineLevel="1" x14ac:dyDescent="0.15">
      <c r="A7" s="1248"/>
      <c r="B7" s="1285" t="s">
        <v>1033</v>
      </c>
      <c r="C7" s="1218"/>
      <c r="D7" s="1218"/>
      <c r="E7" s="1218"/>
      <c r="F7" s="1218"/>
      <c r="G7" s="1218"/>
      <c r="H7" s="1249"/>
      <c r="I7" s="1249"/>
      <c r="J7" s="1250"/>
      <c r="K7" s="1250"/>
      <c r="L7" s="1250"/>
      <c r="M7" s="1250"/>
      <c r="N7" s="1251"/>
      <c r="O7" s="1185"/>
      <c r="P7" s="1185"/>
      <c r="Q7" s="1185"/>
      <c r="R7" s="1185"/>
      <c r="S7" s="1185"/>
      <c r="T7" s="1185"/>
      <c r="U7" s="1185"/>
      <c r="V7" s="1185"/>
      <c r="W7" s="1185"/>
      <c r="X7" s="1185"/>
    </row>
    <row r="8" spans="1:24" customFormat="1" hidden="1" outlineLevel="1" x14ac:dyDescent="0.15">
      <c r="A8" s="1248"/>
      <c r="B8" s="1270"/>
      <c r="C8" s="1219"/>
      <c r="D8" s="1219"/>
      <c r="E8" s="1219"/>
      <c r="F8" s="1219"/>
      <c r="G8" s="1219"/>
      <c r="H8" s="1252">
        <v>5.57E-2</v>
      </c>
      <c r="I8" s="1252"/>
      <c r="J8" s="1253">
        <v>4.53E-2</v>
      </c>
      <c r="K8" s="1253">
        <v>3.8399999999999997E-2</v>
      </c>
      <c r="L8" s="1253">
        <v>3.6799999999999999E-2</v>
      </c>
      <c r="M8" s="1253">
        <v>3.5299999999999998E-2</v>
      </c>
      <c r="N8" s="1254">
        <v>3.5299999999999998E-2</v>
      </c>
      <c r="O8" s="1188">
        <v>3.5299999999999998E-2</v>
      </c>
      <c r="P8" s="1188">
        <v>3.5299999999999998E-2</v>
      </c>
      <c r="Q8" s="1188">
        <v>3.5299999999999998E-2</v>
      </c>
      <c r="R8" s="1188">
        <v>3.5299999999999998E-2</v>
      </c>
      <c r="S8" s="1188">
        <v>3.5299999999999998E-2</v>
      </c>
      <c r="T8" s="1188">
        <v>3.5299999999999998E-2</v>
      </c>
      <c r="U8" s="1188">
        <v>3.5299999999999998E-2</v>
      </c>
      <c r="V8" s="1188">
        <v>3.5299999999999998E-2</v>
      </c>
      <c r="W8" s="1188">
        <v>3.5299999999999998E-2</v>
      </c>
      <c r="X8" s="1188">
        <v>3.5299999999999998E-2</v>
      </c>
    </row>
    <row r="9" spans="1:24" customFormat="1" hidden="1" outlineLevel="1" x14ac:dyDescent="0.15">
      <c r="A9" s="1248"/>
      <c r="B9" s="1285" t="s">
        <v>1034</v>
      </c>
      <c r="C9" s="1218"/>
      <c r="D9" s="1218"/>
      <c r="E9" s="1218"/>
      <c r="F9" s="1218"/>
      <c r="G9" s="1218"/>
      <c r="H9" s="1249"/>
      <c r="I9" s="1249"/>
      <c r="J9" s="1250"/>
      <c r="K9" s="1250"/>
      <c r="L9" s="1250"/>
      <c r="M9" s="1250"/>
      <c r="N9" s="1251"/>
      <c r="O9" s="1185"/>
      <c r="P9" s="1185"/>
      <c r="Q9" s="1185"/>
      <c r="R9" s="1185"/>
      <c r="S9" s="1185"/>
      <c r="T9" s="1185"/>
      <c r="U9" s="1185"/>
      <c r="V9" s="1185"/>
      <c r="W9" s="1185"/>
      <c r="X9" s="1185"/>
    </row>
    <row r="10" spans="1:24" customFormat="1" hidden="1" outlineLevel="1" x14ac:dyDescent="0.15">
      <c r="A10" s="1248"/>
      <c r="B10" s="1270"/>
      <c r="C10" s="1219"/>
      <c r="D10" s="1219"/>
      <c r="E10" s="1219"/>
      <c r="F10" s="1219"/>
      <c r="G10" s="1219"/>
      <c r="H10" s="1252">
        <v>0.03</v>
      </c>
      <c r="I10" s="1252"/>
      <c r="J10" s="1253">
        <v>3.2000000000000001E-2</v>
      </c>
      <c r="K10" s="1253">
        <v>3.1E-2</v>
      </c>
      <c r="L10" s="1253">
        <v>2.5600000000000001E-2</v>
      </c>
      <c r="M10" s="1253">
        <v>2.1999999999999999E-2</v>
      </c>
      <c r="N10" s="1254">
        <v>2.1999999999999999E-2</v>
      </c>
      <c r="O10" s="1188">
        <v>2.1999999999999999E-2</v>
      </c>
      <c r="P10" s="1188">
        <v>2.1999999999999999E-2</v>
      </c>
      <c r="Q10" s="1188">
        <v>2.1999999999999999E-2</v>
      </c>
      <c r="R10" s="1188">
        <v>2.1999999999999999E-2</v>
      </c>
      <c r="S10" s="1188">
        <v>2.1999999999999999E-2</v>
      </c>
      <c r="T10" s="1188">
        <v>2.1999999999999999E-2</v>
      </c>
      <c r="U10" s="1188">
        <v>2.1999999999999999E-2</v>
      </c>
      <c r="V10" s="1188">
        <v>2.1999999999999999E-2</v>
      </c>
      <c r="W10" s="1188">
        <v>2.1999999999999999E-2</v>
      </c>
      <c r="X10" s="1188">
        <v>2.1999999999999999E-2</v>
      </c>
    </row>
    <row r="11" spans="1:24" customFormat="1" hidden="1" outlineLevel="1" x14ac:dyDescent="0.15">
      <c r="A11" s="1248"/>
      <c r="B11" s="1285" t="s">
        <v>663</v>
      </c>
      <c r="C11" s="1218"/>
      <c r="D11" s="1218"/>
      <c r="E11" s="1218"/>
      <c r="F11" s="1218"/>
      <c r="G11" s="1218"/>
      <c r="H11" s="1249"/>
      <c r="I11" s="1249"/>
      <c r="J11" s="1250"/>
      <c r="K11" s="1250"/>
      <c r="L11" s="1250"/>
      <c r="M11" s="1250"/>
      <c r="N11" s="1251"/>
      <c r="O11" s="1185"/>
      <c r="P11" s="1185"/>
      <c r="Q11" s="1185"/>
      <c r="R11" s="1185"/>
      <c r="S11" s="1185"/>
      <c r="T11" s="1185"/>
      <c r="U11" s="1185"/>
      <c r="V11" s="1185"/>
      <c r="W11" s="1185"/>
      <c r="X11" s="1185"/>
    </row>
    <row r="12" spans="1:24" customFormat="1" hidden="1" outlineLevel="1" x14ac:dyDescent="0.15">
      <c r="A12" s="1248"/>
      <c r="B12" s="1270"/>
      <c r="C12" s="1219"/>
      <c r="D12" s="1219"/>
      <c r="E12" s="1219"/>
      <c r="F12" s="1219"/>
      <c r="G12" s="1219"/>
      <c r="H12" s="1252">
        <v>0.06</v>
      </c>
      <c r="I12" s="1252"/>
      <c r="J12" s="1253">
        <v>0.06</v>
      </c>
      <c r="K12" s="1253">
        <v>0.06</v>
      </c>
      <c r="L12" s="1253">
        <v>0.06</v>
      </c>
      <c r="M12" s="1253">
        <v>0.06</v>
      </c>
      <c r="N12" s="1254">
        <v>0.06</v>
      </c>
      <c r="O12" s="1188">
        <v>0.06</v>
      </c>
      <c r="P12" s="1188">
        <v>0.06</v>
      </c>
      <c r="Q12" s="1188">
        <v>0.06</v>
      </c>
      <c r="R12" s="1188">
        <v>0.06</v>
      </c>
      <c r="S12" s="1188">
        <v>0.06</v>
      </c>
      <c r="T12" s="1188">
        <v>0.06</v>
      </c>
      <c r="U12" s="1188">
        <v>0.06</v>
      </c>
      <c r="V12" s="1188">
        <v>0.06</v>
      </c>
      <c r="W12" s="1188">
        <v>0.06</v>
      </c>
      <c r="X12" s="1188">
        <v>0.06</v>
      </c>
    </row>
    <row r="13" spans="1:24" customFormat="1" hidden="1" outlineLevel="1" x14ac:dyDescent="0.15">
      <c r="A13" s="1248"/>
      <c r="B13" s="1285" t="s">
        <v>1021</v>
      </c>
      <c r="C13" s="1218"/>
      <c r="D13" s="1218"/>
      <c r="E13" s="1218"/>
      <c r="F13" s="1218"/>
      <c r="G13" s="1218"/>
      <c r="H13" s="1249"/>
      <c r="I13" s="1249"/>
      <c r="J13" s="1250"/>
      <c r="K13" s="1250"/>
      <c r="L13" s="1250"/>
      <c r="M13" s="1250"/>
      <c r="N13" s="1251"/>
      <c r="O13" s="1185"/>
      <c r="P13" s="1185"/>
      <c r="Q13" s="1185"/>
      <c r="R13" s="1185"/>
      <c r="S13" s="1185"/>
      <c r="T13" s="1185"/>
      <c r="U13" s="1185"/>
      <c r="V13" s="1185"/>
      <c r="W13" s="1185"/>
      <c r="X13" s="1185"/>
    </row>
    <row r="14" spans="1:24" customFormat="1" hidden="1" outlineLevel="1" x14ac:dyDescent="0.15">
      <c r="A14" s="1248"/>
      <c r="B14" s="1270"/>
      <c r="C14" s="1219"/>
      <c r="D14" s="1219"/>
      <c r="E14" s="1219"/>
      <c r="F14" s="1219"/>
      <c r="G14" s="1219"/>
      <c r="H14" s="1252">
        <v>4.1000000000000002E-2</v>
      </c>
      <c r="I14" s="1252"/>
      <c r="J14" s="1253">
        <v>0.05</v>
      </c>
      <c r="K14" s="1253">
        <v>4.4999999999999998E-2</v>
      </c>
      <c r="L14" s="1253">
        <v>4.4999999999999998E-2</v>
      </c>
      <c r="M14" s="1253">
        <v>4.4999999999999998E-2</v>
      </c>
      <c r="N14" s="1254">
        <v>4.4999999999999998E-2</v>
      </c>
      <c r="O14" s="1188">
        <v>4.4999999999999998E-2</v>
      </c>
      <c r="P14" s="1188">
        <v>4.4999999999999998E-2</v>
      </c>
      <c r="Q14" s="1188">
        <v>4.4999999999999998E-2</v>
      </c>
      <c r="R14" s="1188">
        <v>4.4999999999999998E-2</v>
      </c>
      <c r="S14" s="1188">
        <v>4.4999999999999998E-2</v>
      </c>
      <c r="T14" s="1188">
        <v>4.4999999999999998E-2</v>
      </c>
      <c r="U14" s="1188">
        <v>4.4999999999999998E-2</v>
      </c>
      <c r="V14" s="1188">
        <v>4.4999999999999998E-2</v>
      </c>
      <c r="W14" s="1188">
        <v>4.4999999999999998E-2</v>
      </c>
      <c r="X14" s="1188">
        <v>4.4999999999999998E-2</v>
      </c>
    </row>
    <row r="15" spans="1:24" customFormat="1" hidden="1" outlineLevel="1" x14ac:dyDescent="0.15">
      <c r="A15" s="1248"/>
      <c r="B15" s="1285" t="s">
        <v>664</v>
      </c>
      <c r="C15" s="1218"/>
      <c r="D15" s="1218"/>
      <c r="E15" s="1218"/>
      <c r="F15" s="1218"/>
      <c r="G15" s="1218"/>
      <c r="H15" s="1249"/>
      <c r="I15" s="1249"/>
      <c r="J15" s="1250"/>
      <c r="K15" s="1250"/>
      <c r="L15" s="1250"/>
      <c r="M15" s="1250"/>
      <c r="N15" s="1251"/>
      <c r="O15" s="1185"/>
      <c r="P15" s="1185"/>
      <c r="Q15" s="1185"/>
      <c r="R15" s="1185"/>
      <c r="S15" s="1185"/>
      <c r="T15" s="1185"/>
      <c r="U15" s="1185"/>
      <c r="V15" s="1185"/>
      <c r="W15" s="1185"/>
      <c r="X15" s="1185"/>
    </row>
    <row r="16" spans="1:24" customFormat="1" hidden="1" outlineLevel="1" x14ac:dyDescent="0.15">
      <c r="A16" s="1248"/>
      <c r="B16" s="1270"/>
      <c r="C16" s="1219"/>
      <c r="D16" s="1219"/>
      <c r="E16" s="1219"/>
      <c r="F16" s="1219"/>
      <c r="G16" s="1219"/>
      <c r="H16" s="1252">
        <v>3.6999999999999998E-2</v>
      </c>
      <c r="I16" s="1252"/>
      <c r="J16" s="1253">
        <f>+H16*1.05</f>
        <v>3.8850000000000003E-2</v>
      </c>
      <c r="K16" s="1253">
        <f t="shared" ref="K16:X16" si="0">+J16*1.05</f>
        <v>4.0792500000000002E-2</v>
      </c>
      <c r="L16" s="1253">
        <f t="shared" si="0"/>
        <v>4.2832125000000006E-2</v>
      </c>
      <c r="M16" s="1253">
        <f t="shared" si="0"/>
        <v>4.497373125000001E-2</v>
      </c>
      <c r="N16" s="1254">
        <f t="shared" si="0"/>
        <v>4.7222417812500014E-2</v>
      </c>
      <c r="O16" s="1188">
        <f t="shared" si="0"/>
        <v>4.958353870312502E-2</v>
      </c>
      <c r="P16" s="1188">
        <f t="shared" si="0"/>
        <v>5.2062715638281271E-2</v>
      </c>
      <c r="Q16" s="1188">
        <f t="shared" si="0"/>
        <v>5.4665851420195338E-2</v>
      </c>
      <c r="R16" s="1188">
        <f t="shared" si="0"/>
        <v>5.7399143991205111E-2</v>
      </c>
      <c r="S16" s="1188">
        <f t="shared" si="0"/>
        <v>6.0269101190765367E-2</v>
      </c>
      <c r="T16" s="1188">
        <f t="shared" si="0"/>
        <v>6.3282556250303643E-2</v>
      </c>
      <c r="U16" s="1188">
        <f t="shared" si="0"/>
        <v>6.6446684062818825E-2</v>
      </c>
      <c r="V16" s="1188">
        <f t="shared" si="0"/>
        <v>6.976901826595977E-2</v>
      </c>
      <c r="W16" s="1188">
        <f t="shared" si="0"/>
        <v>7.3257469179257767E-2</v>
      </c>
      <c r="X16" s="1188">
        <f t="shared" si="0"/>
        <v>7.692034263822066E-2</v>
      </c>
    </row>
    <row r="17" spans="1:24" customFormat="1" hidden="1" outlineLevel="1" x14ac:dyDescent="0.15">
      <c r="A17" s="1248"/>
      <c r="B17" s="1285" t="s">
        <v>665</v>
      </c>
      <c r="C17" s="1218"/>
      <c r="D17" s="1218"/>
      <c r="E17" s="1218"/>
      <c r="F17" s="1218"/>
      <c r="G17" s="1218"/>
      <c r="H17" s="1249"/>
      <c r="I17" s="1249"/>
      <c r="J17" s="1250"/>
      <c r="K17" s="1250"/>
      <c r="L17" s="1250"/>
      <c r="M17" s="1250"/>
      <c r="N17" s="1251"/>
      <c r="O17" s="1185"/>
      <c r="P17" s="1185"/>
      <c r="Q17" s="1185"/>
      <c r="R17" s="1185"/>
      <c r="S17" s="1185"/>
      <c r="T17" s="1185"/>
      <c r="U17" s="1185"/>
      <c r="V17" s="1185"/>
      <c r="W17" s="1185"/>
      <c r="X17" s="1185"/>
    </row>
    <row r="18" spans="1:24" customFormat="1" hidden="1" outlineLevel="1" x14ac:dyDescent="0.15">
      <c r="A18" s="1248"/>
      <c r="B18" s="1270"/>
      <c r="C18" s="1219"/>
      <c r="D18" s="1219"/>
      <c r="E18" s="1219"/>
      <c r="F18" s="1219"/>
      <c r="G18" s="1219"/>
      <c r="H18" s="1252">
        <v>0.05</v>
      </c>
      <c r="I18" s="1252"/>
      <c r="J18" s="1253">
        <v>0.05</v>
      </c>
      <c r="K18" s="1253">
        <v>0.05</v>
      </c>
      <c r="L18" s="1253">
        <v>0.05</v>
      </c>
      <c r="M18" s="1253">
        <v>0.05</v>
      </c>
      <c r="N18" s="1254">
        <v>0.05</v>
      </c>
      <c r="O18" s="1188">
        <v>0.05</v>
      </c>
      <c r="P18" s="1188">
        <v>0.05</v>
      </c>
      <c r="Q18" s="1188">
        <v>0.05</v>
      </c>
      <c r="R18" s="1188">
        <v>0.05</v>
      </c>
      <c r="S18" s="1188">
        <v>0.05</v>
      </c>
      <c r="T18" s="1188">
        <v>0.05</v>
      </c>
      <c r="U18" s="1188">
        <v>0.05</v>
      </c>
      <c r="V18" s="1188">
        <v>0.05</v>
      </c>
      <c r="W18" s="1188">
        <v>0.05</v>
      </c>
      <c r="X18" s="1188">
        <v>0.05</v>
      </c>
    </row>
    <row r="19" spans="1:24" customFormat="1" hidden="1" outlineLevel="1" x14ac:dyDescent="0.15">
      <c r="A19" s="1248"/>
      <c r="B19" s="1341" t="s">
        <v>1046</v>
      </c>
      <c r="C19" s="1218"/>
      <c r="D19" s="1218"/>
      <c r="E19" s="1218"/>
      <c r="F19" s="1218"/>
      <c r="G19" s="1218"/>
      <c r="H19" s="1249"/>
      <c r="I19" s="1249"/>
      <c r="J19" s="1250"/>
      <c r="K19" s="1250"/>
      <c r="L19" s="1250"/>
      <c r="M19" s="1250"/>
      <c r="N19" s="1251"/>
      <c r="O19" s="1185"/>
      <c r="P19" s="1185"/>
      <c r="Q19" s="1185"/>
      <c r="R19" s="1185"/>
      <c r="S19" s="1185"/>
      <c r="T19" s="1185"/>
      <c r="U19" s="1185"/>
      <c r="V19" s="1185"/>
      <c r="W19" s="1185"/>
      <c r="X19" s="1185"/>
    </row>
    <row r="20" spans="1:24" customFormat="1" hidden="1" outlineLevel="1" x14ac:dyDescent="0.15">
      <c r="A20" s="1248"/>
      <c r="B20" s="1270"/>
      <c r="C20" s="1219"/>
      <c r="D20" s="1219"/>
      <c r="E20" s="1219"/>
      <c r="F20" s="1219"/>
      <c r="G20" s="1219"/>
      <c r="H20" s="1252">
        <v>0</v>
      </c>
      <c r="I20" s="1252"/>
      <c r="J20" s="1253">
        <v>0</v>
      </c>
      <c r="K20" s="1253">
        <v>0</v>
      </c>
      <c r="L20" s="1253">
        <v>0</v>
      </c>
      <c r="M20" s="1253">
        <v>0</v>
      </c>
      <c r="N20" s="1254">
        <v>0</v>
      </c>
      <c r="O20" s="1188">
        <v>0</v>
      </c>
      <c r="P20" s="1188">
        <v>0</v>
      </c>
      <c r="Q20" s="1188">
        <v>0</v>
      </c>
      <c r="R20" s="1188">
        <v>0</v>
      </c>
      <c r="S20" s="1188">
        <v>0</v>
      </c>
      <c r="T20" s="1188">
        <v>0</v>
      </c>
      <c r="U20" s="1188">
        <v>0</v>
      </c>
      <c r="V20" s="1188">
        <v>0</v>
      </c>
      <c r="W20" s="1188">
        <v>0</v>
      </c>
      <c r="X20" s="1188">
        <v>0</v>
      </c>
    </row>
    <row r="21" spans="1:24" customFormat="1" hidden="1" outlineLevel="1" x14ac:dyDescent="0.15">
      <c r="A21" s="1248"/>
      <c r="B21" s="1341" t="s">
        <v>1047</v>
      </c>
      <c r="C21" s="1218"/>
      <c r="D21" s="1218"/>
      <c r="E21" s="1218"/>
      <c r="F21" s="1218"/>
      <c r="G21" s="1218"/>
      <c r="H21" s="1249"/>
      <c r="I21" s="1249"/>
      <c r="J21" s="1250"/>
      <c r="K21" s="1250"/>
      <c r="L21" s="1250"/>
      <c r="M21" s="1250"/>
      <c r="N21" s="1251"/>
      <c r="O21" s="1185"/>
      <c r="P21" s="1185"/>
      <c r="Q21" s="1185"/>
      <c r="R21" s="1185"/>
      <c r="S21" s="1185"/>
      <c r="T21" s="1185"/>
      <c r="U21" s="1185"/>
      <c r="V21" s="1185"/>
      <c r="W21" s="1185"/>
      <c r="X21" s="1185"/>
    </row>
    <row r="22" spans="1:24" customFormat="1" hidden="1" outlineLevel="1" x14ac:dyDescent="0.15">
      <c r="A22" s="1248"/>
      <c r="B22" s="1270"/>
      <c r="C22" s="1219"/>
      <c r="D22" s="1219"/>
      <c r="E22" s="1219"/>
      <c r="F22" s="1219"/>
      <c r="G22" s="1219"/>
      <c r="H22" s="1252">
        <v>3.5000000000000003E-2</v>
      </c>
      <c r="I22" s="1252"/>
      <c r="J22" s="1253">
        <f>+H22</f>
        <v>3.5000000000000003E-2</v>
      </c>
      <c r="K22" s="1253">
        <f t="shared" ref="K22:X22" si="1">+J22</f>
        <v>3.5000000000000003E-2</v>
      </c>
      <c r="L22" s="1253">
        <f t="shared" si="1"/>
        <v>3.5000000000000003E-2</v>
      </c>
      <c r="M22" s="1253">
        <f t="shared" si="1"/>
        <v>3.5000000000000003E-2</v>
      </c>
      <c r="N22" s="1254">
        <f t="shared" si="1"/>
        <v>3.5000000000000003E-2</v>
      </c>
      <c r="O22" s="1188">
        <f t="shared" si="1"/>
        <v>3.5000000000000003E-2</v>
      </c>
      <c r="P22" s="1188">
        <f t="shared" si="1"/>
        <v>3.5000000000000003E-2</v>
      </c>
      <c r="Q22" s="1188">
        <f t="shared" si="1"/>
        <v>3.5000000000000003E-2</v>
      </c>
      <c r="R22" s="1188">
        <f t="shared" si="1"/>
        <v>3.5000000000000003E-2</v>
      </c>
      <c r="S22" s="1188">
        <f t="shared" si="1"/>
        <v>3.5000000000000003E-2</v>
      </c>
      <c r="T22" s="1188">
        <f t="shared" si="1"/>
        <v>3.5000000000000003E-2</v>
      </c>
      <c r="U22" s="1188">
        <f t="shared" si="1"/>
        <v>3.5000000000000003E-2</v>
      </c>
      <c r="V22" s="1188">
        <f t="shared" si="1"/>
        <v>3.5000000000000003E-2</v>
      </c>
      <c r="W22" s="1188">
        <f t="shared" si="1"/>
        <v>3.5000000000000003E-2</v>
      </c>
      <c r="X22" s="1188">
        <f t="shared" si="1"/>
        <v>3.5000000000000003E-2</v>
      </c>
    </row>
    <row r="23" spans="1:24" customFormat="1" hidden="1" outlineLevel="1" x14ac:dyDescent="0.15">
      <c r="A23" s="1248"/>
      <c r="B23" s="1285" t="s">
        <v>1048</v>
      </c>
      <c r="C23" s="1218"/>
      <c r="D23" s="1218"/>
      <c r="E23" s="1218"/>
      <c r="F23" s="1218"/>
      <c r="G23" s="1218"/>
      <c r="H23" s="1249"/>
      <c r="I23" s="1249"/>
      <c r="J23" s="1250"/>
      <c r="K23" s="1250"/>
      <c r="L23" s="1250"/>
      <c r="M23" s="1250"/>
      <c r="N23" s="1251"/>
      <c r="O23" s="1185"/>
      <c r="P23" s="1185"/>
      <c r="Q23" s="1185"/>
      <c r="R23" s="1185"/>
      <c r="S23" s="1185"/>
      <c r="T23" s="1185"/>
      <c r="U23" s="1185"/>
      <c r="V23" s="1185"/>
      <c r="W23" s="1185"/>
      <c r="X23" s="1185"/>
    </row>
    <row r="24" spans="1:24" customFormat="1" hidden="1" outlineLevel="1" x14ac:dyDescent="0.15">
      <c r="A24" s="1248"/>
      <c r="B24" s="1270"/>
      <c r="C24" s="1219"/>
      <c r="D24" s="1219"/>
      <c r="E24" s="1219"/>
      <c r="F24" s="1219"/>
      <c r="G24" s="1219"/>
      <c r="H24" s="1252">
        <v>0</v>
      </c>
      <c r="I24" s="1252"/>
      <c r="J24" s="1253">
        <v>0</v>
      </c>
      <c r="K24" s="1253">
        <v>0</v>
      </c>
      <c r="L24" s="1253">
        <v>0</v>
      </c>
      <c r="M24" s="1253">
        <v>0</v>
      </c>
      <c r="N24" s="1254">
        <v>0</v>
      </c>
      <c r="O24" s="1188">
        <v>0</v>
      </c>
      <c r="P24" s="1188">
        <v>0</v>
      </c>
      <c r="Q24" s="1188">
        <v>0</v>
      </c>
      <c r="R24" s="1188">
        <v>0</v>
      </c>
      <c r="S24" s="1188">
        <v>0</v>
      </c>
      <c r="T24" s="1188">
        <v>0</v>
      </c>
      <c r="U24" s="1188">
        <v>0</v>
      </c>
      <c r="V24" s="1188">
        <v>0</v>
      </c>
      <c r="W24" s="1188">
        <v>0</v>
      </c>
      <c r="X24" s="1188">
        <v>0</v>
      </c>
    </row>
    <row r="25" spans="1:24" customFormat="1" hidden="1" outlineLevel="1" x14ac:dyDescent="0.15">
      <c r="A25" s="1248"/>
      <c r="B25" s="1285" t="s">
        <v>1049</v>
      </c>
      <c r="C25" s="1218"/>
      <c r="D25" s="1218"/>
      <c r="E25" s="1218"/>
      <c r="F25" s="1218"/>
      <c r="G25" s="1218"/>
      <c r="H25" s="1249"/>
      <c r="I25" s="1249"/>
      <c r="J25" s="1250"/>
      <c r="K25" s="1250"/>
      <c r="L25" s="1250"/>
      <c r="M25" s="1250"/>
      <c r="N25" s="1251"/>
      <c r="O25" s="1185"/>
      <c r="P25" s="1185"/>
      <c r="Q25" s="1185"/>
      <c r="R25" s="1185"/>
      <c r="S25" s="1185"/>
      <c r="T25" s="1185"/>
      <c r="U25" s="1185"/>
      <c r="V25" s="1185"/>
      <c r="W25" s="1185"/>
      <c r="X25" s="1185"/>
    </row>
    <row r="26" spans="1:24" customFormat="1" hidden="1" outlineLevel="1" x14ac:dyDescent="0.15">
      <c r="A26" s="1248"/>
      <c r="B26" s="1270"/>
      <c r="C26" s="1219"/>
      <c r="D26" s="1219"/>
      <c r="E26" s="1219"/>
      <c r="F26" s="1219"/>
      <c r="G26" s="1219"/>
      <c r="H26" s="1252">
        <v>0</v>
      </c>
      <c r="I26" s="1252"/>
      <c r="J26" s="1253">
        <v>0</v>
      </c>
      <c r="K26" s="1253">
        <v>0</v>
      </c>
      <c r="L26" s="1253">
        <v>0</v>
      </c>
      <c r="M26" s="1253">
        <v>0</v>
      </c>
      <c r="N26" s="1254">
        <v>0</v>
      </c>
      <c r="O26" s="1188">
        <v>0</v>
      </c>
      <c r="P26" s="1188">
        <v>0</v>
      </c>
      <c r="Q26" s="1188">
        <v>0</v>
      </c>
      <c r="R26" s="1188">
        <v>0</v>
      </c>
      <c r="S26" s="1188">
        <v>0</v>
      </c>
      <c r="T26" s="1188">
        <v>0</v>
      </c>
      <c r="U26" s="1188">
        <v>0</v>
      </c>
      <c r="V26" s="1188">
        <v>0</v>
      </c>
      <c r="W26" s="1188">
        <v>0</v>
      </c>
      <c r="X26" s="1188">
        <v>0</v>
      </c>
    </row>
    <row r="27" spans="1:24" customFormat="1" hidden="1" outlineLevel="1" x14ac:dyDescent="0.15">
      <c r="A27" s="1248"/>
      <c r="B27" s="1285" t="s">
        <v>1050</v>
      </c>
      <c r="C27" s="1218"/>
      <c r="D27" s="1218"/>
      <c r="E27" s="1218"/>
      <c r="F27" s="1218"/>
      <c r="G27" s="1218"/>
      <c r="H27" s="1249"/>
      <c r="I27" s="1249"/>
      <c r="J27" s="1250"/>
      <c r="K27" s="1250"/>
      <c r="L27" s="1250"/>
      <c r="M27" s="1250"/>
      <c r="N27" s="1251"/>
      <c r="O27" s="1185"/>
      <c r="P27" s="1185"/>
      <c r="Q27" s="1185"/>
      <c r="R27" s="1185"/>
      <c r="S27" s="1185"/>
      <c r="T27" s="1185"/>
      <c r="U27" s="1185"/>
      <c r="V27" s="1185"/>
      <c r="W27" s="1185"/>
      <c r="X27" s="1185"/>
    </row>
    <row r="28" spans="1:24" customFormat="1" ht="6" hidden="1" customHeight="1" outlineLevel="1" x14ac:dyDescent="0.15">
      <c r="A28" s="1248"/>
      <c r="B28" s="1270"/>
      <c r="C28" s="1219"/>
      <c r="D28" s="1219"/>
      <c r="E28" s="1219"/>
      <c r="F28" s="1219"/>
      <c r="G28" s="1219"/>
      <c r="H28" s="1252">
        <v>0</v>
      </c>
      <c r="I28" s="1252"/>
      <c r="J28" s="1253">
        <v>0</v>
      </c>
      <c r="K28" s="1253">
        <v>0</v>
      </c>
      <c r="L28" s="1253">
        <v>0</v>
      </c>
      <c r="M28" s="1253">
        <v>0</v>
      </c>
      <c r="N28" s="1254">
        <v>0</v>
      </c>
      <c r="O28" s="1188">
        <v>0</v>
      </c>
      <c r="P28" s="1188">
        <v>0</v>
      </c>
      <c r="Q28" s="1188">
        <v>0</v>
      </c>
      <c r="R28" s="1188">
        <v>0</v>
      </c>
      <c r="S28" s="1188">
        <v>0</v>
      </c>
      <c r="T28" s="1188">
        <v>0</v>
      </c>
      <c r="U28" s="1188">
        <v>0</v>
      </c>
      <c r="V28" s="1188">
        <v>0</v>
      </c>
      <c r="W28" s="1188">
        <v>0</v>
      </c>
      <c r="X28" s="1188">
        <v>0</v>
      </c>
    </row>
    <row r="29" spans="1:24" customFormat="1" hidden="1" outlineLevel="1" x14ac:dyDescent="0.15">
      <c r="A29" s="1248"/>
      <c r="B29" s="1285" t="s">
        <v>52</v>
      </c>
      <c r="C29" s="1225">
        <f>+'Info Entrada'!C29</f>
        <v>0</v>
      </c>
      <c r="D29" s="1225">
        <f>+'Info Entrada'!D29</f>
        <v>0</v>
      </c>
      <c r="E29" s="1225">
        <f>+'Info Entrada'!E29</f>
        <v>0</v>
      </c>
      <c r="F29" s="1225">
        <f>+'Info Entrada'!F29</f>
        <v>0</v>
      </c>
      <c r="G29" s="1225">
        <f>+'Info Entrada'!G29</f>
        <v>0</v>
      </c>
      <c r="H29" s="1274">
        <f>+H108</f>
        <v>0</v>
      </c>
      <c r="I29" s="1274"/>
      <c r="J29" s="1250">
        <f>+J108</f>
        <v>0</v>
      </c>
      <c r="K29" s="1250">
        <f t="shared" ref="K29:X29" si="2">+K108</f>
        <v>0</v>
      </c>
      <c r="L29" s="1250">
        <f t="shared" si="2"/>
        <v>0</v>
      </c>
      <c r="M29" s="1250">
        <f t="shared" si="2"/>
        <v>0</v>
      </c>
      <c r="N29" s="1251">
        <f t="shared" si="2"/>
        <v>0</v>
      </c>
      <c r="O29" s="1250">
        <f t="shared" si="2"/>
        <v>0</v>
      </c>
      <c r="P29" s="1250">
        <f t="shared" si="2"/>
        <v>0</v>
      </c>
      <c r="Q29" s="1250">
        <f t="shared" si="2"/>
        <v>0</v>
      </c>
      <c r="R29" s="1250">
        <f t="shared" si="2"/>
        <v>0</v>
      </c>
      <c r="S29" s="1250">
        <f t="shared" si="2"/>
        <v>0</v>
      </c>
      <c r="T29" s="1250">
        <f t="shared" si="2"/>
        <v>0</v>
      </c>
      <c r="U29" s="1250">
        <f t="shared" si="2"/>
        <v>0</v>
      </c>
      <c r="V29" s="1250">
        <f t="shared" si="2"/>
        <v>0</v>
      </c>
      <c r="W29" s="1250">
        <f t="shared" si="2"/>
        <v>0</v>
      </c>
      <c r="X29" s="1250">
        <f t="shared" si="2"/>
        <v>0</v>
      </c>
    </row>
    <row r="30" spans="1:24" customFormat="1" hidden="1" outlineLevel="1" x14ac:dyDescent="0.15">
      <c r="A30" s="1248"/>
      <c r="B30" s="1270"/>
      <c r="C30" s="1219"/>
      <c r="D30" s="1219"/>
      <c r="E30" s="1219"/>
      <c r="F30" s="1219"/>
      <c r="G30" s="1219"/>
      <c r="H30" s="1255">
        <f>+H109</f>
        <v>0</v>
      </c>
      <c r="I30" s="1255"/>
      <c r="J30" s="1256">
        <f>+J109</f>
        <v>0</v>
      </c>
      <c r="K30" s="1256">
        <f t="shared" ref="K30:X30" si="3">+K109</f>
        <v>0</v>
      </c>
      <c r="L30" s="1256">
        <f t="shared" si="3"/>
        <v>0</v>
      </c>
      <c r="M30" s="1256">
        <f t="shared" si="3"/>
        <v>0</v>
      </c>
      <c r="N30" s="1342">
        <f t="shared" si="3"/>
        <v>0</v>
      </c>
      <c r="O30" s="1256">
        <f t="shared" si="3"/>
        <v>0</v>
      </c>
      <c r="P30" s="1256">
        <f t="shared" si="3"/>
        <v>0</v>
      </c>
      <c r="Q30" s="1256">
        <f t="shared" si="3"/>
        <v>0</v>
      </c>
      <c r="R30" s="1256">
        <f t="shared" si="3"/>
        <v>0</v>
      </c>
      <c r="S30" s="1256">
        <f t="shared" si="3"/>
        <v>0</v>
      </c>
      <c r="T30" s="1256">
        <f t="shared" si="3"/>
        <v>0</v>
      </c>
      <c r="U30" s="1256">
        <f t="shared" si="3"/>
        <v>0</v>
      </c>
      <c r="V30" s="1256">
        <f t="shared" si="3"/>
        <v>0</v>
      </c>
      <c r="W30" s="1256">
        <f t="shared" si="3"/>
        <v>0</v>
      </c>
      <c r="X30" s="1256">
        <f t="shared" si="3"/>
        <v>0</v>
      </c>
    </row>
    <row r="31" spans="1:24" customFormat="1" hidden="1" outlineLevel="1" x14ac:dyDescent="0.15">
      <c r="A31" s="1248"/>
      <c r="B31" s="1285" t="s">
        <v>78</v>
      </c>
      <c r="C31" s="1218"/>
      <c r="D31" s="1218"/>
      <c r="E31" s="1218"/>
      <c r="F31" s="1218"/>
      <c r="G31" s="1218"/>
      <c r="H31" s="1249"/>
      <c r="I31" s="1249"/>
      <c r="J31" s="1250"/>
      <c r="K31" s="1250"/>
      <c r="L31" s="1250"/>
      <c r="M31" s="1250"/>
      <c r="N31" s="1251"/>
      <c r="O31" s="1185"/>
      <c r="P31" s="1185"/>
      <c r="Q31" s="1185"/>
      <c r="R31" s="1185"/>
      <c r="S31" s="1185"/>
      <c r="T31" s="1185"/>
      <c r="U31" s="1185"/>
      <c r="V31" s="1185"/>
      <c r="W31" s="1185"/>
      <c r="X31" s="1185"/>
    </row>
    <row r="32" spans="1:24" customFormat="1" hidden="1" outlineLevel="1" x14ac:dyDescent="0.15">
      <c r="A32" s="1248"/>
      <c r="B32" s="1270"/>
      <c r="C32" s="1219"/>
      <c r="D32" s="1219"/>
      <c r="E32" s="1219"/>
      <c r="F32" s="1219"/>
      <c r="G32" s="1219"/>
      <c r="H32" s="1252">
        <v>0.33</v>
      </c>
      <c r="I32" s="1252"/>
      <c r="J32" s="1253">
        <f>+H32</f>
        <v>0.33</v>
      </c>
      <c r="K32" s="1253">
        <f t="shared" ref="K32:X32" si="4">+J32</f>
        <v>0.33</v>
      </c>
      <c r="L32" s="1253">
        <f t="shared" si="4"/>
        <v>0.33</v>
      </c>
      <c r="M32" s="1253">
        <f t="shared" si="4"/>
        <v>0.33</v>
      </c>
      <c r="N32" s="1254">
        <f t="shared" si="4"/>
        <v>0.33</v>
      </c>
      <c r="O32" s="1188">
        <f t="shared" si="4"/>
        <v>0.33</v>
      </c>
      <c r="P32" s="1188">
        <f t="shared" si="4"/>
        <v>0.33</v>
      </c>
      <c r="Q32" s="1188">
        <f t="shared" si="4"/>
        <v>0.33</v>
      </c>
      <c r="R32" s="1188">
        <f t="shared" si="4"/>
        <v>0.33</v>
      </c>
      <c r="S32" s="1188">
        <f t="shared" si="4"/>
        <v>0.33</v>
      </c>
      <c r="T32" s="1188">
        <f t="shared" si="4"/>
        <v>0.33</v>
      </c>
      <c r="U32" s="1188">
        <f t="shared" si="4"/>
        <v>0.33</v>
      </c>
      <c r="V32" s="1188">
        <f t="shared" si="4"/>
        <v>0.33</v>
      </c>
      <c r="W32" s="1188">
        <f t="shared" si="4"/>
        <v>0.33</v>
      </c>
      <c r="X32" s="1188">
        <f t="shared" si="4"/>
        <v>0.33</v>
      </c>
    </row>
    <row r="33" spans="1:24" customFormat="1" hidden="1" outlineLevel="1" x14ac:dyDescent="0.15">
      <c r="A33" s="1248"/>
      <c r="B33" s="1285" t="s">
        <v>79</v>
      </c>
      <c r="C33" s="1218"/>
      <c r="D33" s="1218"/>
      <c r="E33" s="1218"/>
      <c r="F33" s="1218"/>
      <c r="G33" s="1218"/>
      <c r="H33" s="1249"/>
      <c r="I33" s="1249"/>
      <c r="J33" s="1250"/>
      <c r="K33" s="1250"/>
      <c r="L33" s="1250"/>
      <c r="M33" s="1250"/>
      <c r="N33" s="1251"/>
      <c r="O33" s="1185"/>
      <c r="P33" s="1185"/>
      <c r="Q33" s="1185"/>
      <c r="R33" s="1185"/>
      <c r="S33" s="1185"/>
      <c r="T33" s="1185"/>
      <c r="U33" s="1185"/>
      <c r="V33" s="1185"/>
      <c r="W33" s="1185"/>
      <c r="X33" s="1185"/>
    </row>
    <row r="34" spans="1:24" customFormat="1" hidden="1" outlineLevel="1" x14ac:dyDescent="0.15">
      <c r="A34" s="1248"/>
      <c r="B34" s="1270"/>
      <c r="C34" s="1219"/>
      <c r="D34" s="1219"/>
      <c r="E34" s="1219"/>
      <c r="F34" s="1219"/>
      <c r="G34" s="1219"/>
      <c r="H34" s="1252">
        <v>0.06</v>
      </c>
      <c r="I34" s="1252"/>
      <c r="J34" s="1253">
        <f>+H34</f>
        <v>0.06</v>
      </c>
      <c r="K34" s="1253">
        <f t="shared" ref="K34:X34" si="5">+J34</f>
        <v>0.06</v>
      </c>
      <c r="L34" s="1253">
        <f t="shared" si="5"/>
        <v>0.06</v>
      </c>
      <c r="M34" s="1253">
        <f t="shared" si="5"/>
        <v>0.06</v>
      </c>
      <c r="N34" s="1254">
        <f t="shared" si="5"/>
        <v>0.06</v>
      </c>
      <c r="O34" s="1188">
        <f t="shared" si="5"/>
        <v>0.06</v>
      </c>
      <c r="P34" s="1188">
        <f t="shared" si="5"/>
        <v>0.06</v>
      </c>
      <c r="Q34" s="1188">
        <f t="shared" si="5"/>
        <v>0.06</v>
      </c>
      <c r="R34" s="1188">
        <f t="shared" si="5"/>
        <v>0.06</v>
      </c>
      <c r="S34" s="1188">
        <f t="shared" si="5"/>
        <v>0.06</v>
      </c>
      <c r="T34" s="1188">
        <f t="shared" si="5"/>
        <v>0.06</v>
      </c>
      <c r="U34" s="1188">
        <f t="shared" si="5"/>
        <v>0.06</v>
      </c>
      <c r="V34" s="1188">
        <f t="shared" si="5"/>
        <v>0.06</v>
      </c>
      <c r="W34" s="1188">
        <f t="shared" si="5"/>
        <v>0.06</v>
      </c>
      <c r="X34" s="1188">
        <f t="shared" si="5"/>
        <v>0.06</v>
      </c>
    </row>
    <row r="35" spans="1:24" customFormat="1" hidden="1" outlineLevel="1" x14ac:dyDescent="0.15">
      <c r="A35" s="1248"/>
      <c r="B35" s="1285" t="s">
        <v>93</v>
      </c>
      <c r="C35" s="1218"/>
      <c r="D35" s="1218"/>
      <c r="E35" s="1218"/>
      <c r="F35" s="1218"/>
      <c r="G35" s="1218"/>
      <c r="H35" s="1249"/>
      <c r="I35" s="1249"/>
      <c r="J35" s="1250"/>
      <c r="K35" s="1250"/>
      <c r="L35" s="1250"/>
      <c r="M35" s="1250"/>
      <c r="N35" s="1251"/>
      <c r="O35" s="1185"/>
      <c r="P35" s="1185"/>
      <c r="Q35" s="1185"/>
      <c r="R35" s="1185"/>
      <c r="S35" s="1185"/>
      <c r="T35" s="1185"/>
      <c r="U35" s="1185"/>
      <c r="V35" s="1185"/>
      <c r="W35" s="1185"/>
      <c r="X35" s="1185"/>
    </row>
    <row r="36" spans="1:24" customFormat="1" hidden="1" outlineLevel="1" x14ac:dyDescent="0.15">
      <c r="A36" s="1248"/>
      <c r="B36" s="1270"/>
      <c r="C36" s="1219"/>
      <c r="D36" s="1219"/>
      <c r="E36" s="1219"/>
      <c r="F36" s="1219"/>
      <c r="G36" s="1219"/>
      <c r="H36" s="1252">
        <v>0</v>
      </c>
      <c r="I36" s="1252"/>
      <c r="J36" s="1257">
        <v>0</v>
      </c>
      <c r="K36" s="1257">
        <v>0</v>
      </c>
      <c r="L36" s="1257">
        <v>0</v>
      </c>
      <c r="M36" s="1257">
        <v>0</v>
      </c>
      <c r="N36" s="1258">
        <v>0</v>
      </c>
      <c r="O36" s="1186">
        <v>0</v>
      </c>
      <c r="P36" s="1186">
        <v>0</v>
      </c>
      <c r="Q36" s="1186">
        <v>0</v>
      </c>
      <c r="R36" s="1186">
        <v>0</v>
      </c>
      <c r="S36" s="1186">
        <v>0</v>
      </c>
      <c r="T36" s="1186">
        <v>0</v>
      </c>
      <c r="U36" s="1186">
        <v>0</v>
      </c>
      <c r="V36" s="1186">
        <v>0</v>
      </c>
      <c r="W36" s="1186">
        <v>0</v>
      </c>
      <c r="X36" s="1186">
        <v>0</v>
      </c>
    </row>
    <row r="37" spans="1:24" customFormat="1" hidden="1" outlineLevel="1" collapsed="1" x14ac:dyDescent="0.15">
      <c r="A37" s="1283" t="s">
        <v>82</v>
      </c>
      <c r="B37" s="1285" t="s">
        <v>83</v>
      </c>
      <c r="C37" s="1218"/>
      <c r="D37" s="1218"/>
      <c r="E37" s="1218"/>
      <c r="F37" s="1218"/>
      <c r="G37" s="1218"/>
      <c r="H37" s="1249"/>
      <c r="I37" s="1249"/>
      <c r="J37" s="1250"/>
      <c r="K37" s="1250"/>
      <c r="L37" s="1250"/>
      <c r="M37" s="1250"/>
      <c r="N37" s="1251"/>
      <c r="O37" s="1185"/>
      <c r="P37" s="1185"/>
      <c r="Q37" s="1185"/>
      <c r="R37" s="1185"/>
      <c r="S37" s="1185"/>
      <c r="T37" s="1185"/>
      <c r="U37" s="1185"/>
      <c r="V37" s="1185"/>
      <c r="W37" s="1185"/>
      <c r="X37" s="1185"/>
    </row>
    <row r="38" spans="1:24" customFormat="1" hidden="1" outlineLevel="1" x14ac:dyDescent="0.15">
      <c r="A38" s="1248"/>
      <c r="B38" s="1270"/>
      <c r="C38" s="1219"/>
      <c r="D38" s="1219"/>
      <c r="E38" s="1219"/>
      <c r="F38" s="1219"/>
      <c r="G38" s="1219"/>
      <c r="H38" s="1252"/>
      <c r="I38" s="1252"/>
      <c r="J38" s="1257"/>
      <c r="K38" s="1257"/>
      <c r="L38" s="1257"/>
      <c r="M38" s="1257"/>
      <c r="N38" s="1258"/>
      <c r="O38" s="1186"/>
      <c r="P38" s="1186"/>
      <c r="Q38" s="1186"/>
      <c r="R38" s="1186"/>
      <c r="S38" s="1186"/>
      <c r="T38" s="1186"/>
      <c r="U38" s="1186"/>
      <c r="V38" s="1186"/>
      <c r="W38" s="1186"/>
      <c r="X38" s="1186"/>
    </row>
    <row r="39" spans="1:24" customFormat="1" hidden="1" outlineLevel="1" x14ac:dyDescent="0.15">
      <c r="A39" s="1248"/>
      <c r="B39" s="1285" t="s">
        <v>1052</v>
      </c>
      <c r="C39" s="1218"/>
      <c r="D39" s="1218"/>
      <c r="E39" s="1218"/>
      <c r="F39" s="1218"/>
      <c r="G39" s="1218"/>
      <c r="H39" s="1249"/>
      <c r="I39" s="1249"/>
      <c r="J39" s="1250"/>
      <c r="K39" s="1250"/>
      <c r="L39" s="1250"/>
      <c r="M39" s="1250"/>
      <c r="N39" s="1251"/>
      <c r="O39" s="1185"/>
      <c r="P39" s="1185"/>
      <c r="Q39" s="1185"/>
      <c r="R39" s="1185"/>
      <c r="S39" s="1185"/>
      <c r="T39" s="1185"/>
      <c r="U39" s="1185"/>
      <c r="V39" s="1185"/>
      <c r="W39" s="1185"/>
      <c r="X39" s="1185"/>
    </row>
    <row r="40" spans="1:24" customFormat="1" hidden="1" outlineLevel="1" x14ac:dyDescent="0.15">
      <c r="A40" s="1248"/>
      <c r="B40" s="1270"/>
      <c r="C40" s="1219"/>
      <c r="D40" s="1219"/>
      <c r="E40" s="1219"/>
      <c r="F40" s="1219"/>
      <c r="G40" s="1219"/>
      <c r="H40" s="1252"/>
      <c r="I40" s="1252"/>
      <c r="J40" s="1257"/>
      <c r="K40" s="1257"/>
      <c r="L40" s="1257"/>
      <c r="M40" s="1257"/>
      <c r="N40" s="1258"/>
      <c r="O40" s="1186"/>
      <c r="P40" s="1186"/>
      <c r="Q40" s="1186"/>
      <c r="R40" s="1186"/>
      <c r="S40" s="1186"/>
      <c r="T40" s="1186"/>
      <c r="U40" s="1186"/>
      <c r="V40" s="1186"/>
      <c r="W40" s="1186"/>
      <c r="X40" s="1186"/>
    </row>
    <row r="41" spans="1:24" customFormat="1" hidden="1" outlineLevel="1" x14ac:dyDescent="0.15">
      <c r="A41" s="1248"/>
      <c r="B41" s="1285" t="s">
        <v>318</v>
      </c>
      <c r="C41" s="1218"/>
      <c r="D41" s="1218"/>
      <c r="E41" s="1218"/>
      <c r="F41" s="1218"/>
      <c r="G41" s="1218"/>
      <c r="H41" s="1249"/>
      <c r="I41" s="1249"/>
      <c r="J41" s="1250"/>
      <c r="K41" s="1250"/>
      <c r="L41" s="1250"/>
      <c r="M41" s="1250"/>
      <c r="N41" s="1251"/>
      <c r="O41" s="1185"/>
      <c r="P41" s="1185"/>
      <c r="Q41" s="1185"/>
      <c r="R41" s="1185"/>
      <c r="S41" s="1185"/>
      <c r="T41" s="1185"/>
      <c r="U41" s="1185"/>
      <c r="V41" s="1185"/>
      <c r="W41" s="1185"/>
      <c r="X41" s="1185"/>
    </row>
    <row r="42" spans="1:24" customFormat="1" hidden="1" outlineLevel="1" x14ac:dyDescent="0.15">
      <c r="A42" s="1248"/>
      <c r="B42" s="1270"/>
      <c r="C42" s="1219"/>
      <c r="D42" s="1219"/>
      <c r="E42" s="1219"/>
      <c r="F42" s="1219"/>
      <c r="G42" s="1219"/>
      <c r="H42" s="1252"/>
      <c r="I42" s="1252"/>
      <c r="J42" s="1257"/>
      <c r="K42" s="1257"/>
      <c r="L42" s="1257"/>
      <c r="M42" s="1257"/>
      <c r="N42" s="1258"/>
      <c r="O42" s="1186"/>
      <c r="P42" s="1186"/>
      <c r="Q42" s="1186"/>
      <c r="R42" s="1186"/>
      <c r="S42" s="1186"/>
      <c r="T42" s="1186"/>
      <c r="U42" s="1186"/>
      <c r="V42" s="1186"/>
      <c r="W42" s="1186"/>
      <c r="X42" s="1186"/>
    </row>
    <row r="43" spans="1:24" customFormat="1" hidden="1" outlineLevel="1" x14ac:dyDescent="0.15">
      <c r="A43" s="1248"/>
      <c r="B43" s="1285" t="s">
        <v>988</v>
      </c>
      <c r="C43" s="1218"/>
      <c r="D43" s="1218"/>
      <c r="E43" s="1218"/>
      <c r="F43" s="1218"/>
      <c r="G43" s="1218"/>
      <c r="H43" s="1249"/>
      <c r="I43" s="1249"/>
      <c r="J43" s="1250"/>
      <c r="K43" s="1250"/>
      <c r="L43" s="1250"/>
      <c r="M43" s="1250"/>
      <c r="N43" s="1251"/>
      <c r="O43" s="1185"/>
      <c r="P43" s="1185"/>
      <c r="Q43" s="1185"/>
      <c r="R43" s="1185"/>
      <c r="S43" s="1185"/>
      <c r="T43" s="1185"/>
      <c r="U43" s="1185"/>
      <c r="V43" s="1185"/>
      <c r="W43" s="1185"/>
      <c r="X43" s="1185"/>
    </row>
    <row r="44" spans="1:24" customFormat="1" hidden="1" outlineLevel="1" x14ac:dyDescent="0.15">
      <c r="A44" s="1248"/>
      <c r="B44" s="1270"/>
      <c r="C44" s="1219"/>
      <c r="D44" s="1219"/>
      <c r="E44" s="1219"/>
      <c r="F44" s="1219"/>
      <c r="G44" s="1219"/>
      <c r="H44" s="1252"/>
      <c r="I44" s="1252"/>
      <c r="J44" s="1257"/>
      <c r="K44" s="1257"/>
      <c r="L44" s="1257"/>
      <c r="M44" s="1257"/>
      <c r="N44" s="1258"/>
      <c r="O44" s="1186"/>
      <c r="P44" s="1186"/>
      <c r="Q44" s="1186"/>
      <c r="R44" s="1186"/>
      <c r="S44" s="1186"/>
      <c r="T44" s="1186"/>
      <c r="U44" s="1186"/>
      <c r="V44" s="1186"/>
      <c r="W44" s="1186"/>
      <c r="X44" s="1186"/>
    </row>
    <row r="45" spans="1:24" customFormat="1" hidden="1" outlineLevel="1" x14ac:dyDescent="0.15">
      <c r="A45" s="1248"/>
      <c r="B45" s="1285" t="s">
        <v>1059</v>
      </c>
      <c r="C45" s="1218"/>
      <c r="D45" s="1218"/>
      <c r="E45" s="1218"/>
      <c r="F45" s="1218"/>
      <c r="G45" s="1218"/>
      <c r="H45" s="1249"/>
      <c r="I45" s="1249"/>
      <c r="J45" s="1250"/>
      <c r="K45" s="1250"/>
      <c r="L45" s="1250"/>
      <c r="M45" s="1250"/>
      <c r="N45" s="1251"/>
      <c r="O45" s="1185"/>
      <c r="P45" s="1185"/>
      <c r="Q45" s="1185"/>
      <c r="R45" s="1185"/>
      <c r="S45" s="1185"/>
      <c r="T45" s="1185"/>
      <c r="U45" s="1185"/>
      <c r="V45" s="1185"/>
      <c r="W45" s="1185"/>
      <c r="X45" s="1185"/>
    </row>
    <row r="46" spans="1:24" customFormat="1" hidden="1" outlineLevel="1" x14ac:dyDescent="0.15">
      <c r="A46" s="1248"/>
      <c r="B46" s="1270"/>
      <c r="C46" s="1219"/>
      <c r="D46" s="1219"/>
      <c r="E46" s="1219"/>
      <c r="F46" s="1219"/>
      <c r="G46" s="1219"/>
      <c r="H46" s="1252"/>
      <c r="I46" s="1252"/>
      <c r="J46" s="1257"/>
      <c r="K46" s="1257"/>
      <c r="L46" s="1257"/>
      <c r="M46" s="1257"/>
      <c r="N46" s="1258"/>
      <c r="O46" s="1186"/>
      <c r="P46" s="1186"/>
      <c r="Q46" s="1186"/>
      <c r="R46" s="1186"/>
      <c r="S46" s="1186"/>
      <c r="T46" s="1186"/>
      <c r="U46" s="1186"/>
      <c r="V46" s="1186"/>
      <c r="W46" s="1186"/>
      <c r="X46" s="1186"/>
    </row>
    <row r="47" spans="1:24" customFormat="1" hidden="1" outlineLevel="1" x14ac:dyDescent="0.15">
      <c r="A47" s="1248"/>
      <c r="B47" s="1285" t="s">
        <v>83</v>
      </c>
      <c r="C47" s="1218"/>
      <c r="D47" s="1218"/>
      <c r="E47" s="1218"/>
      <c r="F47" s="1218"/>
      <c r="G47" s="1218"/>
      <c r="H47" s="1249"/>
      <c r="I47" s="1249"/>
      <c r="J47" s="1250"/>
      <c r="K47" s="1250"/>
      <c r="L47" s="1250"/>
      <c r="M47" s="1250"/>
      <c r="N47" s="1251"/>
      <c r="O47" s="1185"/>
      <c r="P47" s="1185"/>
      <c r="Q47" s="1185"/>
      <c r="R47" s="1185"/>
      <c r="S47" s="1185"/>
      <c r="T47" s="1185"/>
      <c r="U47" s="1185"/>
      <c r="V47" s="1185"/>
      <c r="W47" s="1185"/>
      <c r="X47" s="1185"/>
    </row>
    <row r="48" spans="1:24" customFormat="1" hidden="1" outlineLevel="1" x14ac:dyDescent="0.15">
      <c r="A48" s="1248"/>
      <c r="B48" s="1270"/>
      <c r="C48" s="1219"/>
      <c r="D48" s="1219"/>
      <c r="E48" s="1219"/>
      <c r="F48" s="1219"/>
      <c r="G48" s="1219"/>
      <c r="H48" s="1252"/>
      <c r="I48" s="1252"/>
      <c r="J48" s="1257"/>
      <c r="K48" s="1257"/>
      <c r="L48" s="1257"/>
      <c r="M48" s="1257"/>
      <c r="N48" s="1258"/>
      <c r="O48" s="1186"/>
      <c r="P48" s="1186"/>
      <c r="Q48" s="1186"/>
      <c r="R48" s="1186"/>
      <c r="S48" s="1186"/>
      <c r="T48" s="1186"/>
      <c r="U48" s="1186"/>
      <c r="V48" s="1186"/>
      <c r="W48" s="1186"/>
      <c r="X48" s="1186"/>
    </row>
    <row r="49" spans="1:24" customFormat="1" hidden="1" outlineLevel="1" x14ac:dyDescent="0.15">
      <c r="A49" s="1248"/>
      <c r="B49" s="1285" t="s">
        <v>1053</v>
      </c>
      <c r="C49" s="1218"/>
      <c r="D49" s="1218"/>
      <c r="E49" s="1218"/>
      <c r="F49" s="1218"/>
      <c r="G49" s="1218"/>
      <c r="H49" s="1249"/>
      <c r="I49" s="1249"/>
      <c r="J49" s="1250"/>
      <c r="K49" s="1250"/>
      <c r="L49" s="1250"/>
      <c r="M49" s="1250"/>
      <c r="N49" s="1251"/>
      <c r="O49" s="1185"/>
      <c r="P49" s="1185"/>
      <c r="Q49" s="1185"/>
      <c r="R49" s="1185"/>
      <c r="S49" s="1185"/>
      <c r="T49" s="1185"/>
      <c r="U49" s="1185"/>
      <c r="V49" s="1185"/>
      <c r="W49" s="1185"/>
      <c r="X49" s="1185"/>
    </row>
    <row r="50" spans="1:24" customFormat="1" hidden="1" outlineLevel="1" x14ac:dyDescent="0.15">
      <c r="A50" s="1248"/>
      <c r="B50" s="1270"/>
      <c r="C50" s="1219"/>
      <c r="D50" s="1219"/>
      <c r="E50" s="1219"/>
      <c r="F50" s="1219"/>
      <c r="G50" s="1219"/>
      <c r="H50" s="1252"/>
      <c r="I50" s="1252"/>
      <c r="J50" s="1257"/>
      <c r="K50" s="1257"/>
      <c r="L50" s="1257"/>
      <c r="M50" s="1257"/>
      <c r="N50" s="1258"/>
      <c r="O50" s="1186"/>
      <c r="P50" s="1186"/>
      <c r="Q50" s="1186"/>
      <c r="R50" s="1186"/>
      <c r="S50" s="1186"/>
      <c r="T50" s="1186"/>
      <c r="U50" s="1186"/>
      <c r="V50" s="1186"/>
      <c r="W50" s="1186"/>
      <c r="X50" s="1186"/>
    </row>
    <row r="51" spans="1:24" customFormat="1" hidden="1" outlineLevel="1" x14ac:dyDescent="0.15">
      <c r="A51" s="1248"/>
      <c r="B51" s="1285" t="s">
        <v>91</v>
      </c>
      <c r="C51" s="1218"/>
      <c r="D51" s="1218"/>
      <c r="E51" s="1218"/>
      <c r="F51" s="1218"/>
      <c r="G51" s="1218"/>
      <c r="H51" s="1249"/>
      <c r="I51" s="1249"/>
      <c r="J51" s="1250"/>
      <c r="K51" s="1250"/>
      <c r="L51" s="1250"/>
      <c r="M51" s="1250"/>
      <c r="N51" s="1251"/>
      <c r="O51" s="1185"/>
      <c r="P51" s="1185"/>
      <c r="Q51" s="1185"/>
      <c r="R51" s="1185"/>
      <c r="S51" s="1185"/>
      <c r="T51" s="1185"/>
      <c r="U51" s="1185"/>
      <c r="V51" s="1185"/>
      <c r="W51" s="1185"/>
      <c r="X51" s="1185"/>
    </row>
    <row r="52" spans="1:24" customFormat="1" hidden="1" outlineLevel="1" x14ac:dyDescent="0.15">
      <c r="A52" s="1248"/>
      <c r="B52" s="1270"/>
      <c r="C52" s="1219"/>
      <c r="D52" s="1219"/>
      <c r="E52" s="1219"/>
      <c r="F52" s="1219"/>
      <c r="G52" s="1219"/>
      <c r="H52" s="1252"/>
      <c r="I52" s="1252"/>
      <c r="J52" s="1257"/>
      <c r="K52" s="1257"/>
      <c r="L52" s="1257"/>
      <c r="M52" s="1257"/>
      <c r="N52" s="1258"/>
      <c r="O52" s="1186"/>
      <c r="P52" s="1186"/>
      <c r="Q52" s="1186"/>
      <c r="R52" s="1186"/>
      <c r="S52" s="1186"/>
      <c r="T52" s="1186"/>
      <c r="U52" s="1186"/>
      <c r="V52" s="1186"/>
      <c r="W52" s="1186"/>
      <c r="X52" s="1186"/>
    </row>
    <row r="53" spans="1:24" customFormat="1" hidden="1" outlineLevel="1" x14ac:dyDescent="0.15">
      <c r="A53" s="1248"/>
      <c r="B53" s="1285" t="s">
        <v>949</v>
      </c>
      <c r="C53" s="1218"/>
      <c r="D53" s="1218"/>
      <c r="E53" s="1218"/>
      <c r="F53" s="1218"/>
      <c r="G53" s="1218"/>
      <c r="H53" s="1249"/>
      <c r="I53" s="1249"/>
      <c r="J53" s="1250"/>
      <c r="K53" s="1250"/>
      <c r="L53" s="1250"/>
      <c r="M53" s="1250"/>
      <c r="N53" s="1251"/>
      <c r="O53" s="1185"/>
      <c r="P53" s="1185"/>
      <c r="Q53" s="1185"/>
      <c r="R53" s="1185"/>
      <c r="S53" s="1185"/>
      <c r="T53" s="1185"/>
      <c r="U53" s="1185"/>
      <c r="V53" s="1185"/>
      <c r="W53" s="1185"/>
      <c r="X53" s="1185"/>
    </row>
    <row r="54" spans="1:24" customFormat="1" ht="12" hidden="1" outlineLevel="1" thickBot="1" x14ac:dyDescent="0.2">
      <c r="A54" s="1248"/>
      <c r="B54" s="1270"/>
      <c r="C54" s="1219"/>
      <c r="D54" s="1219"/>
      <c r="E54" s="1219"/>
      <c r="F54" s="1219"/>
      <c r="G54" s="1219"/>
      <c r="H54" s="1252"/>
      <c r="I54" s="1252"/>
      <c r="J54" s="1257"/>
      <c r="K54" s="1257"/>
      <c r="L54" s="1257"/>
      <c r="M54" s="1257"/>
      <c r="N54" s="1258"/>
      <c r="O54" s="1186"/>
      <c r="P54" s="1186"/>
      <c r="Q54" s="1186"/>
      <c r="R54" s="1186"/>
      <c r="S54" s="1186"/>
      <c r="T54" s="1186"/>
      <c r="U54" s="1186"/>
      <c r="V54" s="1186"/>
      <c r="W54" s="1186"/>
      <c r="X54" s="1186"/>
    </row>
    <row r="55" spans="1:24" customFormat="1" hidden="1" outlineLevel="1" x14ac:dyDescent="0.15">
      <c r="A55" s="1248"/>
      <c r="B55" s="1268" t="s">
        <v>1781</v>
      </c>
      <c r="C55" s="1245">
        <f>+C6</f>
        <v>42735</v>
      </c>
      <c r="D55" s="1245">
        <f t="shared" ref="D55:E55" si="6">+D6</f>
        <v>43100</v>
      </c>
      <c r="E55" s="1245">
        <f t="shared" si="6"/>
        <v>43465</v>
      </c>
      <c r="F55" s="1246">
        <f>+'Info Entrada'!F50</f>
        <v>0</v>
      </c>
      <c r="G55" s="1245">
        <f>+'Info Entrada'!G50</f>
        <v>0</v>
      </c>
      <c r="H55" s="1247">
        <f>+H6</f>
        <v>43830</v>
      </c>
      <c r="I55" s="1247"/>
      <c r="J55" s="1247">
        <f t="shared" ref="J55:X55" si="7">+J6</f>
        <v>44196</v>
      </c>
      <c r="K55" s="1247">
        <f t="shared" si="7"/>
        <v>44561</v>
      </c>
      <c r="L55" s="1247">
        <f t="shared" si="7"/>
        <v>44926</v>
      </c>
      <c r="M55" s="1247">
        <f t="shared" si="7"/>
        <v>45291</v>
      </c>
      <c r="N55" s="1340">
        <f t="shared" si="7"/>
        <v>45657</v>
      </c>
      <c r="O55" s="1284">
        <f t="shared" si="7"/>
        <v>46022</v>
      </c>
      <c r="P55" s="1247">
        <f t="shared" si="7"/>
        <v>46387</v>
      </c>
      <c r="Q55" s="1247">
        <f t="shared" si="7"/>
        <v>46752</v>
      </c>
      <c r="R55" s="1247">
        <f t="shared" si="7"/>
        <v>47118</v>
      </c>
      <c r="S55" s="1247">
        <f t="shared" si="7"/>
        <v>47483</v>
      </c>
      <c r="T55" s="1247">
        <f t="shared" si="7"/>
        <v>47848</v>
      </c>
      <c r="U55" s="1247">
        <f t="shared" si="7"/>
        <v>48213</v>
      </c>
      <c r="V55" s="1247">
        <f t="shared" si="7"/>
        <v>48579</v>
      </c>
      <c r="W55" s="1247">
        <f t="shared" si="7"/>
        <v>48944</v>
      </c>
      <c r="X55" s="1247">
        <f t="shared" si="7"/>
        <v>49309</v>
      </c>
    </row>
    <row r="56" spans="1:24" customFormat="1" collapsed="1" x14ac:dyDescent="0.15">
      <c r="A56" s="1283" t="s">
        <v>337</v>
      </c>
      <c r="B56" s="1285" t="s">
        <v>674</v>
      </c>
      <c r="C56" s="1350">
        <v>3.5999999999999997E-2</v>
      </c>
      <c r="D56" s="1220" t="e">
        <f>+('Info Entrada'!D77/'Info Entrada'!C77)-1</f>
        <v>#DIV/0!</v>
      </c>
      <c r="E56" s="1220" t="e">
        <f>+('Info Entrada'!E77/'Info Entrada'!D77)-1</f>
        <v>#DIV/0!</v>
      </c>
      <c r="F56" s="1218"/>
      <c r="G56" s="1218"/>
      <c r="H56" s="1249"/>
      <c r="I56" s="1249"/>
      <c r="J56" s="1250"/>
      <c r="K56" s="1250"/>
      <c r="L56" s="1250"/>
      <c r="M56" s="1250"/>
      <c r="N56" s="1251"/>
      <c r="O56" s="1185"/>
      <c r="P56" s="1185"/>
      <c r="Q56" s="1185"/>
      <c r="R56" s="1185"/>
      <c r="S56" s="1185"/>
      <c r="T56" s="1185"/>
      <c r="U56" s="1185"/>
      <c r="V56" s="1185"/>
      <c r="W56" s="1185"/>
      <c r="X56" s="1185"/>
    </row>
    <row r="57" spans="1:24" customFormat="1" outlineLevel="1" x14ac:dyDescent="0.15">
      <c r="A57" s="1248"/>
      <c r="B57" s="1270"/>
      <c r="C57" s="1219"/>
      <c r="D57" s="1219"/>
      <c r="E57" s="1219"/>
      <c r="F57" s="1219"/>
      <c r="G57" s="1219"/>
      <c r="H57" s="1252">
        <v>0.13800000000000001</v>
      </c>
      <c r="I57" s="1252"/>
      <c r="J57" s="1253">
        <v>8.8999999999999996E-2</v>
      </c>
      <c r="K57" s="1253">
        <v>7.3999999999999996E-2</v>
      </c>
      <c r="L57" s="1253">
        <v>7.3999999999999996E-2</v>
      </c>
      <c r="M57" s="1253">
        <v>7.3999999999999996E-2</v>
      </c>
      <c r="N57" s="1254">
        <f t="shared" ref="N57:X57" si="8">+M57*0.95</f>
        <v>7.0299999999999987E-2</v>
      </c>
      <c r="O57" s="1188">
        <f t="shared" si="8"/>
        <v>6.6784999999999983E-2</v>
      </c>
      <c r="P57" s="1188">
        <f t="shared" si="8"/>
        <v>6.3445749999999981E-2</v>
      </c>
      <c r="Q57" s="1188">
        <f t="shared" si="8"/>
        <v>6.0273462499999979E-2</v>
      </c>
      <c r="R57" s="1188">
        <f t="shared" si="8"/>
        <v>5.7259789374999974E-2</v>
      </c>
      <c r="S57" s="1188">
        <f t="shared" si="8"/>
        <v>5.4396799906249974E-2</v>
      </c>
      <c r="T57" s="1188">
        <f t="shared" si="8"/>
        <v>5.1676959910937473E-2</v>
      </c>
      <c r="U57" s="1188">
        <f t="shared" si="8"/>
        <v>4.9093111915390598E-2</v>
      </c>
      <c r="V57" s="1188">
        <f t="shared" si="8"/>
        <v>4.6638456319621067E-2</v>
      </c>
      <c r="W57" s="1188">
        <f t="shared" si="8"/>
        <v>4.4306533503640014E-2</v>
      </c>
      <c r="X57" s="1188">
        <f t="shared" si="8"/>
        <v>4.209120682845801E-2</v>
      </c>
    </row>
    <row r="58" spans="1:24" customFormat="1" hidden="1" outlineLevel="1" x14ac:dyDescent="0.15">
      <c r="A58" s="1248"/>
      <c r="B58" s="1285" t="s">
        <v>675</v>
      </c>
      <c r="C58" s="1218"/>
      <c r="D58" s="1220"/>
      <c r="E58" s="1220"/>
      <c r="F58" s="1218"/>
      <c r="G58" s="1218"/>
      <c r="H58" s="1249"/>
      <c r="I58" s="1249"/>
      <c r="J58" s="1259"/>
      <c r="K58" s="1250"/>
      <c r="L58" s="1250"/>
      <c r="M58" s="1250"/>
      <c r="N58" s="1251"/>
      <c r="O58" s="1185"/>
      <c r="P58" s="1185"/>
      <c r="Q58" s="1185"/>
      <c r="R58" s="1185"/>
      <c r="S58" s="1185"/>
      <c r="T58" s="1185"/>
      <c r="U58" s="1185"/>
      <c r="V58" s="1185"/>
      <c r="W58" s="1185"/>
      <c r="X58" s="1185"/>
    </row>
    <row r="59" spans="1:24" customFormat="1" hidden="1" outlineLevel="1" x14ac:dyDescent="0.15">
      <c r="A59" s="1248"/>
      <c r="B59" s="1270"/>
      <c r="C59" s="1219"/>
      <c r="D59" s="1219"/>
      <c r="E59" s="1219"/>
      <c r="F59" s="1219"/>
      <c r="G59" s="1219"/>
      <c r="H59" s="1252">
        <f>+(1.05665373713263)-1</f>
        <v>5.6653737132630111E-2</v>
      </c>
      <c r="I59" s="1252"/>
      <c r="J59" s="1253">
        <f>+(0.997176238043133)-1</f>
        <v>-2.8237619568669547E-3</v>
      </c>
      <c r="K59" s="1253">
        <f>+(28505/28251)-1</f>
        <v>8.9908321829315074E-3</v>
      </c>
      <c r="L59" s="1253">
        <f>+(0.991089282582003)-1</f>
        <v>-8.9107174179969828E-3</v>
      </c>
      <c r="M59" s="1253">
        <f>+K59</f>
        <v>8.9908321829315074E-3</v>
      </c>
      <c r="N59" s="1254">
        <f t="shared" ref="N59:X59" si="9">+M59*0.95</f>
        <v>8.541290573784931E-3</v>
      </c>
      <c r="O59" s="1188">
        <f t="shared" si="9"/>
        <v>8.1142260450956846E-3</v>
      </c>
      <c r="P59" s="1188">
        <f t="shared" si="9"/>
        <v>7.7085147428408995E-3</v>
      </c>
      <c r="Q59" s="1188">
        <f t="shared" si="9"/>
        <v>7.3230890056988542E-3</v>
      </c>
      <c r="R59" s="1188">
        <f t="shared" si="9"/>
        <v>6.9569345554139116E-3</v>
      </c>
      <c r="S59" s="1188">
        <f t="shared" si="9"/>
        <v>6.6090878276432157E-3</v>
      </c>
      <c r="T59" s="1188">
        <f t="shared" si="9"/>
        <v>6.2786334362610547E-3</v>
      </c>
      <c r="U59" s="1188">
        <f t="shared" si="9"/>
        <v>5.9647017644480016E-3</v>
      </c>
      <c r="V59" s="1188">
        <f t="shared" si="9"/>
        <v>5.6664666762256009E-3</v>
      </c>
      <c r="W59" s="1188">
        <f t="shared" si="9"/>
        <v>5.3831433424143208E-3</v>
      </c>
      <c r="X59" s="1188">
        <f t="shared" si="9"/>
        <v>5.1139861752936043E-3</v>
      </c>
    </row>
    <row r="60" spans="1:24" customFormat="1" outlineLevel="1" x14ac:dyDescent="0.15">
      <c r="A60" s="1248"/>
      <c r="B60" s="1285" t="s">
        <v>684</v>
      </c>
      <c r="C60" s="1220" t="e">
        <f>+'Info Entrada'!C84/'Info Entrada'!C77</f>
        <v>#DIV/0!</v>
      </c>
      <c r="D60" s="1220" t="e">
        <f>+'Info Entrada'!D84/'Info Entrada'!D77</f>
        <v>#DIV/0!</v>
      </c>
      <c r="E60" s="1220" t="e">
        <f>+'Info Entrada'!E84/'Info Entrada'!E77</f>
        <v>#DIV/0!</v>
      </c>
      <c r="F60" s="1220" t="e">
        <f>+'Info Entrada'!F84/'Info Entrada'!F77</f>
        <v>#DIV/0!</v>
      </c>
      <c r="G60" s="1220" t="e">
        <f>+'Info Entrada'!G84/'Info Entrada'!G77</f>
        <v>#DIV/0!</v>
      </c>
      <c r="H60" s="1249"/>
      <c r="I60" s="1249"/>
      <c r="J60" s="1250"/>
      <c r="K60" s="1250"/>
      <c r="L60" s="1250"/>
      <c r="M60" s="1250"/>
      <c r="N60" s="1251"/>
      <c r="O60" s="1185"/>
      <c r="P60" s="1185"/>
      <c r="Q60" s="1185"/>
      <c r="R60" s="1185"/>
      <c r="S60" s="1185"/>
      <c r="T60" s="1185"/>
      <c r="U60" s="1185"/>
      <c r="V60" s="1185"/>
      <c r="W60" s="1185"/>
      <c r="X60" s="1185"/>
    </row>
    <row r="61" spans="1:24" customFormat="1" outlineLevel="1" x14ac:dyDescent="0.15">
      <c r="A61" s="1248"/>
      <c r="B61" s="1270"/>
      <c r="C61" s="1219"/>
      <c r="D61" s="1219"/>
      <c r="E61" s="1219"/>
      <c r="F61" s="1219"/>
      <c r="G61" s="1219"/>
      <c r="H61" s="1252">
        <v>0.61399999999999999</v>
      </c>
      <c r="I61" s="1252"/>
      <c r="J61" s="1253">
        <v>0.625</v>
      </c>
      <c r="K61" s="1253">
        <f t="shared" ref="K61:X61" si="10">+J61</f>
        <v>0.625</v>
      </c>
      <c r="L61" s="1253">
        <f t="shared" si="10"/>
        <v>0.625</v>
      </c>
      <c r="M61" s="1253">
        <f t="shared" si="10"/>
        <v>0.625</v>
      </c>
      <c r="N61" s="1254">
        <f t="shared" si="10"/>
        <v>0.625</v>
      </c>
      <c r="O61" s="1188">
        <f t="shared" si="10"/>
        <v>0.625</v>
      </c>
      <c r="P61" s="1188">
        <f t="shared" si="10"/>
        <v>0.625</v>
      </c>
      <c r="Q61" s="1188">
        <f t="shared" si="10"/>
        <v>0.625</v>
      </c>
      <c r="R61" s="1188">
        <f t="shared" si="10"/>
        <v>0.625</v>
      </c>
      <c r="S61" s="1188">
        <f t="shared" si="10"/>
        <v>0.625</v>
      </c>
      <c r="T61" s="1188">
        <f t="shared" si="10"/>
        <v>0.625</v>
      </c>
      <c r="U61" s="1188">
        <f t="shared" si="10"/>
        <v>0.625</v>
      </c>
      <c r="V61" s="1188">
        <f t="shared" si="10"/>
        <v>0.625</v>
      </c>
      <c r="W61" s="1188">
        <f t="shared" si="10"/>
        <v>0.625</v>
      </c>
      <c r="X61" s="1188">
        <f t="shared" si="10"/>
        <v>0.625</v>
      </c>
    </row>
    <row r="62" spans="1:24" customFormat="1" outlineLevel="1" x14ac:dyDescent="0.15">
      <c r="A62" s="1248"/>
      <c r="B62" s="1269" t="s">
        <v>1752</v>
      </c>
      <c r="C62" s="1350">
        <v>1.8499999999999999E-2</v>
      </c>
      <c r="D62" s="1220" t="e">
        <f>+('Info Entrada'!D96/'Info Entrada'!C96)-1</f>
        <v>#DIV/0!</v>
      </c>
      <c r="E62" s="1220" t="e">
        <f>+('Info Entrada'!E96/'Info Entrada'!D96)-1</f>
        <v>#DIV/0!</v>
      </c>
      <c r="F62" s="1218"/>
      <c r="G62" s="1218"/>
      <c r="H62" s="1249"/>
      <c r="I62" s="1249"/>
      <c r="J62" s="1250"/>
      <c r="K62" s="1250"/>
      <c r="L62" s="1250"/>
      <c r="M62" s="1250"/>
      <c r="N62" s="1251"/>
      <c r="O62" s="1185"/>
      <c r="P62" s="1185"/>
      <c r="Q62" s="1185"/>
      <c r="R62" s="1185"/>
      <c r="S62" s="1185"/>
      <c r="T62" s="1185"/>
      <c r="U62" s="1185"/>
      <c r="V62" s="1185"/>
      <c r="W62" s="1185"/>
      <c r="X62" s="1185"/>
    </row>
    <row r="63" spans="1:24" customFormat="1" outlineLevel="1" x14ac:dyDescent="0.15">
      <c r="A63" s="1248"/>
      <c r="B63" s="1270"/>
      <c r="C63" s="1219"/>
      <c r="D63" s="1219"/>
      <c r="E63" s="1219"/>
      <c r="F63" s="1219"/>
      <c r="G63" s="1219"/>
      <c r="H63" s="1252">
        <f>+(148025/135710)-1</f>
        <v>9.0744970893817722E-2</v>
      </c>
      <c r="I63" s="1252"/>
      <c r="J63" s="1253">
        <f>+(155658/148025)-1</f>
        <v>5.1565613916568109E-2</v>
      </c>
      <c r="K63" s="1253">
        <f>+(166147/155658)-1</f>
        <v>6.7384907939199934E-2</v>
      </c>
      <c r="L63" s="1253">
        <f>+(177962/166147)-1</f>
        <v>7.1111726362799166E-2</v>
      </c>
      <c r="M63" s="1253">
        <f>+(190653/177962)-1</f>
        <v>7.1312976927658811E-2</v>
      </c>
      <c r="N63" s="1254">
        <f t="shared" ref="N63:X63" si="11">+M63</f>
        <v>7.1312976927658811E-2</v>
      </c>
      <c r="O63" s="1188">
        <f t="shared" si="11"/>
        <v>7.1312976927658811E-2</v>
      </c>
      <c r="P63" s="1188">
        <f t="shared" si="11"/>
        <v>7.1312976927658811E-2</v>
      </c>
      <c r="Q63" s="1188">
        <f t="shared" si="11"/>
        <v>7.1312976927658811E-2</v>
      </c>
      <c r="R63" s="1188">
        <f t="shared" si="11"/>
        <v>7.1312976927658811E-2</v>
      </c>
      <c r="S63" s="1188">
        <f t="shared" si="11"/>
        <v>7.1312976927658811E-2</v>
      </c>
      <c r="T63" s="1188">
        <f t="shared" si="11"/>
        <v>7.1312976927658811E-2</v>
      </c>
      <c r="U63" s="1188">
        <f t="shared" si="11"/>
        <v>7.1312976927658811E-2</v>
      </c>
      <c r="V63" s="1188">
        <f t="shared" si="11"/>
        <v>7.1312976927658811E-2</v>
      </c>
      <c r="W63" s="1188">
        <f t="shared" si="11"/>
        <v>7.1312976927658811E-2</v>
      </c>
      <c r="X63" s="1188">
        <f t="shared" si="11"/>
        <v>7.1312976927658811E-2</v>
      </c>
    </row>
    <row r="64" spans="1:24" customFormat="1" hidden="1" outlineLevel="1" x14ac:dyDescent="0.15">
      <c r="A64" s="1248"/>
      <c r="B64" s="1285" t="s">
        <v>680</v>
      </c>
      <c r="C64" s="1218"/>
      <c r="D64" s="1218"/>
      <c r="E64" s="1218"/>
      <c r="F64" s="1218"/>
      <c r="G64" s="1218"/>
      <c r="H64" s="1249"/>
      <c r="I64" s="1249"/>
      <c r="J64" s="1250"/>
      <c r="K64" s="1250"/>
      <c r="L64" s="1250"/>
      <c r="M64" s="1250"/>
      <c r="N64" s="1251"/>
      <c r="O64" s="1185"/>
      <c r="P64" s="1185"/>
      <c r="Q64" s="1185"/>
      <c r="R64" s="1185"/>
      <c r="S64" s="1185"/>
      <c r="T64" s="1185"/>
      <c r="U64" s="1185"/>
      <c r="V64" s="1185"/>
      <c r="W64" s="1185"/>
      <c r="X64" s="1185"/>
    </row>
    <row r="65" spans="1:24" customFormat="1" hidden="1" outlineLevel="1" x14ac:dyDescent="0.15">
      <c r="A65" s="1248"/>
      <c r="B65" s="1270"/>
      <c r="C65" s="1219"/>
      <c r="D65" s="1219"/>
      <c r="E65" s="1219"/>
      <c r="F65" s="1219"/>
      <c r="G65" s="1219"/>
      <c r="H65" s="1252"/>
      <c r="I65" s="1252"/>
      <c r="J65" s="1257"/>
      <c r="K65" s="1257"/>
      <c r="L65" s="1257"/>
      <c r="M65" s="1257"/>
      <c r="N65" s="1258"/>
      <c r="O65" s="1186"/>
      <c r="P65" s="1186"/>
      <c r="Q65" s="1186"/>
      <c r="R65" s="1186"/>
      <c r="S65" s="1186"/>
      <c r="T65" s="1186"/>
      <c r="U65" s="1186"/>
      <c r="V65" s="1186"/>
      <c r="W65" s="1186"/>
      <c r="X65" s="1186"/>
    </row>
    <row r="66" spans="1:24" customFormat="1" outlineLevel="1" x14ac:dyDescent="0.15">
      <c r="A66" s="1248"/>
      <c r="B66" s="1269" t="s">
        <v>1753</v>
      </c>
      <c r="C66" s="1351">
        <v>5.5800000000000002E-2</v>
      </c>
      <c r="D66" s="1239" t="e">
        <f>+('Info Entrada'!D105/'Info Entrada'!C105)-1</f>
        <v>#DIV/0!</v>
      </c>
      <c r="E66" s="1220" t="e">
        <f>+('Info Entrada'!E105/'Info Entrada'!D105)-1</f>
        <v>#DIV/0!</v>
      </c>
      <c r="F66" s="1218"/>
      <c r="G66" s="1218"/>
      <c r="H66" s="1249"/>
      <c r="I66" s="1249"/>
      <c r="J66" s="1250"/>
      <c r="K66" s="1250"/>
      <c r="L66" s="1250"/>
      <c r="M66" s="1250"/>
      <c r="N66" s="1251"/>
      <c r="O66" s="1185"/>
      <c r="P66" s="1185"/>
      <c r="Q66" s="1185"/>
      <c r="R66" s="1185"/>
      <c r="S66" s="1185"/>
      <c r="T66" s="1185"/>
      <c r="U66" s="1185"/>
      <c r="V66" s="1185"/>
      <c r="W66" s="1185"/>
      <c r="X66" s="1185"/>
    </row>
    <row r="67" spans="1:24" customFormat="1" outlineLevel="1" x14ac:dyDescent="0.15">
      <c r="A67" s="1248"/>
      <c r="B67" s="1270"/>
      <c r="C67" s="1219"/>
      <c r="D67" s="1219"/>
      <c r="E67" s="1219"/>
      <c r="F67" s="1219"/>
      <c r="G67" s="1219"/>
      <c r="H67" s="1252">
        <f>+((186886+101118)/(174965+80574))-1</f>
        <v>0.12704518684036481</v>
      </c>
      <c r="I67" s="1252"/>
      <c r="J67" s="1253">
        <f>+((125715+184757)/(186886+101118))-1</f>
        <v>7.8012805377703165E-2</v>
      </c>
      <c r="K67" s="1253">
        <f>+(135068+198981)/(125715+184757)-1</f>
        <v>7.593921513051094E-2</v>
      </c>
      <c r="L67" s="1253">
        <f>+(145133+213315)/(198981+135068)-1</f>
        <v>7.3040182727683645E-2</v>
      </c>
      <c r="M67" s="1253">
        <f>+(155953+229136)/(145133+213315)-1</f>
        <v>7.4323193322322956E-2</v>
      </c>
      <c r="N67" s="1254">
        <f t="shared" ref="N67:X67" si="12">+N63</f>
        <v>7.1312976927658811E-2</v>
      </c>
      <c r="O67" s="1188">
        <f t="shared" si="12"/>
        <v>7.1312976927658811E-2</v>
      </c>
      <c r="P67" s="1188">
        <f t="shared" si="12"/>
        <v>7.1312976927658811E-2</v>
      </c>
      <c r="Q67" s="1188">
        <f t="shared" si="12"/>
        <v>7.1312976927658811E-2</v>
      </c>
      <c r="R67" s="1188">
        <f t="shared" si="12"/>
        <v>7.1312976927658811E-2</v>
      </c>
      <c r="S67" s="1188">
        <f t="shared" si="12"/>
        <v>7.1312976927658811E-2</v>
      </c>
      <c r="T67" s="1188">
        <f t="shared" si="12"/>
        <v>7.1312976927658811E-2</v>
      </c>
      <c r="U67" s="1188">
        <f t="shared" si="12"/>
        <v>7.1312976927658811E-2</v>
      </c>
      <c r="V67" s="1188">
        <f t="shared" si="12"/>
        <v>7.1312976927658811E-2</v>
      </c>
      <c r="W67" s="1188">
        <f t="shared" si="12"/>
        <v>7.1312976927658811E-2</v>
      </c>
      <c r="X67" s="1188">
        <f t="shared" si="12"/>
        <v>7.1312976927658811E-2</v>
      </c>
    </row>
    <row r="68" spans="1:24" customFormat="1" hidden="1" outlineLevel="1" x14ac:dyDescent="0.15">
      <c r="A68" s="1248"/>
      <c r="B68" s="1285" t="s">
        <v>1032</v>
      </c>
      <c r="C68" s="1218"/>
      <c r="D68" s="1218"/>
      <c r="E68" s="1218"/>
      <c r="F68" s="1218"/>
      <c r="G68" s="1218"/>
      <c r="H68" s="1249"/>
      <c r="I68" s="1249"/>
      <c r="J68" s="1250"/>
      <c r="K68" s="1250"/>
      <c r="L68" s="1250"/>
      <c r="M68" s="1250"/>
      <c r="N68" s="1251"/>
      <c r="O68" s="1185"/>
      <c r="P68" s="1185"/>
      <c r="Q68" s="1185"/>
      <c r="R68" s="1185"/>
      <c r="S68" s="1185"/>
      <c r="T68" s="1185"/>
      <c r="U68" s="1185"/>
      <c r="V68" s="1185"/>
      <c r="W68" s="1185"/>
      <c r="X68" s="1185"/>
    </row>
    <row r="69" spans="1:24" customFormat="1" hidden="1" outlineLevel="1" x14ac:dyDescent="0.15">
      <c r="A69" s="1248"/>
      <c r="B69" s="1270"/>
      <c r="C69" s="1219"/>
      <c r="D69" s="1219"/>
      <c r="E69" s="1219"/>
      <c r="F69" s="1219"/>
      <c r="G69" s="1219"/>
      <c r="H69" s="1252"/>
      <c r="I69" s="1252"/>
      <c r="J69" s="1257"/>
      <c r="K69" s="1257"/>
      <c r="L69" s="1257"/>
      <c r="M69" s="1257"/>
      <c r="N69" s="1258"/>
      <c r="O69" s="1186"/>
      <c r="P69" s="1186"/>
      <c r="Q69" s="1186"/>
      <c r="R69" s="1186"/>
      <c r="S69" s="1186"/>
      <c r="T69" s="1186"/>
      <c r="U69" s="1186"/>
      <c r="V69" s="1186"/>
      <c r="W69" s="1186"/>
      <c r="X69" s="1186"/>
    </row>
    <row r="70" spans="1:24" customFormat="1" outlineLevel="1" x14ac:dyDescent="0.15">
      <c r="A70" s="1248"/>
      <c r="B70" s="1269" t="s">
        <v>1778</v>
      </c>
      <c r="C70" s="1220" t="e">
        <f>+'Info Entrada'!C123/('Info Entrada'!C175+'Info Entrada'!C174)</f>
        <v>#DIV/0!</v>
      </c>
      <c r="D70" s="1220" t="e">
        <f>+'Info Entrada'!D123/('Info Entrada'!D175+'Info Entrada'!D174)</f>
        <v>#DIV/0!</v>
      </c>
      <c r="E70" s="1220" t="e">
        <f>+'Info Entrada'!E123/('Info Entrada'!E175+'Info Entrada'!E174)</f>
        <v>#DIV/0!</v>
      </c>
      <c r="F70" s="1220" t="e">
        <f>+'Info Entrada'!F123/('Info Entrada'!F175+'Info Entrada'!F174)</f>
        <v>#DIV/0!</v>
      </c>
      <c r="G70" s="1220" t="e">
        <f>+'Info Entrada'!G123/('Info Entrada'!G175+'Info Entrada'!G174)</f>
        <v>#DIV/0!</v>
      </c>
      <c r="H70" s="1249"/>
      <c r="I70" s="1249"/>
      <c r="J70" s="1250"/>
      <c r="K70" s="1250"/>
      <c r="L70" s="1250"/>
      <c r="M70" s="1250"/>
      <c r="N70" s="1251"/>
      <c r="O70" s="1185"/>
      <c r="P70" s="1185"/>
      <c r="Q70" s="1185"/>
      <c r="R70" s="1185"/>
      <c r="S70" s="1185"/>
      <c r="T70" s="1185"/>
      <c r="U70" s="1185"/>
      <c r="V70" s="1185"/>
      <c r="W70" s="1185"/>
      <c r="X70" s="1185"/>
    </row>
    <row r="71" spans="1:24" customFormat="1" outlineLevel="1" x14ac:dyDescent="0.15">
      <c r="A71" s="1248"/>
      <c r="B71" s="1270"/>
      <c r="C71" s="1219"/>
      <c r="D71" s="1219"/>
      <c r="E71" s="1219"/>
      <c r="F71" s="1219"/>
      <c r="G71" s="1219"/>
      <c r="H71" s="1252" t="e">
        <f>+D70</f>
        <v>#DIV/0!</v>
      </c>
      <c r="I71" s="1252"/>
      <c r="J71" s="1260" t="e">
        <f>+H71</f>
        <v>#DIV/0!</v>
      </c>
      <c r="K71" s="1260" t="e">
        <f t="shared" ref="K71:X71" si="13">+J71</f>
        <v>#DIV/0!</v>
      </c>
      <c r="L71" s="1260" t="e">
        <f t="shared" si="13"/>
        <v>#DIV/0!</v>
      </c>
      <c r="M71" s="1260" t="e">
        <f t="shared" si="13"/>
        <v>#DIV/0!</v>
      </c>
      <c r="N71" s="1261" t="e">
        <f t="shared" si="13"/>
        <v>#DIV/0!</v>
      </c>
      <c r="O71" s="1223" t="e">
        <f t="shared" si="13"/>
        <v>#DIV/0!</v>
      </c>
      <c r="P71" s="1223" t="e">
        <f t="shared" si="13"/>
        <v>#DIV/0!</v>
      </c>
      <c r="Q71" s="1223" t="e">
        <f t="shared" si="13"/>
        <v>#DIV/0!</v>
      </c>
      <c r="R71" s="1223" t="e">
        <f t="shared" si="13"/>
        <v>#DIV/0!</v>
      </c>
      <c r="S71" s="1223" t="e">
        <f t="shared" si="13"/>
        <v>#DIV/0!</v>
      </c>
      <c r="T71" s="1223" t="e">
        <f t="shared" si="13"/>
        <v>#DIV/0!</v>
      </c>
      <c r="U71" s="1223" t="e">
        <f t="shared" si="13"/>
        <v>#DIV/0!</v>
      </c>
      <c r="V71" s="1223" t="e">
        <f t="shared" si="13"/>
        <v>#DIV/0!</v>
      </c>
      <c r="W71" s="1223" t="e">
        <f t="shared" si="13"/>
        <v>#DIV/0!</v>
      </c>
      <c r="X71" s="1223" t="e">
        <f t="shared" si="13"/>
        <v>#DIV/0!</v>
      </c>
    </row>
    <row r="72" spans="1:24" customFormat="1" outlineLevel="1" x14ac:dyDescent="0.15">
      <c r="A72" s="1248"/>
      <c r="B72" s="1269" t="s">
        <v>1763</v>
      </c>
      <c r="C72" s="1220">
        <f>+'Info Entrada'!C274</f>
        <v>0</v>
      </c>
      <c r="D72" s="1220">
        <f>+'Info Entrada'!D274</f>
        <v>0</v>
      </c>
      <c r="E72" s="1220">
        <f>+'Info Entrada'!E274</f>
        <v>0</v>
      </c>
      <c r="F72" s="1220">
        <f>+'Info Entrada'!F274</f>
        <v>0</v>
      </c>
      <c r="G72" s="1220">
        <f>+'Info Entrada'!G274</f>
        <v>0</v>
      </c>
      <c r="H72" s="1249"/>
      <c r="I72" s="1249"/>
      <c r="J72" s="1250"/>
      <c r="K72" s="1250"/>
      <c r="L72" s="1250"/>
      <c r="M72" s="1250"/>
      <c r="N72" s="1251"/>
      <c r="O72" s="1185"/>
      <c r="P72" s="1185"/>
      <c r="Q72" s="1185"/>
      <c r="R72" s="1185"/>
      <c r="S72" s="1185"/>
      <c r="T72" s="1185"/>
      <c r="U72" s="1185"/>
      <c r="V72" s="1185"/>
      <c r="W72" s="1185"/>
      <c r="X72" s="1185"/>
    </row>
    <row r="73" spans="1:24" customFormat="1" outlineLevel="1" x14ac:dyDescent="0.15">
      <c r="A73" s="1248"/>
      <c r="B73" s="1270"/>
      <c r="C73" s="1228"/>
      <c r="D73" s="1228"/>
      <c r="E73" s="1228"/>
      <c r="F73" s="1228"/>
      <c r="G73" s="1228"/>
      <c r="H73" s="1252">
        <f>+E72</f>
        <v>0</v>
      </c>
      <c r="I73" s="1252"/>
      <c r="J73" s="1260">
        <f>+H73</f>
        <v>0</v>
      </c>
      <c r="K73" s="1260">
        <f t="shared" ref="K73:X73" si="14">+J73</f>
        <v>0</v>
      </c>
      <c r="L73" s="1260">
        <f t="shared" si="14"/>
        <v>0</v>
      </c>
      <c r="M73" s="1260">
        <f t="shared" si="14"/>
        <v>0</v>
      </c>
      <c r="N73" s="1261">
        <f t="shared" si="14"/>
        <v>0</v>
      </c>
      <c r="O73" s="1223">
        <f t="shared" si="14"/>
        <v>0</v>
      </c>
      <c r="P73" s="1223">
        <f t="shared" si="14"/>
        <v>0</v>
      </c>
      <c r="Q73" s="1223">
        <f t="shared" si="14"/>
        <v>0</v>
      </c>
      <c r="R73" s="1223">
        <f t="shared" si="14"/>
        <v>0</v>
      </c>
      <c r="S73" s="1223">
        <f t="shared" si="14"/>
        <v>0</v>
      </c>
      <c r="T73" s="1223">
        <f t="shared" si="14"/>
        <v>0</v>
      </c>
      <c r="U73" s="1223">
        <f t="shared" si="14"/>
        <v>0</v>
      </c>
      <c r="V73" s="1223">
        <f t="shared" si="14"/>
        <v>0</v>
      </c>
      <c r="W73" s="1223">
        <f t="shared" si="14"/>
        <v>0</v>
      </c>
      <c r="X73" s="1223">
        <f t="shared" si="14"/>
        <v>0</v>
      </c>
    </row>
    <row r="74" spans="1:24" customFormat="1" outlineLevel="1" x14ac:dyDescent="0.15">
      <c r="A74" s="1248"/>
      <c r="B74" s="1269" t="s">
        <v>1764</v>
      </c>
      <c r="C74" s="1220">
        <f>+'Info Entrada'!C275</f>
        <v>0</v>
      </c>
      <c r="D74" s="1220">
        <f>+'Info Entrada'!D275</f>
        <v>0</v>
      </c>
      <c r="E74" s="1220">
        <f>+'Info Entrada'!E275</f>
        <v>0</v>
      </c>
      <c r="F74" s="1220">
        <f>+'Info Entrada'!F275</f>
        <v>0</v>
      </c>
      <c r="G74" s="1220">
        <f>+'Info Entrada'!G275</f>
        <v>0</v>
      </c>
      <c r="H74" s="1249"/>
      <c r="I74" s="1249"/>
      <c r="J74" s="1250"/>
      <c r="K74" s="1250"/>
      <c r="L74" s="1250"/>
      <c r="M74" s="1250"/>
      <c r="N74" s="1251"/>
      <c r="O74" s="1185"/>
      <c r="P74" s="1185"/>
      <c r="Q74" s="1185"/>
      <c r="R74" s="1185"/>
      <c r="S74" s="1185"/>
      <c r="T74" s="1185"/>
      <c r="U74" s="1185"/>
      <c r="V74" s="1185"/>
      <c r="W74" s="1185"/>
      <c r="X74" s="1185"/>
    </row>
    <row r="75" spans="1:24" customFormat="1" ht="12" outlineLevel="1" thickBot="1" x14ac:dyDescent="0.2">
      <c r="A75" s="1262"/>
      <c r="B75" s="1279"/>
      <c r="C75" s="1263"/>
      <c r="D75" s="1263"/>
      <c r="E75" s="1263"/>
      <c r="F75" s="1263"/>
      <c r="G75" s="1263"/>
      <c r="H75" s="1264">
        <f>+E74</f>
        <v>0</v>
      </c>
      <c r="I75" s="1264"/>
      <c r="J75" s="1265">
        <f>+H75</f>
        <v>0</v>
      </c>
      <c r="K75" s="1265">
        <f t="shared" ref="K75:X75" si="15">+J75</f>
        <v>0</v>
      </c>
      <c r="L75" s="1265">
        <f t="shared" si="15"/>
        <v>0</v>
      </c>
      <c r="M75" s="1265">
        <f t="shared" si="15"/>
        <v>0</v>
      </c>
      <c r="N75" s="1266">
        <f t="shared" si="15"/>
        <v>0</v>
      </c>
      <c r="O75" s="1223">
        <f t="shared" si="15"/>
        <v>0</v>
      </c>
      <c r="P75" s="1223">
        <f t="shared" si="15"/>
        <v>0</v>
      </c>
      <c r="Q75" s="1223">
        <f t="shared" si="15"/>
        <v>0</v>
      </c>
      <c r="R75" s="1223">
        <f t="shared" si="15"/>
        <v>0</v>
      </c>
      <c r="S75" s="1223">
        <f t="shared" si="15"/>
        <v>0</v>
      </c>
      <c r="T75" s="1223">
        <f t="shared" si="15"/>
        <v>0</v>
      </c>
      <c r="U75" s="1223">
        <f t="shared" si="15"/>
        <v>0</v>
      </c>
      <c r="V75" s="1223">
        <f t="shared" si="15"/>
        <v>0</v>
      </c>
      <c r="W75" s="1223">
        <f t="shared" si="15"/>
        <v>0</v>
      </c>
      <c r="X75" s="1223">
        <f t="shared" si="15"/>
        <v>0</v>
      </c>
    </row>
    <row r="76" spans="1:24" customFormat="1" x14ac:dyDescent="0.15">
      <c r="A76" s="1242" t="s">
        <v>276</v>
      </c>
      <c r="B76" s="1243" t="s">
        <v>1770</v>
      </c>
      <c r="C76" s="1220">
        <f>+'Info Entrada'!C299</f>
        <v>0</v>
      </c>
      <c r="D76" s="1220">
        <f>+'Info Entrada'!D299</f>
        <v>0</v>
      </c>
      <c r="E76" s="1220">
        <f>+'Info Entrada'!E299</f>
        <v>0</v>
      </c>
      <c r="F76" s="1220"/>
      <c r="G76" s="1220">
        <f>+'Info Entrada'!G299</f>
        <v>0</v>
      </c>
      <c r="H76" s="1236"/>
      <c r="I76" s="1236"/>
      <c r="J76" s="1185"/>
      <c r="K76" s="1185"/>
      <c r="L76" s="1185"/>
      <c r="M76" s="1185"/>
      <c r="N76" s="1185"/>
      <c r="O76" s="1185"/>
      <c r="P76" s="1185"/>
      <c r="Q76" s="1185"/>
      <c r="R76" s="1185"/>
      <c r="S76" s="1185"/>
      <c r="T76" s="1185"/>
      <c r="U76" s="1185"/>
      <c r="V76" s="1185"/>
      <c r="W76" s="1185"/>
      <c r="X76" s="1185"/>
    </row>
    <row r="77" spans="1:24" customFormat="1" outlineLevel="1" x14ac:dyDescent="0.15">
      <c r="B77" s="1099"/>
      <c r="C77" s="1219"/>
      <c r="D77" s="1219"/>
      <c r="E77" s="1219"/>
      <c r="F77" s="1219"/>
      <c r="G77" s="1219"/>
      <c r="H77" s="1237">
        <f>+E76</f>
        <v>0</v>
      </c>
      <c r="I77" s="1237"/>
      <c r="J77" s="1223">
        <f>+H77</f>
        <v>0</v>
      </c>
      <c r="K77" s="1223">
        <f t="shared" ref="K77:X77" si="16">+J77</f>
        <v>0</v>
      </c>
      <c r="L77" s="1223">
        <f t="shared" si="16"/>
        <v>0</v>
      </c>
      <c r="M77" s="1223">
        <f t="shared" si="16"/>
        <v>0</v>
      </c>
      <c r="N77" s="1223">
        <f t="shared" si="16"/>
        <v>0</v>
      </c>
      <c r="O77" s="1223">
        <f t="shared" si="16"/>
        <v>0</v>
      </c>
      <c r="P77" s="1223">
        <f t="shared" si="16"/>
        <v>0</v>
      </c>
      <c r="Q77" s="1223">
        <f t="shared" si="16"/>
        <v>0</v>
      </c>
      <c r="R77" s="1223">
        <f t="shared" si="16"/>
        <v>0</v>
      </c>
      <c r="S77" s="1223">
        <f t="shared" si="16"/>
        <v>0</v>
      </c>
      <c r="T77" s="1223">
        <f t="shared" si="16"/>
        <v>0</v>
      </c>
      <c r="U77" s="1223">
        <f t="shared" si="16"/>
        <v>0</v>
      </c>
      <c r="V77" s="1223">
        <f t="shared" si="16"/>
        <v>0</v>
      </c>
      <c r="W77" s="1223">
        <f t="shared" si="16"/>
        <v>0</v>
      </c>
      <c r="X77" s="1223">
        <f t="shared" si="16"/>
        <v>0</v>
      </c>
    </row>
    <row r="78" spans="1:24" customFormat="1" outlineLevel="1" x14ac:dyDescent="0.15">
      <c r="B78" s="1221" t="s">
        <v>1771</v>
      </c>
      <c r="C78" s="1220">
        <f>+'Info Entrada'!C298</f>
        <v>0</v>
      </c>
      <c r="D78" s="1220">
        <f>+'Info Entrada'!D298</f>
        <v>0</v>
      </c>
      <c r="E78" s="1220">
        <f>+'Info Entrada'!E298</f>
        <v>0</v>
      </c>
      <c r="F78" s="1220">
        <f>+'Info Entrada'!F298</f>
        <v>0</v>
      </c>
      <c r="G78" s="1220">
        <f>+'Info Entrada'!G298</f>
        <v>0</v>
      </c>
      <c r="H78" s="1236"/>
      <c r="I78" s="1236"/>
      <c r="J78" s="1185"/>
      <c r="K78" s="1185"/>
      <c r="L78" s="1185"/>
      <c r="M78" s="1185"/>
      <c r="N78" s="1185"/>
      <c r="O78" s="1185"/>
      <c r="P78" s="1185"/>
      <c r="Q78" s="1185"/>
      <c r="R78" s="1185"/>
      <c r="S78" s="1185"/>
      <c r="T78" s="1185"/>
      <c r="U78" s="1185"/>
      <c r="V78" s="1185"/>
      <c r="W78" s="1185"/>
      <c r="X78" s="1185"/>
    </row>
    <row r="79" spans="1:24" customFormat="1" outlineLevel="1" x14ac:dyDescent="0.15">
      <c r="B79" s="1099"/>
      <c r="C79" s="1219"/>
      <c r="D79" s="1219"/>
      <c r="E79" s="1219"/>
      <c r="F79" s="1219"/>
      <c r="G79" s="1219"/>
      <c r="H79" s="1237">
        <f>+E78</f>
        <v>0</v>
      </c>
      <c r="I79" s="1237"/>
      <c r="J79" s="1223">
        <f>+H79</f>
        <v>0</v>
      </c>
      <c r="K79" s="1223">
        <f t="shared" ref="K79:X79" si="17">+J79</f>
        <v>0</v>
      </c>
      <c r="L79" s="1223">
        <f t="shared" si="17"/>
        <v>0</v>
      </c>
      <c r="M79" s="1223">
        <f t="shared" si="17"/>
        <v>0</v>
      </c>
      <c r="N79" s="1223">
        <f t="shared" si="17"/>
        <v>0</v>
      </c>
      <c r="O79" s="1223">
        <f t="shared" si="17"/>
        <v>0</v>
      </c>
      <c r="P79" s="1223">
        <f t="shared" si="17"/>
        <v>0</v>
      </c>
      <c r="Q79" s="1223">
        <f t="shared" si="17"/>
        <v>0</v>
      </c>
      <c r="R79" s="1223">
        <f t="shared" si="17"/>
        <v>0</v>
      </c>
      <c r="S79" s="1223">
        <f t="shared" si="17"/>
        <v>0</v>
      </c>
      <c r="T79" s="1223">
        <f t="shared" si="17"/>
        <v>0</v>
      </c>
      <c r="U79" s="1223">
        <f t="shared" si="17"/>
        <v>0</v>
      </c>
      <c r="V79" s="1223">
        <f t="shared" si="17"/>
        <v>0</v>
      </c>
      <c r="W79" s="1223">
        <f t="shared" si="17"/>
        <v>0</v>
      </c>
      <c r="X79" s="1223">
        <f t="shared" si="17"/>
        <v>0</v>
      </c>
    </row>
    <row r="80" spans="1:24" customFormat="1" outlineLevel="1" x14ac:dyDescent="0.15">
      <c r="B80" s="1221" t="s">
        <v>1772</v>
      </c>
      <c r="C80" s="1220">
        <f>+'Info Entrada'!C297</f>
        <v>0</v>
      </c>
      <c r="D80" s="1220">
        <f>+'Info Entrada'!D297</f>
        <v>0</v>
      </c>
      <c r="E80" s="1220">
        <f>+'Info Entrada'!E297</f>
        <v>0</v>
      </c>
      <c r="F80" s="1220">
        <f>+'Info Entrada'!F297</f>
        <v>0</v>
      </c>
      <c r="G80" s="1220">
        <f>+'Info Entrada'!G297</f>
        <v>0</v>
      </c>
      <c r="H80" s="1236"/>
      <c r="I80" s="1236"/>
      <c r="J80" s="1185"/>
      <c r="K80" s="1185"/>
      <c r="L80" s="1185"/>
      <c r="M80" s="1185"/>
      <c r="N80" s="1185"/>
      <c r="O80" s="1185"/>
      <c r="P80" s="1185"/>
      <c r="Q80" s="1185"/>
      <c r="R80" s="1185"/>
      <c r="S80" s="1185"/>
      <c r="T80" s="1185"/>
      <c r="U80" s="1185"/>
      <c r="V80" s="1185"/>
      <c r="W80" s="1185"/>
      <c r="X80" s="1185"/>
    </row>
    <row r="81" spans="1:24" customFormat="1" ht="12" outlineLevel="1" thickBot="1" x14ac:dyDescent="0.2">
      <c r="B81" s="1099"/>
      <c r="C81" s="1219"/>
      <c r="D81" s="1219"/>
      <c r="E81" s="1219"/>
      <c r="F81" s="1219"/>
      <c r="G81" s="1219"/>
      <c r="H81" s="1237">
        <f>+E80</f>
        <v>0</v>
      </c>
      <c r="I81" s="1237"/>
      <c r="J81" s="1223">
        <f>+H81</f>
        <v>0</v>
      </c>
      <c r="K81" s="1223">
        <f t="shared" ref="K81:X81" si="18">+J81</f>
        <v>0</v>
      </c>
      <c r="L81" s="1223">
        <f t="shared" si="18"/>
        <v>0</v>
      </c>
      <c r="M81" s="1223">
        <f t="shared" si="18"/>
        <v>0</v>
      </c>
      <c r="N81" s="1223">
        <f t="shared" si="18"/>
        <v>0</v>
      </c>
      <c r="O81" s="1223">
        <f t="shared" si="18"/>
        <v>0</v>
      </c>
      <c r="P81" s="1223">
        <f t="shared" si="18"/>
        <v>0</v>
      </c>
      <c r="Q81" s="1223">
        <f t="shared" si="18"/>
        <v>0</v>
      </c>
      <c r="R81" s="1223">
        <f t="shared" si="18"/>
        <v>0</v>
      </c>
      <c r="S81" s="1223">
        <f t="shared" si="18"/>
        <v>0</v>
      </c>
      <c r="T81" s="1223">
        <f t="shared" si="18"/>
        <v>0</v>
      </c>
      <c r="U81" s="1223">
        <f t="shared" si="18"/>
        <v>0</v>
      </c>
      <c r="V81" s="1223">
        <f t="shared" si="18"/>
        <v>0</v>
      </c>
      <c r="W81" s="1223">
        <f t="shared" si="18"/>
        <v>0</v>
      </c>
      <c r="X81" s="1223">
        <f t="shared" si="18"/>
        <v>0</v>
      </c>
    </row>
    <row r="82" spans="1:24" customFormat="1" outlineLevel="1" x14ac:dyDescent="0.15">
      <c r="B82" s="1268" t="s">
        <v>662</v>
      </c>
      <c r="C82" s="1245">
        <f>+C6</f>
        <v>42735</v>
      </c>
      <c r="D82" s="1245">
        <f t="shared" ref="D82:N82" si="19">+D6</f>
        <v>43100</v>
      </c>
      <c r="E82" s="1245">
        <f t="shared" si="19"/>
        <v>43465</v>
      </c>
      <c r="F82" s="1246">
        <f t="shared" si="19"/>
        <v>43281</v>
      </c>
      <c r="G82" s="1245">
        <f t="shared" si="19"/>
        <v>43646</v>
      </c>
      <c r="H82" s="1247">
        <f t="shared" si="19"/>
        <v>43830</v>
      </c>
      <c r="I82" s="1247"/>
      <c r="J82" s="1247">
        <f t="shared" si="19"/>
        <v>44196</v>
      </c>
      <c r="K82" s="1247">
        <f t="shared" si="19"/>
        <v>44561</v>
      </c>
      <c r="L82" s="1247">
        <f t="shared" si="19"/>
        <v>44926</v>
      </c>
      <c r="M82" s="1247">
        <f t="shared" si="19"/>
        <v>45291</v>
      </c>
      <c r="N82" s="1340">
        <f t="shared" si="19"/>
        <v>45657</v>
      </c>
      <c r="O82" s="1185"/>
      <c r="P82" s="1185"/>
      <c r="Q82" s="1185"/>
      <c r="R82" s="1185"/>
      <c r="S82" s="1185"/>
      <c r="T82" s="1185"/>
      <c r="U82" s="1185"/>
      <c r="V82" s="1185"/>
      <c r="W82" s="1185"/>
      <c r="X82" s="1185"/>
    </row>
    <row r="83" spans="1:24" customFormat="1" ht="12" outlineLevel="1" thickBot="1" x14ac:dyDescent="0.2">
      <c r="B83" s="1353" t="s">
        <v>1801</v>
      </c>
      <c r="C83" s="1354">
        <v>-56905</v>
      </c>
      <c r="D83" s="1354">
        <v>-11240</v>
      </c>
      <c r="E83" s="1354">
        <v>4430</v>
      </c>
      <c r="F83" s="1280"/>
      <c r="G83" s="1280"/>
      <c r="H83" s="1355">
        <f>-704157+642361</f>
        <v>-61796</v>
      </c>
      <c r="I83" s="1355"/>
      <c r="J83" s="1354">
        <f>-770088+704157</f>
        <v>-65931</v>
      </c>
      <c r="K83" s="1354">
        <f>-856847+770088</f>
        <v>-86759</v>
      </c>
      <c r="L83" s="1354">
        <f>-962818+856847</f>
        <v>-105971</v>
      </c>
      <c r="M83" s="1354">
        <f>-1082069+962818</f>
        <v>-119251</v>
      </c>
      <c r="N83" s="1356">
        <f>-1187290+1082069</f>
        <v>-105221</v>
      </c>
      <c r="O83" s="1352"/>
      <c r="P83" s="1186"/>
      <c r="Q83" s="1186"/>
      <c r="R83" s="1186"/>
      <c r="S83" s="1186"/>
      <c r="T83" s="1186"/>
      <c r="U83" s="1186"/>
      <c r="V83" s="1186"/>
      <c r="W83" s="1186"/>
      <c r="X83" s="1186"/>
    </row>
    <row r="84" spans="1:24" customFormat="1" outlineLevel="1" x14ac:dyDescent="0.15">
      <c r="B84" s="1243" t="s">
        <v>1773</v>
      </c>
      <c r="C84" s="1234">
        <f>+'Info Entrada'!C301</f>
        <v>0</v>
      </c>
      <c r="D84" s="1234">
        <f>+'Info Entrada'!D301</f>
        <v>0</v>
      </c>
      <c r="E84" s="1234">
        <f>+'Info Entrada'!E301</f>
        <v>0</v>
      </c>
      <c r="F84" s="1220">
        <f>+'Info Entrada'!F301</f>
        <v>0</v>
      </c>
      <c r="G84" s="1220">
        <f>+'Info Entrada'!G301</f>
        <v>0</v>
      </c>
      <c r="H84" s="1236"/>
      <c r="I84" s="1236"/>
      <c r="J84" s="1185"/>
      <c r="K84" s="1185"/>
      <c r="L84" s="1185"/>
      <c r="M84" s="1185"/>
      <c r="N84" s="1185"/>
      <c r="O84" s="1185"/>
      <c r="P84" s="1185"/>
      <c r="Q84" s="1185"/>
      <c r="R84" s="1185"/>
      <c r="S84" s="1185"/>
      <c r="T84" s="1185"/>
      <c r="U84" s="1185"/>
      <c r="V84" s="1185"/>
      <c r="W84" s="1185"/>
      <c r="X84" s="1185"/>
    </row>
    <row r="85" spans="1:24" customFormat="1" outlineLevel="1" x14ac:dyDescent="0.15">
      <c r="B85" s="1099"/>
      <c r="C85" s="1219"/>
      <c r="D85" s="1219"/>
      <c r="E85" s="1219"/>
      <c r="F85" s="1219"/>
      <c r="G85" s="1219"/>
      <c r="H85" s="1237">
        <f>+C84</f>
        <v>0</v>
      </c>
      <c r="I85" s="1237"/>
      <c r="J85" s="1223">
        <f>+H85</f>
        <v>0</v>
      </c>
      <c r="K85" s="1223">
        <f t="shared" ref="K85:X85" si="20">+J85</f>
        <v>0</v>
      </c>
      <c r="L85" s="1223">
        <f t="shared" si="20"/>
        <v>0</v>
      </c>
      <c r="M85" s="1223">
        <f t="shared" si="20"/>
        <v>0</v>
      </c>
      <c r="N85" s="1223">
        <f t="shared" si="20"/>
        <v>0</v>
      </c>
      <c r="O85" s="1223">
        <f t="shared" si="20"/>
        <v>0</v>
      </c>
      <c r="P85" s="1223">
        <f t="shared" si="20"/>
        <v>0</v>
      </c>
      <c r="Q85" s="1223">
        <f t="shared" si="20"/>
        <v>0</v>
      </c>
      <c r="R85" s="1223">
        <f t="shared" si="20"/>
        <v>0</v>
      </c>
      <c r="S85" s="1223">
        <f t="shared" si="20"/>
        <v>0</v>
      </c>
      <c r="T85" s="1223">
        <f t="shared" si="20"/>
        <v>0</v>
      </c>
      <c r="U85" s="1223">
        <f t="shared" si="20"/>
        <v>0</v>
      </c>
      <c r="V85" s="1223">
        <f t="shared" si="20"/>
        <v>0</v>
      </c>
      <c r="W85" s="1223">
        <f t="shared" si="20"/>
        <v>0</v>
      </c>
      <c r="X85" s="1223">
        <f t="shared" si="20"/>
        <v>0</v>
      </c>
    </row>
    <row r="86" spans="1:24" customFormat="1" hidden="1" outlineLevel="1" x14ac:dyDescent="0.15">
      <c r="B86" s="1221" t="s">
        <v>1774</v>
      </c>
      <c r="C86" s="1220"/>
      <c r="D86" s="1220"/>
      <c r="E86" s="1220"/>
      <c r="F86" s="1220"/>
      <c r="G86" s="1220"/>
      <c r="H86" s="1236"/>
      <c r="I86" s="1236"/>
      <c r="J86" s="1185"/>
      <c r="K86" s="1185"/>
      <c r="L86" s="1185"/>
      <c r="M86" s="1185"/>
      <c r="N86" s="1185"/>
      <c r="O86" s="1185"/>
      <c r="P86" s="1185"/>
      <c r="Q86" s="1185"/>
      <c r="R86" s="1185"/>
      <c r="S86" s="1185"/>
      <c r="T86" s="1185"/>
      <c r="U86" s="1185"/>
      <c r="V86" s="1185"/>
      <c r="W86" s="1185"/>
      <c r="X86" s="1185"/>
    </row>
    <row r="87" spans="1:24" customFormat="1" hidden="1" outlineLevel="1" x14ac:dyDescent="0.15">
      <c r="B87" s="1099"/>
      <c r="C87" s="1219"/>
      <c r="D87" s="1219"/>
      <c r="E87" s="1219"/>
      <c r="F87" s="1219"/>
      <c r="G87" s="1219"/>
      <c r="H87" s="1237"/>
      <c r="I87" s="1237"/>
      <c r="J87" s="1223"/>
      <c r="K87" s="1223"/>
      <c r="L87" s="1223"/>
      <c r="M87" s="1223"/>
      <c r="N87" s="1223"/>
      <c r="O87" s="1223"/>
      <c r="P87" s="1223"/>
      <c r="Q87" s="1223"/>
      <c r="R87" s="1223"/>
      <c r="S87" s="1223"/>
      <c r="T87" s="1223"/>
      <c r="U87" s="1223"/>
      <c r="V87" s="1223"/>
      <c r="W87" s="1223"/>
      <c r="X87" s="1223"/>
    </row>
    <row r="88" spans="1:24" customFormat="1" collapsed="1" x14ac:dyDescent="0.15">
      <c r="A88" s="426" t="s">
        <v>304</v>
      </c>
      <c r="B88" s="1098" t="s">
        <v>313</v>
      </c>
      <c r="C88" s="1220" t="e">
        <f>+'Info Entrada'!C223/('Info Entrada'!C165*90%)</f>
        <v>#DIV/0!</v>
      </c>
      <c r="D88" s="1220" t="e">
        <f>+'Info Entrada'!D223/('Info Entrada'!D165*90%)</f>
        <v>#DIV/0!</v>
      </c>
      <c r="E88" s="1220" t="e">
        <f>+'Info Entrada'!E223/('Info Entrada'!E165*90%)</f>
        <v>#DIV/0!</v>
      </c>
      <c r="F88" s="1220" t="e">
        <f>+'Info Entrada'!F223/('Info Entrada'!F165*90%)</f>
        <v>#DIV/0!</v>
      </c>
      <c r="G88" s="1220" t="e">
        <f>+'Info Entrada'!G223/('Info Entrada'!G165*90%)</f>
        <v>#DIV/0!</v>
      </c>
      <c r="H88" s="1236"/>
      <c r="I88" s="1236"/>
      <c r="J88" s="1185"/>
      <c r="K88" s="1185"/>
      <c r="L88" s="1185"/>
      <c r="M88" s="1185"/>
      <c r="N88" s="1185"/>
      <c r="O88" s="1185"/>
      <c r="P88" s="1185"/>
      <c r="Q88" s="1185"/>
      <c r="R88" s="1185"/>
      <c r="S88" s="1185"/>
      <c r="T88" s="1185"/>
      <c r="U88" s="1185"/>
      <c r="V88" s="1185"/>
      <c r="W88" s="1185"/>
      <c r="X88" s="1185"/>
    </row>
    <row r="89" spans="1:24" customFormat="1" x14ac:dyDescent="0.15">
      <c r="B89" s="1099"/>
      <c r="C89" s="1219"/>
      <c r="D89" s="1219"/>
      <c r="E89" s="1219"/>
      <c r="F89" s="1219"/>
      <c r="G89" s="1219"/>
      <c r="H89" s="1237" t="e">
        <f>+D88</f>
        <v>#DIV/0!</v>
      </c>
      <c r="I89" s="1237"/>
      <c r="J89" s="1223" t="e">
        <f>+H89</f>
        <v>#DIV/0!</v>
      </c>
      <c r="K89" s="1223" t="e">
        <f t="shared" ref="K89:X89" si="21">+J89</f>
        <v>#DIV/0!</v>
      </c>
      <c r="L89" s="1223" t="e">
        <f t="shared" si="21"/>
        <v>#DIV/0!</v>
      </c>
      <c r="M89" s="1223" t="e">
        <f t="shared" si="21"/>
        <v>#DIV/0!</v>
      </c>
      <c r="N89" s="1223" t="e">
        <f t="shared" si="21"/>
        <v>#DIV/0!</v>
      </c>
      <c r="O89" s="1223" t="e">
        <f t="shared" si="21"/>
        <v>#DIV/0!</v>
      </c>
      <c r="P89" s="1223" t="e">
        <f t="shared" si="21"/>
        <v>#DIV/0!</v>
      </c>
      <c r="Q89" s="1223" t="e">
        <f t="shared" si="21"/>
        <v>#DIV/0!</v>
      </c>
      <c r="R89" s="1223" t="e">
        <f t="shared" si="21"/>
        <v>#DIV/0!</v>
      </c>
      <c r="S89" s="1223" t="e">
        <f t="shared" si="21"/>
        <v>#DIV/0!</v>
      </c>
      <c r="T89" s="1223" t="e">
        <f t="shared" si="21"/>
        <v>#DIV/0!</v>
      </c>
      <c r="U89" s="1223" t="e">
        <f t="shared" si="21"/>
        <v>#DIV/0!</v>
      </c>
      <c r="V89" s="1223" t="e">
        <f t="shared" si="21"/>
        <v>#DIV/0!</v>
      </c>
      <c r="W89" s="1223" t="e">
        <f t="shared" si="21"/>
        <v>#DIV/0!</v>
      </c>
      <c r="X89" s="1223" t="e">
        <f t="shared" si="21"/>
        <v>#DIV/0!</v>
      </c>
    </row>
    <row r="90" spans="1:24" customFormat="1" hidden="1" outlineLevel="1" x14ac:dyDescent="0.15">
      <c r="B90" s="1098" t="s">
        <v>319</v>
      </c>
      <c r="C90" s="1218"/>
      <c r="D90" s="1218"/>
      <c r="E90" s="1218"/>
      <c r="F90" s="1218"/>
      <c r="G90" s="1218"/>
      <c r="H90" s="1236"/>
      <c r="I90" s="1236"/>
      <c r="J90" s="1185"/>
      <c r="K90" s="1185"/>
      <c r="L90" s="1185"/>
      <c r="M90" s="1185"/>
      <c r="N90" s="1185"/>
      <c r="O90" s="1185"/>
      <c r="P90" s="1185"/>
      <c r="Q90" s="1185"/>
      <c r="R90" s="1185"/>
      <c r="S90" s="1185"/>
      <c r="T90" s="1185"/>
      <c r="U90" s="1185"/>
      <c r="V90" s="1185"/>
      <c r="W90" s="1185"/>
      <c r="X90" s="1185"/>
    </row>
    <row r="91" spans="1:24" customFormat="1" hidden="1" outlineLevel="1" x14ac:dyDescent="0.15">
      <c r="B91" s="1099"/>
      <c r="C91" s="1219"/>
      <c r="D91" s="1219"/>
      <c r="E91" s="1219"/>
      <c r="F91" s="1219"/>
      <c r="G91" s="1219"/>
      <c r="H91" s="1237"/>
      <c r="I91" s="1237"/>
      <c r="J91" s="1186"/>
      <c r="K91" s="1186"/>
      <c r="L91" s="1186"/>
      <c r="M91" s="1186"/>
      <c r="N91" s="1186"/>
      <c r="O91" s="1186"/>
      <c r="P91" s="1186"/>
      <c r="Q91" s="1186"/>
      <c r="R91" s="1186"/>
      <c r="S91" s="1186"/>
      <c r="T91" s="1186"/>
      <c r="U91" s="1186"/>
      <c r="V91" s="1186"/>
      <c r="W91" s="1186"/>
      <c r="X91" s="1186"/>
    </row>
    <row r="92" spans="1:24" customFormat="1" hidden="1" outlineLevel="1" x14ac:dyDescent="0.15">
      <c r="B92" s="1098" t="s">
        <v>320</v>
      </c>
      <c r="C92" s="1218"/>
      <c r="D92" s="1218"/>
      <c r="E92" s="1218"/>
      <c r="F92" s="1218"/>
      <c r="G92" s="1218"/>
      <c r="H92" s="1236"/>
      <c r="I92" s="1236"/>
      <c r="J92" s="1185"/>
      <c r="K92" s="1185"/>
      <c r="L92" s="1185"/>
      <c r="M92" s="1185"/>
      <c r="N92" s="1185"/>
      <c r="O92" s="1185"/>
      <c r="P92" s="1185"/>
      <c r="Q92" s="1185"/>
      <c r="R92" s="1185"/>
      <c r="S92" s="1185"/>
      <c r="T92" s="1185"/>
      <c r="U92" s="1185"/>
      <c r="V92" s="1185"/>
      <c r="W92" s="1185"/>
      <c r="X92" s="1185"/>
    </row>
    <row r="93" spans="1:24" customFormat="1" hidden="1" outlineLevel="1" x14ac:dyDescent="0.15">
      <c r="B93" s="1099"/>
      <c r="C93" s="1219"/>
      <c r="D93" s="1219"/>
      <c r="E93" s="1219"/>
      <c r="F93" s="1219"/>
      <c r="G93" s="1219"/>
      <c r="H93" s="1237"/>
      <c r="I93" s="1237"/>
      <c r="J93" s="1186"/>
      <c r="K93" s="1186"/>
      <c r="L93" s="1186"/>
      <c r="M93" s="1186"/>
      <c r="N93" s="1186"/>
      <c r="O93" s="1186"/>
      <c r="P93" s="1186"/>
      <c r="Q93" s="1186"/>
      <c r="R93" s="1186"/>
      <c r="S93" s="1186"/>
      <c r="T93" s="1186"/>
      <c r="U93" s="1186"/>
      <c r="V93" s="1186"/>
      <c r="W93" s="1186"/>
      <c r="X93" s="1186"/>
    </row>
    <row r="94" spans="1:24" customFormat="1" hidden="1" outlineLevel="1" x14ac:dyDescent="0.15">
      <c r="B94" s="1098" t="s">
        <v>321</v>
      </c>
      <c r="C94" s="1218"/>
      <c r="D94" s="1218"/>
      <c r="E94" s="1218"/>
      <c r="F94" s="1218"/>
      <c r="G94" s="1218"/>
      <c r="H94" s="1236"/>
      <c r="I94" s="1236"/>
      <c r="J94" s="1185"/>
      <c r="K94" s="1185"/>
      <c r="L94" s="1185"/>
      <c r="M94" s="1185"/>
      <c r="N94" s="1185"/>
      <c r="O94" s="1185"/>
      <c r="P94" s="1185"/>
      <c r="Q94" s="1185"/>
      <c r="R94" s="1185"/>
      <c r="S94" s="1185"/>
      <c r="T94" s="1185"/>
      <c r="U94" s="1185"/>
      <c r="V94" s="1185"/>
      <c r="W94" s="1185"/>
      <c r="X94" s="1185"/>
    </row>
    <row r="95" spans="1:24" customFormat="1" hidden="1" outlineLevel="1" x14ac:dyDescent="0.15">
      <c r="B95" s="1099"/>
      <c r="C95" s="1219"/>
      <c r="D95" s="1219"/>
      <c r="E95" s="1219"/>
      <c r="F95" s="1219"/>
      <c r="G95" s="1219"/>
      <c r="H95" s="1237"/>
      <c r="I95" s="1237"/>
      <c r="J95" s="1186"/>
      <c r="K95" s="1186"/>
      <c r="L95" s="1186"/>
      <c r="M95" s="1186"/>
      <c r="N95" s="1186"/>
      <c r="O95" s="1186"/>
      <c r="P95" s="1186"/>
      <c r="Q95" s="1186"/>
      <c r="R95" s="1186"/>
      <c r="S95" s="1186"/>
      <c r="T95" s="1186"/>
      <c r="U95" s="1186"/>
      <c r="V95" s="1186"/>
      <c r="W95" s="1186"/>
      <c r="X95" s="1186"/>
    </row>
    <row r="96" spans="1:24" customFormat="1" hidden="1" outlineLevel="1" x14ac:dyDescent="0.15">
      <c r="B96" s="1098" t="s">
        <v>322</v>
      </c>
      <c r="C96" s="1218"/>
      <c r="D96" s="1218"/>
      <c r="E96" s="1218"/>
      <c r="F96" s="1218"/>
      <c r="G96" s="1218"/>
      <c r="H96" s="1236"/>
      <c r="I96" s="1236"/>
      <c r="J96" s="1185"/>
      <c r="K96" s="1185"/>
      <c r="L96" s="1185"/>
      <c r="M96" s="1185"/>
      <c r="N96" s="1185"/>
      <c r="O96" s="1185"/>
      <c r="P96" s="1185"/>
      <c r="Q96" s="1185"/>
      <c r="R96" s="1185"/>
      <c r="S96" s="1185"/>
      <c r="T96" s="1185"/>
      <c r="U96" s="1185"/>
      <c r="V96" s="1185"/>
      <c r="W96" s="1185"/>
      <c r="X96" s="1185"/>
    </row>
    <row r="97" spans="1:24" customFormat="1" hidden="1" outlineLevel="1" x14ac:dyDescent="0.15">
      <c r="B97" s="1099"/>
      <c r="C97" s="1219"/>
      <c r="D97" s="1219"/>
      <c r="E97" s="1219"/>
      <c r="F97" s="1219"/>
      <c r="G97" s="1219"/>
      <c r="H97" s="1237"/>
      <c r="I97" s="1237"/>
      <c r="J97" s="1186"/>
      <c r="K97" s="1186"/>
      <c r="L97" s="1186"/>
      <c r="M97" s="1186"/>
      <c r="N97" s="1186"/>
      <c r="O97" s="1186"/>
      <c r="P97" s="1186"/>
      <c r="Q97" s="1186"/>
      <c r="R97" s="1186"/>
      <c r="S97" s="1186"/>
      <c r="T97" s="1186"/>
      <c r="U97" s="1186"/>
      <c r="V97" s="1186"/>
      <c r="W97" s="1186"/>
      <c r="X97" s="1186"/>
    </row>
    <row r="98" spans="1:24" customFormat="1" hidden="1" collapsed="1" x14ac:dyDescent="0.15">
      <c r="A98" s="426" t="s">
        <v>1116</v>
      </c>
      <c r="B98" s="1098" t="s">
        <v>327</v>
      </c>
      <c r="C98" s="1218"/>
      <c r="D98" s="1218"/>
      <c r="E98" s="1218"/>
      <c r="F98" s="1218"/>
      <c r="G98" s="1218"/>
      <c r="H98" s="1236"/>
      <c r="I98" s="1236"/>
      <c r="J98" s="1185"/>
      <c r="K98" s="1185"/>
      <c r="L98" s="1185"/>
      <c r="M98" s="1185"/>
      <c r="N98" s="1185"/>
      <c r="O98" s="1185"/>
      <c r="P98" s="1185"/>
      <c r="Q98" s="1185"/>
      <c r="R98" s="1185"/>
      <c r="S98" s="1185"/>
      <c r="T98" s="1185"/>
      <c r="U98" s="1185"/>
      <c r="V98" s="1185"/>
      <c r="W98" s="1185"/>
      <c r="X98" s="1185"/>
    </row>
    <row r="99" spans="1:24" customFormat="1" hidden="1" x14ac:dyDescent="0.15">
      <c r="B99" s="1099"/>
      <c r="C99" s="1219"/>
      <c r="D99" s="1219"/>
      <c r="E99" s="1219"/>
      <c r="F99" s="1219"/>
      <c r="G99" s="1219"/>
      <c r="H99" s="1237"/>
      <c r="I99" s="1237"/>
      <c r="J99" s="1186"/>
      <c r="K99" s="1186"/>
      <c r="L99" s="1186"/>
      <c r="M99" s="1186"/>
      <c r="N99" s="1186"/>
      <c r="O99" s="1186"/>
      <c r="P99" s="1186"/>
      <c r="Q99" s="1186"/>
      <c r="R99" s="1186"/>
      <c r="S99" s="1186"/>
      <c r="T99" s="1186"/>
      <c r="U99" s="1186"/>
      <c r="V99" s="1186"/>
      <c r="W99" s="1186"/>
      <c r="X99" s="1186"/>
    </row>
    <row r="100" spans="1:24" customFormat="1" ht="12" thickBot="1" x14ac:dyDescent="0.2">
      <c r="A100" s="424" t="s">
        <v>1765</v>
      </c>
      <c r="B100" s="1339"/>
      <c r="C100" s="1218"/>
      <c r="D100" s="1218"/>
      <c r="E100" s="1218"/>
      <c r="F100" s="1218"/>
      <c r="G100" s="1218"/>
      <c r="H100" s="1236"/>
      <c r="I100" s="1236"/>
      <c r="J100" s="1185"/>
      <c r="K100" s="1185"/>
      <c r="L100" s="1185"/>
      <c r="M100" s="1185"/>
      <c r="N100" s="1185"/>
      <c r="O100" s="1185"/>
      <c r="P100" s="1185"/>
      <c r="Q100" s="1185"/>
      <c r="R100" s="1185"/>
      <c r="S100" s="1185"/>
      <c r="T100" s="1185"/>
      <c r="U100" s="1185"/>
      <c r="V100" s="1185"/>
      <c r="W100" s="1185"/>
      <c r="X100" s="1185"/>
    </row>
    <row r="101" spans="1:24" customFormat="1" outlineLevel="1" x14ac:dyDescent="0.15">
      <c r="B101" s="1268" t="s">
        <v>1779</v>
      </c>
      <c r="C101" s="1245">
        <f>+C6</f>
        <v>42735</v>
      </c>
      <c r="D101" s="1245">
        <f t="shared" ref="D101:X101" si="22">+D6</f>
        <v>43100</v>
      </c>
      <c r="E101" s="1245">
        <f t="shared" si="22"/>
        <v>43465</v>
      </c>
      <c r="F101" s="1246">
        <f t="shared" si="22"/>
        <v>43281</v>
      </c>
      <c r="G101" s="1245">
        <f t="shared" si="22"/>
        <v>43646</v>
      </c>
      <c r="H101" s="1247">
        <f t="shared" si="22"/>
        <v>43830</v>
      </c>
      <c r="I101" s="1247"/>
      <c r="J101" s="1247">
        <f t="shared" si="22"/>
        <v>44196</v>
      </c>
      <c r="K101" s="1247">
        <f t="shared" si="22"/>
        <v>44561</v>
      </c>
      <c r="L101" s="1247">
        <f t="shared" si="22"/>
        <v>44926</v>
      </c>
      <c r="M101" s="1247">
        <f t="shared" si="22"/>
        <v>45291</v>
      </c>
      <c r="N101" s="1340">
        <f t="shared" si="22"/>
        <v>45657</v>
      </c>
      <c r="O101" s="1240">
        <f t="shared" si="22"/>
        <v>46022</v>
      </c>
      <c r="P101" s="1187">
        <f t="shared" si="22"/>
        <v>46387</v>
      </c>
      <c r="Q101" s="1187">
        <f t="shared" si="22"/>
        <v>46752</v>
      </c>
      <c r="R101" s="1187">
        <f t="shared" si="22"/>
        <v>47118</v>
      </c>
      <c r="S101" s="1187">
        <f t="shared" si="22"/>
        <v>47483</v>
      </c>
      <c r="T101" s="1187">
        <f t="shared" si="22"/>
        <v>47848</v>
      </c>
      <c r="U101" s="1187">
        <f t="shared" si="22"/>
        <v>48213</v>
      </c>
      <c r="V101" s="1187">
        <f t="shared" si="22"/>
        <v>48579</v>
      </c>
      <c r="W101" s="1187">
        <f t="shared" si="22"/>
        <v>48944</v>
      </c>
      <c r="X101" s="1187">
        <f t="shared" si="22"/>
        <v>49309</v>
      </c>
    </row>
    <row r="102" spans="1:24" customFormat="1" outlineLevel="1" x14ac:dyDescent="0.15">
      <c r="B102" s="1269" t="s">
        <v>1766</v>
      </c>
      <c r="C102" s="1224" t="e">
        <f>+Indicadores!D33</f>
        <v>#DIV/0!</v>
      </c>
      <c r="D102" s="1224" t="e">
        <f>+Indicadores!E33</f>
        <v>#DIV/0!</v>
      </c>
      <c r="E102" s="1224" t="e">
        <f>+Indicadores!F33</f>
        <v>#DIV/0!</v>
      </c>
      <c r="F102" s="1224" t="e">
        <f>+Indicadores!G33</f>
        <v>#DIV/0!</v>
      </c>
      <c r="G102" s="1224" t="e">
        <f>+Indicadores!H33</f>
        <v>#DIV/0!</v>
      </c>
      <c r="H102" s="1249"/>
      <c r="I102" s="1249"/>
      <c r="J102" s="1250"/>
      <c r="K102" s="1250"/>
      <c r="L102" s="1250"/>
      <c r="M102" s="1250"/>
      <c r="N102" s="1251"/>
      <c r="O102" s="1185"/>
      <c r="P102" s="1185"/>
      <c r="Q102" s="1185"/>
      <c r="R102" s="1185"/>
      <c r="S102" s="1185"/>
      <c r="T102" s="1185"/>
      <c r="U102" s="1185"/>
      <c r="V102" s="1185"/>
      <c r="W102" s="1185"/>
      <c r="X102" s="1185"/>
    </row>
    <row r="103" spans="1:24" customFormat="1" outlineLevel="1" x14ac:dyDescent="0.15">
      <c r="B103" s="1270"/>
      <c r="C103" s="1219"/>
      <c r="D103" s="1219"/>
      <c r="E103" s="1219"/>
      <c r="F103" s="1219"/>
      <c r="G103" s="1219"/>
      <c r="H103" s="1271" t="e">
        <f>+E102</f>
        <v>#DIV/0!</v>
      </c>
      <c r="I103" s="1271"/>
      <c r="J103" s="1272" t="e">
        <f>+H103</f>
        <v>#DIV/0!</v>
      </c>
      <c r="K103" s="1272" t="e">
        <f t="shared" ref="K103:X103" si="23">+J103</f>
        <v>#DIV/0!</v>
      </c>
      <c r="L103" s="1272" t="e">
        <f t="shared" si="23"/>
        <v>#DIV/0!</v>
      </c>
      <c r="M103" s="1272" t="e">
        <f t="shared" si="23"/>
        <v>#DIV/0!</v>
      </c>
      <c r="N103" s="1273" t="e">
        <f t="shared" si="23"/>
        <v>#DIV/0!</v>
      </c>
      <c r="O103" s="1226" t="e">
        <f t="shared" si="23"/>
        <v>#DIV/0!</v>
      </c>
      <c r="P103" s="1226" t="e">
        <f t="shared" si="23"/>
        <v>#DIV/0!</v>
      </c>
      <c r="Q103" s="1226" t="e">
        <f t="shared" si="23"/>
        <v>#DIV/0!</v>
      </c>
      <c r="R103" s="1226" t="e">
        <f t="shared" si="23"/>
        <v>#DIV/0!</v>
      </c>
      <c r="S103" s="1226" t="e">
        <f t="shared" si="23"/>
        <v>#DIV/0!</v>
      </c>
      <c r="T103" s="1226" t="e">
        <f t="shared" si="23"/>
        <v>#DIV/0!</v>
      </c>
      <c r="U103" s="1226" t="e">
        <f t="shared" si="23"/>
        <v>#DIV/0!</v>
      </c>
      <c r="V103" s="1226" t="e">
        <f t="shared" si="23"/>
        <v>#DIV/0!</v>
      </c>
      <c r="W103" s="1226" t="e">
        <f t="shared" si="23"/>
        <v>#DIV/0!</v>
      </c>
      <c r="X103" s="1226" t="e">
        <f t="shared" si="23"/>
        <v>#DIV/0!</v>
      </c>
    </row>
    <row r="104" spans="1:24" customFormat="1" hidden="1" outlineLevel="1" x14ac:dyDescent="0.15">
      <c r="B104" s="1269" t="s">
        <v>1767</v>
      </c>
      <c r="C104" s="1218"/>
      <c r="D104" s="1218"/>
      <c r="E104" s="1218"/>
      <c r="F104" s="1218"/>
      <c r="G104" s="1218"/>
      <c r="H104" s="1274"/>
      <c r="I104" s="1274"/>
      <c r="J104" s="1250"/>
      <c r="K104" s="1250"/>
      <c r="L104" s="1250"/>
      <c r="M104" s="1250"/>
      <c r="N104" s="1251"/>
      <c r="O104" s="1185"/>
      <c r="P104" s="1185"/>
      <c r="Q104" s="1185"/>
      <c r="R104" s="1185"/>
      <c r="S104" s="1185"/>
      <c r="T104" s="1185"/>
      <c r="U104" s="1185"/>
      <c r="V104" s="1185"/>
      <c r="W104" s="1185"/>
      <c r="X104" s="1185"/>
    </row>
    <row r="105" spans="1:24" customFormat="1" hidden="1" outlineLevel="1" x14ac:dyDescent="0.15">
      <c r="B105" s="1270"/>
      <c r="C105" s="1219"/>
      <c r="D105" s="1219"/>
      <c r="E105" s="1219"/>
      <c r="F105" s="1219"/>
      <c r="G105" s="1219"/>
      <c r="H105" s="1271"/>
      <c r="I105" s="1271"/>
      <c r="J105" s="1257"/>
      <c r="K105" s="1257"/>
      <c r="L105" s="1257"/>
      <c r="M105" s="1257"/>
      <c r="N105" s="1258"/>
      <c r="O105" s="1186"/>
      <c r="P105" s="1186"/>
      <c r="Q105" s="1186"/>
      <c r="R105" s="1186"/>
      <c r="S105" s="1186"/>
      <c r="T105" s="1186"/>
      <c r="U105" s="1186"/>
      <c r="V105" s="1186"/>
      <c r="W105" s="1186"/>
      <c r="X105" s="1186"/>
    </row>
    <row r="106" spans="1:24" customFormat="1" outlineLevel="1" x14ac:dyDescent="0.15">
      <c r="B106" s="1269" t="s">
        <v>1768</v>
      </c>
      <c r="C106" s="1224" t="e">
        <f>+Indicadores!D35</f>
        <v>#DIV/0!</v>
      </c>
      <c r="D106" s="1224" t="e">
        <f>+Indicadores!E35</f>
        <v>#DIV/0!</v>
      </c>
      <c r="E106" s="1224" t="e">
        <f>+Indicadores!F35</f>
        <v>#DIV/0!</v>
      </c>
      <c r="F106" s="1224" t="e">
        <f>+Indicadores!G35</f>
        <v>#DIV/0!</v>
      </c>
      <c r="G106" s="1224" t="e">
        <f>+Indicadores!H35</f>
        <v>#DIV/0!</v>
      </c>
      <c r="H106" s="1274"/>
      <c r="I106" s="1274"/>
      <c r="J106" s="1275"/>
      <c r="K106" s="1275"/>
      <c r="L106" s="1275"/>
      <c r="M106" s="1275"/>
      <c r="N106" s="1276"/>
      <c r="O106" s="1227"/>
      <c r="P106" s="1227"/>
      <c r="Q106" s="1227"/>
      <c r="R106" s="1227"/>
      <c r="S106" s="1227"/>
      <c r="T106" s="1227"/>
      <c r="U106" s="1227"/>
      <c r="V106" s="1227"/>
      <c r="W106" s="1227"/>
      <c r="X106" s="1227"/>
    </row>
    <row r="107" spans="1:24" customFormat="1" outlineLevel="1" x14ac:dyDescent="0.15">
      <c r="B107" s="1270"/>
      <c r="C107" s="1219"/>
      <c r="D107" s="1219"/>
      <c r="E107" s="1219"/>
      <c r="F107" s="1219"/>
      <c r="G107" s="1219"/>
      <c r="H107" s="1271" t="e">
        <f>+D106</f>
        <v>#DIV/0!</v>
      </c>
      <c r="I107" s="1271"/>
      <c r="J107" s="1272" t="e">
        <f>+H107</f>
        <v>#DIV/0!</v>
      </c>
      <c r="K107" s="1272" t="e">
        <f t="shared" ref="K107:X107" si="24">+J107</f>
        <v>#DIV/0!</v>
      </c>
      <c r="L107" s="1272" t="e">
        <f t="shared" si="24"/>
        <v>#DIV/0!</v>
      </c>
      <c r="M107" s="1272" t="e">
        <f t="shared" si="24"/>
        <v>#DIV/0!</v>
      </c>
      <c r="N107" s="1273" t="e">
        <f t="shared" si="24"/>
        <v>#DIV/0!</v>
      </c>
      <c r="O107" s="1226" t="e">
        <f t="shared" si="24"/>
        <v>#DIV/0!</v>
      </c>
      <c r="P107" s="1226" t="e">
        <f t="shared" si="24"/>
        <v>#DIV/0!</v>
      </c>
      <c r="Q107" s="1226" t="e">
        <f t="shared" si="24"/>
        <v>#DIV/0!</v>
      </c>
      <c r="R107" s="1226" t="e">
        <f t="shared" si="24"/>
        <v>#DIV/0!</v>
      </c>
      <c r="S107" s="1226" t="e">
        <f t="shared" si="24"/>
        <v>#DIV/0!</v>
      </c>
      <c r="T107" s="1226" t="e">
        <f t="shared" si="24"/>
        <v>#DIV/0!</v>
      </c>
      <c r="U107" s="1226" t="e">
        <f t="shared" si="24"/>
        <v>#DIV/0!</v>
      </c>
      <c r="V107" s="1226" t="e">
        <f t="shared" si="24"/>
        <v>#DIV/0!</v>
      </c>
      <c r="W107" s="1226" t="e">
        <f t="shared" si="24"/>
        <v>#DIV/0!</v>
      </c>
      <c r="X107" s="1226" t="e">
        <f t="shared" si="24"/>
        <v>#DIV/0!</v>
      </c>
    </row>
    <row r="108" spans="1:24" customFormat="1" outlineLevel="1" x14ac:dyDescent="0.15">
      <c r="B108" s="1269" t="s">
        <v>1780</v>
      </c>
      <c r="C108" s="1224">
        <f>+C29</f>
        <v>0</v>
      </c>
      <c r="D108" s="1224">
        <f t="shared" ref="D108:E108" si="25">+D29</f>
        <v>0</v>
      </c>
      <c r="E108" s="1224">
        <f t="shared" si="25"/>
        <v>0</v>
      </c>
      <c r="F108" s="1218"/>
      <c r="G108" s="1218"/>
      <c r="H108" s="1274"/>
      <c r="I108" s="1274"/>
      <c r="J108" s="1250"/>
      <c r="K108" s="1250"/>
      <c r="L108" s="1250"/>
      <c r="M108" s="1250"/>
      <c r="N108" s="1251"/>
      <c r="O108" s="1185"/>
      <c r="P108" s="1185"/>
      <c r="Q108" s="1185"/>
      <c r="R108" s="1185"/>
      <c r="S108" s="1185"/>
      <c r="T108" s="1185"/>
      <c r="U108" s="1185"/>
      <c r="V108" s="1185"/>
      <c r="W108" s="1185"/>
      <c r="X108" s="1185"/>
    </row>
    <row r="109" spans="1:24" customFormat="1" outlineLevel="1" x14ac:dyDescent="0.15">
      <c r="B109" s="1270"/>
      <c r="C109" s="1219"/>
      <c r="D109" s="1219"/>
      <c r="E109" s="1219"/>
      <c r="F109" s="1219"/>
      <c r="G109" s="1219"/>
      <c r="H109" s="1271">
        <f>+D108</f>
        <v>0</v>
      </c>
      <c r="I109" s="1271"/>
      <c r="J109" s="1272">
        <f>+H109</f>
        <v>0</v>
      </c>
      <c r="K109" s="1272">
        <f>+J109</f>
        <v>0</v>
      </c>
      <c r="L109" s="1272">
        <f t="shared" ref="L109:M109" si="26">+K109</f>
        <v>0</v>
      </c>
      <c r="M109" s="1272">
        <f t="shared" si="26"/>
        <v>0</v>
      </c>
      <c r="N109" s="1273">
        <f>+M109</f>
        <v>0</v>
      </c>
      <c r="O109" s="1186"/>
      <c r="P109" s="1186"/>
      <c r="Q109" s="1186"/>
      <c r="R109" s="1186"/>
      <c r="S109" s="1186"/>
      <c r="T109" s="1186"/>
      <c r="U109" s="1186"/>
      <c r="V109" s="1186"/>
      <c r="W109" s="1186"/>
      <c r="X109" s="1186"/>
    </row>
    <row r="110" spans="1:24" customFormat="1" outlineLevel="1" x14ac:dyDescent="0.15">
      <c r="B110" s="1269" t="s">
        <v>1769</v>
      </c>
      <c r="C110" s="1224">
        <f>+Indicadores!D34</f>
        <v>0</v>
      </c>
      <c r="D110" s="1224">
        <f>+Indicadores!E34</f>
        <v>0</v>
      </c>
      <c r="E110" s="1224">
        <f>+Indicadores!F34</f>
        <v>0</v>
      </c>
      <c r="F110" s="1224">
        <f>+Indicadores!G34</f>
        <v>0</v>
      </c>
      <c r="G110" s="1224">
        <f>+Indicadores!H34</f>
        <v>0</v>
      </c>
      <c r="H110" s="1274"/>
      <c r="I110" s="1274"/>
      <c r="J110" s="1250"/>
      <c r="K110" s="1250"/>
      <c r="L110" s="1250"/>
      <c r="M110" s="1250"/>
      <c r="N110" s="1251"/>
      <c r="O110" s="1185"/>
      <c r="P110" s="1185"/>
      <c r="Q110" s="1185"/>
      <c r="R110" s="1185"/>
      <c r="S110" s="1185"/>
      <c r="T110" s="1185"/>
      <c r="U110" s="1185"/>
      <c r="V110" s="1185"/>
      <c r="W110" s="1185"/>
      <c r="X110" s="1185"/>
    </row>
    <row r="111" spans="1:24" customFormat="1" outlineLevel="1" x14ac:dyDescent="0.15">
      <c r="B111" s="1270"/>
      <c r="C111" s="1219"/>
      <c r="D111" s="1219"/>
      <c r="E111" s="1219"/>
      <c r="F111" s="1219"/>
      <c r="G111" s="1219"/>
      <c r="H111" s="1271">
        <v>44</v>
      </c>
      <c r="I111" s="1271"/>
      <c r="J111" s="1272">
        <f>+H111</f>
        <v>44</v>
      </c>
      <c r="K111" s="1272">
        <f t="shared" ref="K111:X111" si="27">+J111</f>
        <v>44</v>
      </c>
      <c r="L111" s="1272">
        <f t="shared" si="27"/>
        <v>44</v>
      </c>
      <c r="M111" s="1272">
        <f t="shared" si="27"/>
        <v>44</v>
      </c>
      <c r="N111" s="1273">
        <f t="shared" si="27"/>
        <v>44</v>
      </c>
      <c r="O111" s="1226">
        <f t="shared" si="27"/>
        <v>44</v>
      </c>
      <c r="P111" s="1226">
        <f t="shared" si="27"/>
        <v>44</v>
      </c>
      <c r="Q111" s="1226">
        <f t="shared" si="27"/>
        <v>44</v>
      </c>
      <c r="R111" s="1226">
        <f t="shared" si="27"/>
        <v>44</v>
      </c>
      <c r="S111" s="1226">
        <f t="shared" si="27"/>
        <v>44</v>
      </c>
      <c r="T111" s="1226">
        <f t="shared" si="27"/>
        <v>44</v>
      </c>
      <c r="U111" s="1226">
        <f t="shared" si="27"/>
        <v>44</v>
      </c>
      <c r="V111" s="1226">
        <f t="shared" si="27"/>
        <v>44</v>
      </c>
      <c r="W111" s="1226">
        <f t="shared" si="27"/>
        <v>44</v>
      </c>
      <c r="X111" s="1226">
        <f t="shared" si="27"/>
        <v>44</v>
      </c>
    </row>
    <row r="112" spans="1:24" customFormat="1" outlineLevel="1" x14ac:dyDescent="0.15">
      <c r="B112" s="1269" t="s">
        <v>1775</v>
      </c>
      <c r="C112" s="1230" t="e">
        <f>+'Info Entrada'!C221*360/('Info Entrada'!C94+'Info Entrada'!C105)</f>
        <v>#DIV/0!</v>
      </c>
      <c r="D112" s="1230" t="e">
        <f>+'Info Entrada'!D221*360/('Info Entrada'!D94+'Info Entrada'!D105)</f>
        <v>#DIV/0!</v>
      </c>
      <c r="E112" s="1230" t="e">
        <f>+'Info Entrada'!E221*360/('Info Entrada'!E94+'Info Entrada'!E105)</f>
        <v>#DIV/0!</v>
      </c>
      <c r="F112" s="1230" t="e">
        <f>+'Info Entrada'!F221*360/('Info Entrada'!F94+'Info Entrada'!F105)</f>
        <v>#DIV/0!</v>
      </c>
      <c r="G112" s="1230" t="e">
        <f>+'Info Entrada'!G221*360/('Info Entrada'!G94+'Info Entrada'!G105)</f>
        <v>#DIV/0!</v>
      </c>
      <c r="H112" s="1274"/>
      <c r="I112" s="1274"/>
      <c r="J112" s="1250"/>
      <c r="K112" s="1250"/>
      <c r="L112" s="1250"/>
      <c r="M112" s="1250"/>
      <c r="N112" s="1251"/>
      <c r="O112" s="1185"/>
      <c r="P112" s="1185"/>
      <c r="Q112" s="1185"/>
      <c r="R112" s="1185"/>
      <c r="S112" s="1185"/>
      <c r="T112" s="1185"/>
      <c r="U112" s="1185"/>
      <c r="V112" s="1185"/>
      <c r="W112" s="1185"/>
      <c r="X112" s="1185"/>
    </row>
    <row r="113" spans="1:24" customFormat="1" outlineLevel="1" x14ac:dyDescent="0.15">
      <c r="B113" s="1270"/>
      <c r="C113" s="1219"/>
      <c r="D113" s="1219"/>
      <c r="E113" s="1219"/>
      <c r="F113" s="1219"/>
      <c r="G113" s="1219"/>
      <c r="H113" s="1271" t="e">
        <f>+E112</f>
        <v>#DIV/0!</v>
      </c>
      <c r="I113" s="1271"/>
      <c r="J113" s="1277" t="e">
        <f>+H113</f>
        <v>#DIV/0!</v>
      </c>
      <c r="K113" s="1277" t="e">
        <f t="shared" ref="K113:X113" si="28">+J113</f>
        <v>#DIV/0!</v>
      </c>
      <c r="L113" s="1277" t="e">
        <f t="shared" si="28"/>
        <v>#DIV/0!</v>
      </c>
      <c r="M113" s="1277" t="e">
        <f t="shared" si="28"/>
        <v>#DIV/0!</v>
      </c>
      <c r="N113" s="1278" t="e">
        <f t="shared" si="28"/>
        <v>#DIV/0!</v>
      </c>
      <c r="O113" s="1231" t="e">
        <f t="shared" si="28"/>
        <v>#DIV/0!</v>
      </c>
      <c r="P113" s="1231" t="e">
        <f t="shared" si="28"/>
        <v>#DIV/0!</v>
      </c>
      <c r="Q113" s="1231" t="e">
        <f t="shared" si="28"/>
        <v>#DIV/0!</v>
      </c>
      <c r="R113" s="1231" t="e">
        <f t="shared" si="28"/>
        <v>#DIV/0!</v>
      </c>
      <c r="S113" s="1231" t="e">
        <f t="shared" si="28"/>
        <v>#DIV/0!</v>
      </c>
      <c r="T113" s="1231" t="e">
        <f t="shared" si="28"/>
        <v>#DIV/0!</v>
      </c>
      <c r="U113" s="1231" t="e">
        <f t="shared" si="28"/>
        <v>#DIV/0!</v>
      </c>
      <c r="V113" s="1231" t="e">
        <f t="shared" si="28"/>
        <v>#DIV/0!</v>
      </c>
      <c r="W113" s="1231" t="e">
        <f t="shared" si="28"/>
        <v>#DIV/0!</v>
      </c>
      <c r="X113" s="1231" t="e">
        <f t="shared" si="28"/>
        <v>#DIV/0!</v>
      </c>
    </row>
    <row r="114" spans="1:24" customFormat="1" outlineLevel="1" x14ac:dyDescent="0.15">
      <c r="B114" s="1269" t="s">
        <v>1776</v>
      </c>
      <c r="C114" s="1230" t="e">
        <f>+'Info Entrada'!C222*360/'Info Entrada'!C164</f>
        <v>#DIV/0!</v>
      </c>
      <c r="D114" s="1230" t="e">
        <f>+'Info Entrada'!D222*360/'Info Entrada'!D164</f>
        <v>#DIV/0!</v>
      </c>
      <c r="E114" s="1230" t="e">
        <f>+'Info Entrada'!E222*360/'Info Entrada'!E164</f>
        <v>#DIV/0!</v>
      </c>
      <c r="F114" s="1230" t="e">
        <f>+'Info Entrada'!F222*360/'Info Entrada'!F164</f>
        <v>#DIV/0!</v>
      </c>
      <c r="G114" s="1230" t="e">
        <f>+'Info Entrada'!G222*360/'Info Entrada'!G164</f>
        <v>#DIV/0!</v>
      </c>
      <c r="H114" s="1274"/>
      <c r="I114" s="1274"/>
      <c r="J114" s="1250"/>
      <c r="K114" s="1250"/>
      <c r="L114" s="1250"/>
      <c r="M114" s="1250"/>
      <c r="N114" s="1251"/>
      <c r="O114" s="1185"/>
      <c r="P114" s="1185"/>
      <c r="Q114" s="1185"/>
      <c r="R114" s="1185"/>
      <c r="S114" s="1185"/>
      <c r="T114" s="1185"/>
      <c r="U114" s="1185"/>
      <c r="V114" s="1185"/>
      <c r="W114" s="1185"/>
      <c r="X114" s="1185"/>
    </row>
    <row r="115" spans="1:24" customFormat="1" outlineLevel="1" x14ac:dyDescent="0.15">
      <c r="B115" s="1270"/>
      <c r="C115" s="1219"/>
      <c r="D115" s="1219"/>
      <c r="E115" s="1219"/>
      <c r="F115" s="1219"/>
      <c r="G115" s="1219"/>
      <c r="H115" s="1271" t="e">
        <f>+D114</f>
        <v>#DIV/0!</v>
      </c>
      <c r="I115" s="1271"/>
      <c r="J115" s="1277" t="e">
        <f>+H115</f>
        <v>#DIV/0!</v>
      </c>
      <c r="K115" s="1277" t="e">
        <f t="shared" ref="K115:X115" si="29">+J115</f>
        <v>#DIV/0!</v>
      </c>
      <c r="L115" s="1277" t="e">
        <f t="shared" si="29"/>
        <v>#DIV/0!</v>
      </c>
      <c r="M115" s="1277" t="e">
        <f t="shared" si="29"/>
        <v>#DIV/0!</v>
      </c>
      <c r="N115" s="1278" t="e">
        <f t="shared" si="29"/>
        <v>#DIV/0!</v>
      </c>
      <c r="O115" s="1231" t="e">
        <f t="shared" si="29"/>
        <v>#DIV/0!</v>
      </c>
      <c r="P115" s="1231" t="e">
        <f t="shared" si="29"/>
        <v>#DIV/0!</v>
      </c>
      <c r="Q115" s="1231" t="e">
        <f t="shared" si="29"/>
        <v>#DIV/0!</v>
      </c>
      <c r="R115" s="1231" t="e">
        <f t="shared" si="29"/>
        <v>#DIV/0!</v>
      </c>
      <c r="S115" s="1231" t="e">
        <f t="shared" si="29"/>
        <v>#DIV/0!</v>
      </c>
      <c r="T115" s="1231" t="e">
        <f t="shared" si="29"/>
        <v>#DIV/0!</v>
      </c>
      <c r="U115" s="1231" t="e">
        <f t="shared" si="29"/>
        <v>#DIV/0!</v>
      </c>
      <c r="V115" s="1231" t="e">
        <f t="shared" si="29"/>
        <v>#DIV/0!</v>
      </c>
      <c r="W115" s="1231" t="e">
        <f t="shared" si="29"/>
        <v>#DIV/0!</v>
      </c>
      <c r="X115" s="1231" t="e">
        <f t="shared" si="29"/>
        <v>#DIV/0!</v>
      </c>
    </row>
    <row r="116" spans="1:24" customFormat="1" outlineLevel="1" x14ac:dyDescent="0.15">
      <c r="B116" s="1269" t="s">
        <v>1777</v>
      </c>
      <c r="C116" s="1229" t="e">
        <f>+'Info Entrada'!C224*360/'Info Entrada'!C94</f>
        <v>#DIV/0!</v>
      </c>
      <c r="D116" s="1229" t="e">
        <f>+'Info Entrada'!D224*360/'Info Entrada'!D94</f>
        <v>#DIV/0!</v>
      </c>
      <c r="E116" s="1229" t="e">
        <f>+'Info Entrada'!E224*360/'Info Entrada'!E94</f>
        <v>#DIV/0!</v>
      </c>
      <c r="F116" s="1229" t="e">
        <f>+'Info Entrada'!F224*360/'Info Entrada'!F94</f>
        <v>#DIV/0!</v>
      </c>
      <c r="G116" s="1229" t="e">
        <f>+'Info Entrada'!G224*360/'Info Entrada'!G94</f>
        <v>#DIV/0!</v>
      </c>
      <c r="H116" s="1274"/>
      <c r="I116" s="1274"/>
      <c r="J116" s="1250"/>
      <c r="K116" s="1250"/>
      <c r="L116" s="1250"/>
      <c r="M116" s="1250"/>
      <c r="N116" s="1251"/>
      <c r="O116" s="1185"/>
      <c r="P116" s="1185"/>
      <c r="Q116" s="1185"/>
      <c r="R116" s="1185"/>
      <c r="S116" s="1185"/>
      <c r="T116" s="1185"/>
      <c r="U116" s="1185"/>
      <c r="V116" s="1185"/>
      <c r="W116" s="1185"/>
      <c r="X116" s="1185"/>
    </row>
    <row r="117" spans="1:24" customFormat="1" ht="12" outlineLevel="1" thickBot="1" x14ac:dyDescent="0.2">
      <c r="B117" s="1279"/>
      <c r="C117" s="1280"/>
      <c r="D117" s="1280"/>
      <c r="E117" s="1280"/>
      <c r="F117" s="1280"/>
      <c r="G117" s="1280"/>
      <c r="H117" s="1357" t="e">
        <f>+C116</f>
        <v>#DIV/0!</v>
      </c>
      <c r="I117" s="1357"/>
      <c r="J117" s="1281" t="e">
        <f>+H117</f>
        <v>#DIV/0!</v>
      </c>
      <c r="K117" s="1281" t="e">
        <f t="shared" ref="K117:X117" si="30">+J117</f>
        <v>#DIV/0!</v>
      </c>
      <c r="L117" s="1281" t="e">
        <f t="shared" si="30"/>
        <v>#DIV/0!</v>
      </c>
      <c r="M117" s="1281" t="e">
        <f t="shared" si="30"/>
        <v>#DIV/0!</v>
      </c>
      <c r="N117" s="1282" t="e">
        <f t="shared" si="30"/>
        <v>#DIV/0!</v>
      </c>
      <c r="O117" s="1232" t="e">
        <f t="shared" si="30"/>
        <v>#DIV/0!</v>
      </c>
      <c r="P117" s="1232" t="e">
        <f t="shared" si="30"/>
        <v>#DIV/0!</v>
      </c>
      <c r="Q117" s="1232" t="e">
        <f t="shared" si="30"/>
        <v>#DIV/0!</v>
      </c>
      <c r="R117" s="1232" t="e">
        <f t="shared" si="30"/>
        <v>#DIV/0!</v>
      </c>
      <c r="S117" s="1232" t="e">
        <f t="shared" si="30"/>
        <v>#DIV/0!</v>
      </c>
      <c r="T117" s="1232" t="e">
        <f t="shared" si="30"/>
        <v>#DIV/0!</v>
      </c>
      <c r="U117" s="1232" t="e">
        <f t="shared" si="30"/>
        <v>#DIV/0!</v>
      </c>
      <c r="V117" s="1232" t="e">
        <f t="shared" si="30"/>
        <v>#DIV/0!</v>
      </c>
      <c r="W117" s="1232" t="e">
        <f t="shared" si="30"/>
        <v>#DIV/0!</v>
      </c>
      <c r="X117" s="1232" t="e">
        <f t="shared" si="30"/>
        <v>#DIV/0!</v>
      </c>
    </row>
    <row r="118" spans="1:24" customFormat="1" x14ac:dyDescent="0.15">
      <c r="A118" s="424" t="s">
        <v>705</v>
      </c>
      <c r="B118" s="1267" t="s">
        <v>1519</v>
      </c>
      <c r="C118" s="1218"/>
      <c r="D118" s="1218"/>
      <c r="E118" s="1218"/>
      <c r="F118" s="1218"/>
      <c r="G118" s="1218"/>
      <c r="H118" s="1238"/>
      <c r="I118" s="1238"/>
      <c r="J118" s="1185"/>
      <c r="K118" s="1185"/>
      <c r="L118" s="1185"/>
      <c r="M118" s="1185"/>
      <c r="N118" s="1185"/>
      <c r="O118" s="1185"/>
      <c r="P118" s="1185"/>
      <c r="Q118" s="1185"/>
      <c r="R118" s="1185"/>
      <c r="S118" s="1185"/>
      <c r="T118" s="1185"/>
      <c r="U118" s="1185"/>
      <c r="V118" s="1185"/>
      <c r="W118" s="1185"/>
      <c r="X118" s="1185"/>
    </row>
    <row r="119" spans="1:24" customFormat="1" hidden="1" outlineLevel="1" x14ac:dyDescent="0.15">
      <c r="B119" s="1099"/>
      <c r="C119" s="1219"/>
      <c r="D119" s="1219"/>
      <c r="E119" s="1219"/>
      <c r="F119" s="1219"/>
      <c r="G119" s="1219"/>
      <c r="H119" s="1238"/>
      <c r="I119" s="1238"/>
      <c r="J119" s="1186"/>
      <c r="K119" s="1186"/>
      <c r="L119" s="1186"/>
      <c r="M119" s="1186"/>
      <c r="N119" s="1186"/>
      <c r="O119" s="1186"/>
      <c r="P119" s="1186"/>
      <c r="Q119" s="1186"/>
      <c r="R119" s="1186"/>
      <c r="S119" s="1186"/>
      <c r="T119" s="1186"/>
      <c r="U119" s="1186"/>
      <c r="V119" s="1186"/>
      <c r="W119" s="1186"/>
      <c r="X119" s="1186"/>
    </row>
    <row r="120" spans="1:24" customFormat="1" hidden="1" outlineLevel="1" x14ac:dyDescent="0.15">
      <c r="B120" s="1098" t="s">
        <v>560</v>
      </c>
      <c r="C120" s="1218"/>
      <c r="D120" s="1218"/>
      <c r="E120" s="1218"/>
      <c r="F120" s="1218"/>
      <c r="G120" s="1218"/>
      <c r="H120" s="1238"/>
      <c r="I120" s="1238"/>
      <c r="J120" s="1185"/>
      <c r="K120" s="1185"/>
      <c r="L120" s="1185"/>
      <c r="M120" s="1185"/>
      <c r="N120" s="1185"/>
      <c r="O120" s="1185"/>
      <c r="P120" s="1185"/>
      <c r="Q120" s="1185"/>
      <c r="R120" s="1185"/>
      <c r="S120" s="1185"/>
      <c r="T120" s="1185"/>
      <c r="U120" s="1185"/>
      <c r="V120" s="1185"/>
      <c r="W120" s="1185"/>
      <c r="X120" s="1185"/>
    </row>
    <row r="121" spans="1:24" customFormat="1" hidden="1" outlineLevel="1" x14ac:dyDescent="0.15">
      <c r="B121" s="1099" t="s">
        <v>290</v>
      </c>
      <c r="C121" s="1219"/>
      <c r="D121" s="1219"/>
      <c r="E121" s="1219"/>
      <c r="F121" s="1219"/>
      <c r="G121" s="1219"/>
      <c r="H121" s="1238"/>
      <c r="I121" s="1238"/>
      <c r="J121" s="1186"/>
      <c r="K121" s="1186"/>
      <c r="L121" s="1186"/>
      <c r="M121" s="1186"/>
      <c r="N121" s="1186"/>
      <c r="O121" s="1186"/>
      <c r="P121" s="1186"/>
      <c r="Q121" s="1186"/>
      <c r="R121" s="1186"/>
      <c r="S121" s="1186"/>
      <c r="T121" s="1186"/>
      <c r="U121" s="1186"/>
      <c r="V121" s="1186"/>
      <c r="W121" s="1186"/>
      <c r="X121" s="1186"/>
    </row>
    <row r="122" spans="1:24" customFormat="1" hidden="1" outlineLevel="1" x14ac:dyDescent="0.15">
      <c r="B122" s="1098"/>
      <c r="C122" s="1218"/>
      <c r="D122" s="1218"/>
      <c r="E122" s="1218"/>
      <c r="F122" s="1218"/>
      <c r="G122" s="1218"/>
      <c r="H122" s="1238"/>
      <c r="I122" s="1238"/>
      <c r="J122" s="1185"/>
      <c r="K122" s="1185"/>
      <c r="L122" s="1185"/>
      <c r="M122" s="1185"/>
      <c r="N122" s="1185"/>
      <c r="O122" s="1185"/>
      <c r="P122" s="1185"/>
      <c r="Q122" s="1185"/>
      <c r="R122" s="1185"/>
      <c r="S122" s="1185"/>
      <c r="T122" s="1185"/>
      <c r="U122" s="1185"/>
      <c r="V122" s="1185"/>
      <c r="W122" s="1185"/>
      <c r="X122" s="1185"/>
    </row>
    <row r="123" spans="1:24" customFormat="1" hidden="1" outlineLevel="1" x14ac:dyDescent="0.15">
      <c r="B123" s="1099" t="s">
        <v>291</v>
      </c>
      <c r="C123" s="1219"/>
      <c r="D123" s="1219"/>
      <c r="E123" s="1219"/>
      <c r="F123" s="1219"/>
      <c r="G123" s="1219"/>
      <c r="H123" s="1238"/>
      <c r="I123" s="1238"/>
      <c r="J123" s="1186"/>
      <c r="K123" s="1186"/>
      <c r="L123" s="1186"/>
      <c r="M123" s="1186"/>
      <c r="N123" s="1186"/>
      <c r="O123" s="1186"/>
      <c r="P123" s="1186"/>
      <c r="Q123" s="1186"/>
      <c r="R123" s="1186"/>
      <c r="S123" s="1186"/>
      <c r="T123" s="1186"/>
      <c r="U123" s="1186"/>
      <c r="V123" s="1186"/>
      <c r="W123" s="1186"/>
      <c r="X123" s="1186"/>
    </row>
    <row r="124" spans="1:24" customFormat="1" hidden="1" outlineLevel="1" x14ac:dyDescent="0.15">
      <c r="B124" s="1098"/>
      <c r="C124" s="1218"/>
      <c r="D124" s="1218"/>
      <c r="E124" s="1218"/>
      <c r="F124" s="1218"/>
      <c r="G124" s="1218"/>
      <c r="H124" s="1238"/>
      <c r="I124" s="1238"/>
      <c r="J124" s="1185"/>
      <c r="K124" s="1185"/>
      <c r="L124" s="1185"/>
      <c r="M124" s="1185"/>
      <c r="N124" s="1185"/>
      <c r="O124" s="1185"/>
      <c r="P124" s="1185"/>
      <c r="Q124" s="1185"/>
      <c r="R124" s="1185"/>
      <c r="S124" s="1185"/>
      <c r="T124" s="1185"/>
      <c r="U124" s="1185"/>
      <c r="V124" s="1185"/>
      <c r="W124" s="1185"/>
      <c r="X124" s="1185"/>
    </row>
    <row r="125" spans="1:24" customFormat="1" hidden="1" outlineLevel="1" x14ac:dyDescent="0.15">
      <c r="B125" s="1099" t="s">
        <v>292</v>
      </c>
      <c r="C125" s="1219"/>
      <c r="D125" s="1219"/>
      <c r="E125" s="1219"/>
      <c r="F125" s="1219"/>
      <c r="G125" s="1219"/>
      <c r="H125" s="1238"/>
      <c r="I125" s="1238"/>
      <c r="J125" s="1186"/>
      <c r="K125" s="1186"/>
      <c r="L125" s="1186"/>
      <c r="M125" s="1186"/>
      <c r="N125" s="1186"/>
      <c r="O125" s="1186"/>
      <c r="P125" s="1186"/>
      <c r="Q125" s="1186"/>
      <c r="R125" s="1186"/>
      <c r="S125" s="1186"/>
      <c r="T125" s="1186"/>
      <c r="U125" s="1186"/>
      <c r="V125" s="1186"/>
      <c r="W125" s="1186"/>
      <c r="X125" s="1186"/>
    </row>
    <row r="126" spans="1:24" customFormat="1" hidden="1" outlineLevel="1" x14ac:dyDescent="0.15">
      <c r="B126" s="1098"/>
      <c r="C126" s="1218"/>
      <c r="D126" s="1218"/>
      <c r="E126" s="1218"/>
      <c r="F126" s="1218"/>
      <c r="G126" s="1218"/>
      <c r="H126" s="1238"/>
      <c r="I126" s="1238"/>
      <c r="J126" s="1185"/>
      <c r="K126" s="1185"/>
      <c r="L126" s="1185"/>
      <c r="M126" s="1185"/>
      <c r="N126" s="1185"/>
      <c r="O126" s="1185"/>
      <c r="P126" s="1185"/>
      <c r="Q126" s="1185"/>
      <c r="R126" s="1185"/>
      <c r="S126" s="1185"/>
      <c r="T126" s="1185"/>
      <c r="U126" s="1185"/>
      <c r="V126" s="1185"/>
      <c r="W126" s="1185"/>
      <c r="X126" s="1185"/>
    </row>
    <row r="127" spans="1:24" customFormat="1" hidden="1" outlineLevel="1" x14ac:dyDescent="0.15">
      <c r="B127" s="1099" t="s">
        <v>65</v>
      </c>
      <c r="C127" s="1219"/>
      <c r="D127" s="1219"/>
      <c r="E127" s="1219"/>
      <c r="F127" s="1219"/>
      <c r="G127" s="1219"/>
      <c r="H127" s="1238"/>
      <c r="I127" s="1238"/>
      <c r="J127" s="1186"/>
      <c r="K127" s="1186"/>
      <c r="L127" s="1186"/>
      <c r="M127" s="1186"/>
      <c r="N127" s="1186"/>
      <c r="O127" s="1186"/>
      <c r="P127" s="1186"/>
      <c r="Q127" s="1186"/>
      <c r="R127" s="1186"/>
      <c r="S127" s="1186"/>
      <c r="T127" s="1186"/>
      <c r="U127" s="1186"/>
      <c r="V127" s="1186"/>
      <c r="W127" s="1186"/>
      <c r="X127" s="1186"/>
    </row>
    <row r="128" spans="1:24" customFormat="1" hidden="1" outlineLevel="1" x14ac:dyDescent="0.15">
      <c r="B128" s="1098"/>
      <c r="C128" s="1218"/>
      <c r="D128" s="1218"/>
      <c r="E128" s="1218"/>
      <c r="F128" s="1218"/>
      <c r="G128" s="1218"/>
      <c r="H128" s="1238"/>
      <c r="I128" s="1238"/>
      <c r="J128" s="1185"/>
      <c r="K128" s="1185"/>
      <c r="L128" s="1185"/>
      <c r="M128" s="1185"/>
      <c r="N128" s="1185"/>
      <c r="O128" s="1185"/>
      <c r="P128" s="1185"/>
      <c r="Q128" s="1185"/>
      <c r="R128" s="1185"/>
      <c r="S128" s="1185"/>
      <c r="T128" s="1185"/>
      <c r="U128" s="1185"/>
      <c r="V128" s="1185"/>
      <c r="W128" s="1185"/>
      <c r="X128" s="1185"/>
    </row>
    <row r="129" spans="1:24" customFormat="1" hidden="1" outlineLevel="1" x14ac:dyDescent="0.15">
      <c r="B129" s="1099" t="s">
        <v>1520</v>
      </c>
      <c r="C129" s="1219"/>
      <c r="D129" s="1219"/>
      <c r="E129" s="1219"/>
      <c r="F129" s="1219"/>
      <c r="G129" s="1219"/>
      <c r="H129" s="1238"/>
      <c r="I129" s="1238"/>
      <c r="J129" s="1186"/>
      <c r="K129" s="1186"/>
      <c r="L129" s="1186"/>
      <c r="M129" s="1186"/>
      <c r="N129" s="1186"/>
      <c r="O129" s="1186"/>
      <c r="P129" s="1186"/>
      <c r="Q129" s="1186"/>
      <c r="R129" s="1186"/>
      <c r="S129" s="1186"/>
      <c r="T129" s="1186"/>
      <c r="U129" s="1186"/>
      <c r="V129" s="1186"/>
      <c r="W129" s="1186"/>
      <c r="X129" s="1186"/>
    </row>
    <row r="130" spans="1:24" customFormat="1" hidden="1" outlineLevel="1" x14ac:dyDescent="0.15">
      <c r="B130" s="1098"/>
      <c r="C130" s="1218"/>
      <c r="D130" s="1218"/>
      <c r="E130" s="1218"/>
      <c r="F130" s="1218"/>
      <c r="G130" s="1218"/>
      <c r="H130" s="1238"/>
      <c r="I130" s="1238"/>
      <c r="J130" s="1185"/>
      <c r="K130" s="1185"/>
      <c r="L130" s="1185"/>
      <c r="M130" s="1185"/>
      <c r="N130" s="1185"/>
      <c r="O130" s="1185"/>
      <c r="P130" s="1185"/>
      <c r="Q130" s="1185"/>
      <c r="R130" s="1185"/>
      <c r="S130" s="1185"/>
      <c r="T130" s="1185"/>
      <c r="U130" s="1185"/>
      <c r="V130" s="1185"/>
      <c r="W130" s="1185"/>
      <c r="X130" s="1185"/>
    </row>
    <row r="131" spans="1:24" customFormat="1" hidden="1" outlineLevel="1" x14ac:dyDescent="0.15">
      <c r="B131" s="1099" t="s">
        <v>76</v>
      </c>
      <c r="C131" s="1219"/>
      <c r="D131" s="1219"/>
      <c r="E131" s="1219"/>
      <c r="F131" s="1219"/>
      <c r="G131" s="1219"/>
      <c r="H131" s="1238"/>
      <c r="I131" s="1238"/>
      <c r="J131" s="1186"/>
      <c r="K131" s="1186"/>
      <c r="L131" s="1186"/>
      <c r="M131" s="1186"/>
      <c r="N131" s="1186"/>
      <c r="O131" s="1186"/>
      <c r="P131" s="1186"/>
      <c r="Q131" s="1186"/>
      <c r="R131" s="1186"/>
      <c r="S131" s="1186"/>
      <c r="T131" s="1186"/>
      <c r="U131" s="1186"/>
      <c r="V131" s="1186"/>
      <c r="W131" s="1186"/>
      <c r="X131" s="1186"/>
    </row>
    <row r="132" spans="1:24" customFormat="1" hidden="1" outlineLevel="1" x14ac:dyDescent="0.15">
      <c r="B132" s="1098"/>
      <c r="C132" s="1218"/>
      <c r="D132" s="1218"/>
      <c r="E132" s="1218"/>
      <c r="F132" s="1218"/>
      <c r="G132" s="1218"/>
      <c r="H132" s="1238"/>
      <c r="I132" s="1238"/>
      <c r="J132" s="1185"/>
      <c r="K132" s="1185"/>
      <c r="L132" s="1185"/>
      <c r="M132" s="1185"/>
      <c r="N132" s="1185"/>
      <c r="O132" s="1185"/>
      <c r="P132" s="1185"/>
      <c r="Q132" s="1185"/>
      <c r="R132" s="1185"/>
      <c r="S132" s="1185"/>
      <c r="T132" s="1185"/>
      <c r="U132" s="1185"/>
      <c r="V132" s="1185"/>
      <c r="W132" s="1185"/>
      <c r="X132" s="1185"/>
    </row>
    <row r="133" spans="1:24" customFormat="1" hidden="1" outlineLevel="1" x14ac:dyDescent="0.15">
      <c r="B133" s="1099" t="s">
        <v>66</v>
      </c>
      <c r="C133" s="1219"/>
      <c r="D133" s="1219"/>
      <c r="E133" s="1219"/>
      <c r="F133" s="1219"/>
      <c r="G133" s="1219"/>
      <c r="H133" s="1238"/>
      <c r="I133" s="1238"/>
      <c r="J133" s="1186"/>
      <c r="K133" s="1186"/>
      <c r="L133" s="1186"/>
      <c r="M133" s="1186"/>
      <c r="N133" s="1186"/>
      <c r="O133" s="1186"/>
      <c r="P133" s="1186"/>
      <c r="Q133" s="1186"/>
      <c r="R133" s="1186"/>
      <c r="S133" s="1186"/>
      <c r="T133" s="1186"/>
      <c r="U133" s="1186"/>
      <c r="V133" s="1186"/>
      <c r="W133" s="1186"/>
      <c r="X133" s="1186"/>
    </row>
    <row r="134" spans="1:24" customFormat="1" hidden="1" outlineLevel="1" x14ac:dyDescent="0.15">
      <c r="B134" s="1098"/>
      <c r="C134" s="1218"/>
      <c r="D134" s="1218"/>
      <c r="E134" s="1218"/>
      <c r="F134" s="1218"/>
      <c r="G134" s="1218"/>
      <c r="H134" s="1238"/>
      <c r="I134" s="1238"/>
      <c r="J134" s="1185"/>
      <c r="K134" s="1185"/>
      <c r="L134" s="1185"/>
      <c r="M134" s="1185"/>
      <c r="N134" s="1185"/>
      <c r="O134" s="1185"/>
      <c r="P134" s="1185"/>
      <c r="Q134" s="1185"/>
      <c r="R134" s="1185"/>
      <c r="S134" s="1185"/>
      <c r="T134" s="1185"/>
      <c r="U134" s="1185"/>
      <c r="V134" s="1185"/>
      <c r="W134" s="1185"/>
      <c r="X134" s="1185"/>
    </row>
    <row r="135" spans="1:24" customFormat="1" hidden="1" outlineLevel="1" x14ac:dyDescent="0.15">
      <c r="B135" s="1099" t="s">
        <v>572</v>
      </c>
      <c r="C135" s="1219"/>
      <c r="D135" s="1219"/>
      <c r="E135" s="1219"/>
      <c r="F135" s="1219"/>
      <c r="G135" s="1219"/>
      <c r="H135" s="1238"/>
      <c r="I135" s="1238"/>
      <c r="J135" s="1186"/>
      <c r="K135" s="1186"/>
      <c r="L135" s="1186"/>
      <c r="M135" s="1186"/>
      <c r="N135" s="1186"/>
      <c r="O135" s="1186"/>
      <c r="P135" s="1186"/>
      <c r="Q135" s="1186"/>
      <c r="R135" s="1186"/>
      <c r="S135" s="1186"/>
      <c r="T135" s="1186"/>
      <c r="U135" s="1186"/>
      <c r="V135" s="1186"/>
      <c r="W135" s="1186"/>
      <c r="X135" s="1186"/>
    </row>
    <row r="136" spans="1:24" customFormat="1" hidden="1" outlineLevel="1" x14ac:dyDescent="0.15">
      <c r="B136" s="1098"/>
      <c r="C136" s="1218"/>
      <c r="D136" s="1218"/>
      <c r="E136" s="1218"/>
      <c r="F136" s="1218"/>
      <c r="G136" s="1218"/>
      <c r="H136" s="1238"/>
      <c r="I136" s="1238"/>
      <c r="J136" s="1185"/>
      <c r="K136" s="1185"/>
      <c r="L136" s="1185"/>
      <c r="M136" s="1185"/>
      <c r="N136" s="1185"/>
      <c r="O136" s="1185"/>
      <c r="P136" s="1185"/>
      <c r="Q136" s="1185"/>
      <c r="R136" s="1185"/>
      <c r="S136" s="1185"/>
      <c r="T136" s="1185"/>
      <c r="U136" s="1185"/>
      <c r="V136" s="1185"/>
      <c r="W136" s="1185"/>
      <c r="X136" s="1185"/>
    </row>
    <row r="137" spans="1:24" customFormat="1" hidden="1" outlineLevel="1" x14ac:dyDescent="0.15">
      <c r="B137" s="1099" t="s">
        <v>573</v>
      </c>
      <c r="C137" s="1219"/>
      <c r="D137" s="1219"/>
      <c r="E137" s="1219"/>
      <c r="F137" s="1219"/>
      <c r="G137" s="1219"/>
      <c r="H137" s="1238"/>
      <c r="I137" s="1238"/>
      <c r="J137" s="1186"/>
      <c r="K137" s="1186"/>
      <c r="L137" s="1186"/>
      <c r="M137" s="1186"/>
      <c r="N137" s="1186"/>
      <c r="O137" s="1186"/>
      <c r="P137" s="1186"/>
      <c r="Q137" s="1186"/>
      <c r="R137" s="1186"/>
      <c r="S137" s="1186"/>
      <c r="T137" s="1186"/>
      <c r="U137" s="1186"/>
      <c r="V137" s="1186"/>
      <c r="W137" s="1186"/>
      <c r="X137" s="1186"/>
    </row>
    <row r="138" spans="1:24" customFormat="1" hidden="1" outlineLevel="1" x14ac:dyDescent="0.15">
      <c r="B138" s="1098"/>
      <c r="C138" s="1218"/>
      <c r="D138" s="1218"/>
      <c r="E138" s="1218"/>
      <c r="F138" s="1218"/>
      <c r="G138" s="1218"/>
      <c r="H138" s="1238"/>
      <c r="I138" s="1238"/>
      <c r="J138" s="1185"/>
      <c r="K138" s="1185"/>
      <c r="L138" s="1185"/>
      <c r="M138" s="1185"/>
      <c r="N138" s="1185"/>
      <c r="O138" s="1185"/>
      <c r="P138" s="1185"/>
      <c r="Q138" s="1185"/>
      <c r="R138" s="1185"/>
      <c r="S138" s="1185"/>
      <c r="T138" s="1185"/>
      <c r="U138" s="1185"/>
      <c r="V138" s="1185"/>
      <c r="W138" s="1185"/>
      <c r="X138" s="1185"/>
    </row>
    <row r="139" spans="1:24" customFormat="1" hidden="1" outlineLevel="1" x14ac:dyDescent="0.15">
      <c r="B139" s="1099" t="s">
        <v>576</v>
      </c>
      <c r="C139" s="1219"/>
      <c r="D139" s="1219"/>
      <c r="E139" s="1219"/>
      <c r="F139" s="1219"/>
      <c r="G139" s="1219"/>
      <c r="H139" s="1238"/>
      <c r="I139" s="1238"/>
      <c r="J139" s="1186"/>
      <c r="K139" s="1186"/>
      <c r="L139" s="1186"/>
      <c r="M139" s="1186"/>
      <c r="N139" s="1186"/>
      <c r="O139" s="1186"/>
      <c r="P139" s="1186"/>
      <c r="Q139" s="1186"/>
      <c r="R139" s="1186"/>
      <c r="S139" s="1186"/>
      <c r="T139" s="1186"/>
      <c r="U139" s="1186"/>
      <c r="V139" s="1186"/>
      <c r="W139" s="1186"/>
      <c r="X139" s="1186"/>
    </row>
    <row r="140" spans="1:24" customFormat="1" hidden="1" outlineLevel="1" x14ac:dyDescent="0.15">
      <c r="B140" s="1098"/>
      <c r="C140" s="1218"/>
      <c r="D140" s="1218"/>
      <c r="E140" s="1218"/>
      <c r="F140" s="1218"/>
      <c r="G140" s="1218"/>
      <c r="H140" s="1238"/>
      <c r="I140" s="1238"/>
      <c r="J140" s="1185"/>
      <c r="K140" s="1185"/>
      <c r="L140" s="1185"/>
      <c r="M140" s="1185"/>
      <c r="N140" s="1185"/>
      <c r="O140" s="1185"/>
      <c r="P140" s="1185"/>
      <c r="Q140" s="1185"/>
      <c r="R140" s="1185"/>
      <c r="S140" s="1185"/>
      <c r="T140" s="1185"/>
      <c r="U140" s="1185"/>
      <c r="V140" s="1185"/>
      <c r="W140" s="1185"/>
      <c r="X140" s="1185"/>
    </row>
    <row r="141" spans="1:24" customFormat="1" collapsed="1" x14ac:dyDescent="0.15">
      <c r="H141" s="1238"/>
      <c r="I141" s="1238"/>
    </row>
    <row r="142" spans="1:24" customFormat="1" outlineLevel="1" x14ac:dyDescent="0.15">
      <c r="A142" s="424" t="s">
        <v>196</v>
      </c>
      <c r="H142" s="1235"/>
      <c r="I142" s="1235"/>
    </row>
    <row r="143" spans="1:24" customFormat="1" outlineLevel="1" x14ac:dyDescent="0.15">
      <c r="A143" s="1105" t="s">
        <v>1755</v>
      </c>
      <c r="H143" s="1235"/>
      <c r="I143" s="1235"/>
    </row>
    <row r="144" spans="1:24" customFormat="1" outlineLevel="1" x14ac:dyDescent="0.15">
      <c r="A144" s="1105" t="s">
        <v>1760</v>
      </c>
      <c r="E144">
        <f>+IF(General!$D$24="NO",'Info Entrada'!E228+'Info Entrada'!E229,'Info Entrada'!G228+'Info Entrada'!G229)</f>
        <v>0</v>
      </c>
      <c r="F144">
        <v>20000</v>
      </c>
      <c r="G144">
        <f>+F144+E144</f>
        <v>20000</v>
      </c>
      <c r="H144" s="1235"/>
      <c r="I144" s="1235"/>
    </row>
    <row r="145" spans="1:24" customFormat="1" outlineLevel="1" x14ac:dyDescent="0.15">
      <c r="A145" s="1105" t="s">
        <v>1756</v>
      </c>
      <c r="C145" s="1222" t="e">
        <f>+'Info Entrada'!C124/('Info Entrada'!C228+'Info Entrada'!C229)</f>
        <v>#DIV/0!</v>
      </c>
      <c r="D145" s="1222" t="e">
        <f>+'Info Entrada'!D124/('Info Entrada'!D228+'Info Entrada'!D229)</f>
        <v>#DIV/0!</v>
      </c>
      <c r="E145" s="1222" t="e">
        <f>+'Info Entrada'!E124/('Info Entrada'!E228+'Info Entrada'!E229)</f>
        <v>#DIV/0!</v>
      </c>
      <c r="F145" s="1222" t="e">
        <f>+'Info Entrada'!F124/('Info Entrada'!F228+'Info Entrada'!F229)</f>
        <v>#DIV/0!</v>
      </c>
      <c r="G145" s="1222" t="e">
        <f>+E145</f>
        <v>#DIV/0!</v>
      </c>
      <c r="H145" s="1235"/>
      <c r="I145" s="1235"/>
    </row>
    <row r="146" spans="1:24" customFormat="1" outlineLevel="1" x14ac:dyDescent="0.15">
      <c r="A146" s="1147" t="s">
        <v>1759</v>
      </c>
      <c r="G146">
        <v>4</v>
      </c>
      <c r="H146" s="1235"/>
      <c r="I146" s="1235"/>
    </row>
    <row r="147" spans="1:24" customFormat="1" outlineLevel="1" x14ac:dyDescent="0.15">
      <c r="H147" s="1235"/>
      <c r="I147" s="1235"/>
    </row>
    <row r="148" spans="1:24" customFormat="1" outlineLevel="1" x14ac:dyDescent="0.15">
      <c r="A148" s="1147" t="s">
        <v>1757</v>
      </c>
      <c r="H148" s="1338">
        <f>+G144</f>
        <v>20000</v>
      </c>
      <c r="I148" s="1338"/>
      <c r="J148" s="1233">
        <f>+IF(H148=0,0,H148-J150)</f>
        <v>-14260</v>
      </c>
      <c r="K148" s="1233">
        <f>+IF(ROUND(J148,20)=0,0,J148-K150)</f>
        <v>-31824.333333333332</v>
      </c>
      <c r="L148" s="1233">
        <f t="shared" ref="L148:N148" si="31">+IF(ROUND(K148,20)=0,0,K148-L150)</f>
        <v>-52594</v>
      </c>
      <c r="M148" s="1233">
        <f t="shared" si="31"/>
        <v>-81882.666666666672</v>
      </c>
      <c r="N148" s="1233">
        <f t="shared" si="31"/>
        <v>-85216</v>
      </c>
      <c r="O148" s="1233"/>
      <c r="P148" s="1233"/>
      <c r="Q148" s="1233"/>
      <c r="R148" s="1233"/>
      <c r="S148" s="1233"/>
      <c r="T148" s="1233"/>
      <c r="U148" s="1233"/>
      <c r="V148" s="1233"/>
      <c r="W148" s="1233"/>
      <c r="X148" s="1233"/>
    </row>
    <row r="149" spans="1:24" customFormat="1" outlineLevel="1" x14ac:dyDescent="0.15">
      <c r="A149" s="1147" t="s">
        <v>1758</v>
      </c>
      <c r="H149" s="1338" t="e">
        <f>+$D$145*(G144+F144)</f>
        <v>#DIV/0!</v>
      </c>
      <c r="I149" s="1338"/>
      <c r="J149" s="1233" t="e">
        <f>+H148*$D$145</f>
        <v>#DIV/0!</v>
      </c>
      <c r="K149" s="1233" t="e">
        <f t="shared" ref="K149" si="32">+J148*$G$145</f>
        <v>#DIV/0!</v>
      </c>
      <c r="L149" s="1233" t="e">
        <f t="shared" ref="L149" si="33">+K148*$G$145</f>
        <v>#DIV/0!</v>
      </c>
      <c r="M149" s="1233" t="e">
        <f t="shared" ref="M149:N149" si="34">+L148*$G$145</f>
        <v>#DIV/0!</v>
      </c>
      <c r="N149" s="1233" t="e">
        <f t="shared" si="34"/>
        <v>#DIV/0!</v>
      </c>
      <c r="O149" s="1233"/>
      <c r="P149" s="1233"/>
      <c r="Q149" s="1233"/>
      <c r="R149" s="1233"/>
      <c r="S149" s="1233"/>
      <c r="T149" s="1233"/>
      <c r="U149" s="1233"/>
      <c r="V149" s="1233"/>
      <c r="W149" s="1233"/>
      <c r="X149" s="1233"/>
    </row>
    <row r="150" spans="1:24" customFormat="1" outlineLevel="1" x14ac:dyDescent="0.15">
      <c r="A150" s="1147" t="s">
        <v>1802</v>
      </c>
      <c r="H150" s="1338">
        <f>+E144/G146</f>
        <v>0</v>
      </c>
      <c r="I150" s="1338"/>
      <c r="J150" s="1233">
        <f>+J154</f>
        <v>34260</v>
      </c>
      <c r="K150" s="1233">
        <f>+K154+K155</f>
        <v>17564.333333333332</v>
      </c>
      <c r="L150" s="1233">
        <f t="shared" ref="L150:M150" si="35">+L154+L155</f>
        <v>20769.666666666668</v>
      </c>
      <c r="M150" s="1233">
        <f t="shared" si="35"/>
        <v>29288.666666666668</v>
      </c>
      <c r="N150" s="1233">
        <f t="shared" ref="N150" si="36">+N154+N155</f>
        <v>3333.3333333333335</v>
      </c>
      <c r="O150" s="1233"/>
      <c r="P150" s="1233"/>
      <c r="Q150" s="1233"/>
      <c r="R150" s="1233"/>
      <c r="S150" s="1233"/>
      <c r="T150" s="1233"/>
      <c r="U150" s="1233"/>
      <c r="V150" s="1233"/>
      <c r="W150" s="1233"/>
      <c r="X150" s="1233"/>
    </row>
    <row r="151" spans="1:24" customFormat="1" outlineLevel="1" x14ac:dyDescent="0.15">
      <c r="H151" s="1235"/>
      <c r="I151" s="1235"/>
    </row>
    <row r="152" spans="1:24" customFormat="1" ht="12" outlineLevel="1" thickBot="1" x14ac:dyDescent="0.2">
      <c r="H152" s="1235"/>
      <c r="I152" s="1235"/>
    </row>
    <row r="153" spans="1:24" customFormat="1" x14ac:dyDescent="0.15">
      <c r="H153" s="1235"/>
      <c r="I153" s="1235"/>
      <c r="J153" s="1330">
        <v>2013</v>
      </c>
      <c r="K153" s="1331">
        <v>2014</v>
      </c>
      <c r="L153" s="1331">
        <v>2015</v>
      </c>
      <c r="M153" s="1332" t="s">
        <v>1799</v>
      </c>
      <c r="N153" s="1333"/>
      <c r="O153" s="1333" t="s">
        <v>547</v>
      </c>
    </row>
    <row r="154" spans="1:24" customFormat="1" ht="12" thickBot="1" x14ac:dyDescent="0.2">
      <c r="H154" s="1235"/>
      <c r="I154" s="1235"/>
      <c r="J154" s="1334">
        <v>34260</v>
      </c>
      <c r="K154" s="1335">
        <v>14231</v>
      </c>
      <c r="L154" s="1335">
        <v>14103</v>
      </c>
      <c r="M154" s="1335">
        <v>22622</v>
      </c>
      <c r="N154" s="1336"/>
      <c r="O154" s="1337">
        <f>SUM(J154:N154)</f>
        <v>85216</v>
      </c>
    </row>
    <row r="155" spans="1:24" customFormat="1" ht="12" thickBot="1" x14ac:dyDescent="0.2">
      <c r="H155" s="1343" t="s">
        <v>1800</v>
      </c>
      <c r="I155" s="1343"/>
      <c r="J155" s="1344"/>
      <c r="K155" s="1345">
        <f>20000/6</f>
        <v>3333.3333333333335</v>
      </c>
      <c r="L155" s="1345">
        <f t="shared" ref="L155:M155" si="37">20000/3</f>
        <v>6666.666666666667</v>
      </c>
      <c r="M155" s="1345">
        <f t="shared" si="37"/>
        <v>6666.666666666667</v>
      </c>
      <c r="N155" s="1346">
        <f>+K155</f>
        <v>3333.3333333333335</v>
      </c>
    </row>
    <row r="156" spans="1:24" customFormat="1" ht="12" thickBot="1" x14ac:dyDescent="0.2">
      <c r="H156" s="1235"/>
      <c r="I156" s="1235"/>
    </row>
    <row r="157" spans="1:24" customFormat="1" ht="12" thickBot="1" x14ac:dyDescent="0.2">
      <c r="H157" s="1347"/>
      <c r="I157" s="1375">
        <v>2012</v>
      </c>
      <c r="J157" s="1348">
        <v>2013</v>
      </c>
      <c r="K157" s="1348">
        <v>2014</v>
      </c>
      <c r="L157" s="1348">
        <v>2015</v>
      </c>
      <c r="M157" s="1348">
        <v>2016</v>
      </c>
      <c r="N157" s="1348">
        <v>2017</v>
      </c>
      <c r="O157" s="1392" t="s">
        <v>547</v>
      </c>
    </row>
    <row r="158" spans="1:24" customFormat="1" ht="12" thickBot="1" x14ac:dyDescent="0.2">
      <c r="H158" s="1361" t="s">
        <v>1803</v>
      </c>
      <c r="I158" s="1376">
        <f>+E144</f>
        <v>0</v>
      </c>
      <c r="J158" s="1362">
        <f>+I160-I163</f>
        <v>20000</v>
      </c>
      <c r="K158" s="1362">
        <f t="shared" ref="K158:M158" si="38">+J160-J163</f>
        <v>-14260</v>
      </c>
      <c r="L158" s="1362">
        <f t="shared" si="38"/>
        <v>-31824.333333333332</v>
      </c>
      <c r="M158" s="1362">
        <f t="shared" si="38"/>
        <v>-52594</v>
      </c>
      <c r="N158" s="1362">
        <f>+M160-M163</f>
        <v>-60578.666666666664</v>
      </c>
      <c r="O158" s="1393"/>
    </row>
    <row r="159" spans="1:24" customFormat="1" ht="12" thickBot="1" x14ac:dyDescent="0.2">
      <c r="H159" s="1363" t="s">
        <v>1805</v>
      </c>
      <c r="I159" s="1377">
        <v>20000</v>
      </c>
      <c r="J159" s="1364">
        <v>0</v>
      </c>
      <c r="K159" s="1364">
        <v>0</v>
      </c>
      <c r="L159" s="1364">
        <v>0</v>
      </c>
      <c r="M159" s="1364">
        <v>0</v>
      </c>
      <c r="N159" s="1364">
        <v>0</v>
      </c>
      <c r="O159" s="1394"/>
    </row>
    <row r="160" spans="1:24" customFormat="1" ht="12" thickBot="1" x14ac:dyDescent="0.2">
      <c r="H160" s="1365" t="s">
        <v>547</v>
      </c>
      <c r="I160" s="1378">
        <f>+I159+I158</f>
        <v>20000</v>
      </c>
      <c r="J160" s="1366">
        <f t="shared" ref="J160:N160" si="39">+J159+J158</f>
        <v>20000</v>
      </c>
      <c r="K160" s="1366">
        <f t="shared" si="39"/>
        <v>-14260</v>
      </c>
      <c r="L160" s="1366">
        <f t="shared" si="39"/>
        <v>-31824.333333333332</v>
      </c>
      <c r="M160" s="1366">
        <f t="shared" si="39"/>
        <v>-52594</v>
      </c>
      <c r="N160" s="1366">
        <f t="shared" si="39"/>
        <v>-60578.666666666664</v>
      </c>
      <c r="O160" s="1395"/>
    </row>
    <row r="161" spans="8:15" customFormat="1" ht="12" thickBot="1" x14ac:dyDescent="0.2">
      <c r="H161" s="1367" t="s">
        <v>1804</v>
      </c>
      <c r="I161" s="1379">
        <f>+H150</f>
        <v>0</v>
      </c>
      <c r="J161" s="1368">
        <v>34260</v>
      </c>
      <c r="K161" s="1368">
        <v>14231</v>
      </c>
      <c r="L161" s="1368">
        <v>14103</v>
      </c>
      <c r="M161" s="1368">
        <v>1318</v>
      </c>
      <c r="N161" s="1368">
        <v>0</v>
      </c>
      <c r="O161" s="1396">
        <f>+SUM(J161:M161)</f>
        <v>63912</v>
      </c>
    </row>
    <row r="162" spans="8:15" customFormat="1" ht="12" thickBot="1" x14ac:dyDescent="0.2">
      <c r="H162" s="1361" t="s">
        <v>1800</v>
      </c>
      <c r="I162" s="1380">
        <v>0</v>
      </c>
      <c r="J162" s="1370">
        <v>0</v>
      </c>
      <c r="K162" s="1369">
        <f>+K155</f>
        <v>3333.3333333333335</v>
      </c>
      <c r="L162" s="1369">
        <f>+L155</f>
        <v>6666.666666666667</v>
      </c>
      <c r="M162" s="1369">
        <f>+L162</f>
        <v>6666.666666666667</v>
      </c>
      <c r="N162" s="1369">
        <f>+N158</f>
        <v>-60578.666666666664</v>
      </c>
      <c r="O162" s="1393">
        <f>SUM(K162:M162)</f>
        <v>16666.666666666668</v>
      </c>
    </row>
    <row r="163" spans="8:15" customFormat="1" ht="12" thickBot="1" x14ac:dyDescent="0.2">
      <c r="H163" s="1371" t="s">
        <v>1806</v>
      </c>
      <c r="I163" s="1378">
        <f>+I162+I161</f>
        <v>0</v>
      </c>
      <c r="J163" s="1366">
        <f>SUM(J161:J162)</f>
        <v>34260</v>
      </c>
      <c r="K163" s="1366">
        <f t="shared" ref="K163:N163" si="40">SUM(K161:K162)</f>
        <v>17564.333333333332</v>
      </c>
      <c r="L163" s="1366">
        <f t="shared" si="40"/>
        <v>20769.666666666668</v>
      </c>
      <c r="M163" s="1366">
        <f t="shared" si="40"/>
        <v>7984.666666666667</v>
      </c>
      <c r="N163" s="1366">
        <f t="shared" si="40"/>
        <v>-60578.666666666664</v>
      </c>
      <c r="O163" s="1395">
        <f>SUM(O161:O162)</f>
        <v>80578.666666666672</v>
      </c>
    </row>
    <row r="164" spans="8:15" customFormat="1" ht="12" thickBot="1" x14ac:dyDescent="0.2">
      <c r="H164" s="1361" t="s">
        <v>1810</v>
      </c>
      <c r="I164" s="1381">
        <f ca="1">+'Info Entrada'!H124</f>
        <v>0</v>
      </c>
      <c r="J164" s="1372">
        <f ca="1">+'Info Entrada'!I124</f>
        <v>0</v>
      </c>
      <c r="K164" s="1372">
        <f ca="1">+'Info Entrada'!J124</f>
        <v>0</v>
      </c>
      <c r="L164" s="1372">
        <f ca="1">+'Info Entrada'!K124</f>
        <v>0</v>
      </c>
      <c r="M164" s="1372">
        <f ca="1">+'Info Entrada'!L124</f>
        <v>0</v>
      </c>
      <c r="N164" s="1372">
        <f ca="1">+'Info Entrada'!M124</f>
        <v>0</v>
      </c>
      <c r="O164" s="1397">
        <f>SUM(O162:O163)</f>
        <v>97245.333333333343</v>
      </c>
    </row>
    <row r="165" spans="8:15" customFormat="1" ht="12" thickBot="1" x14ac:dyDescent="0.2">
      <c r="H165" s="1365" t="s">
        <v>1811</v>
      </c>
      <c r="I165" s="1378">
        <f ca="1">+I164+I163</f>
        <v>0</v>
      </c>
      <c r="J165" s="1366">
        <f t="shared" ref="J165:N165" ca="1" si="41">+J164+J163</f>
        <v>34260</v>
      </c>
      <c r="K165" s="1366">
        <f t="shared" ca="1" si="41"/>
        <v>17564.333333333332</v>
      </c>
      <c r="L165" s="1366">
        <f t="shared" ca="1" si="41"/>
        <v>20769.666666666668</v>
      </c>
      <c r="M165" s="1366">
        <f t="shared" ca="1" si="41"/>
        <v>7984.666666666667</v>
      </c>
      <c r="N165" s="1366">
        <f t="shared" ca="1" si="41"/>
        <v>-60578.666666666664</v>
      </c>
      <c r="O165" s="1395">
        <f>+O164+O163</f>
        <v>177824</v>
      </c>
    </row>
    <row r="166" spans="8:15" customFormat="1" ht="12" thickBot="1" x14ac:dyDescent="0.2">
      <c r="H166" s="1361" t="s">
        <v>1809</v>
      </c>
      <c r="I166" s="1381">
        <f ca="1">+'Resumen EEFF'!E51</f>
        <v>0</v>
      </c>
      <c r="J166" s="1372">
        <f ca="1">+'Resumen EEFF'!F51</f>
        <v>0</v>
      </c>
      <c r="K166" s="1372">
        <f ca="1">+'Resumen EEFF'!G51</f>
        <v>0</v>
      </c>
      <c r="L166" s="1372">
        <f ca="1">+'Resumen EEFF'!H51</f>
        <v>0</v>
      </c>
      <c r="M166" s="1372">
        <f ca="1">+'Resumen EEFF'!I51</f>
        <v>0</v>
      </c>
      <c r="N166" s="1372">
        <f ca="1">+'Resumen EEFF'!J51</f>
        <v>0</v>
      </c>
      <c r="O166" s="1397">
        <f ca="1">+'Resumen EEFF'!J51</f>
        <v>0</v>
      </c>
    </row>
    <row r="167" spans="8:15" customFormat="1" ht="12" thickBot="1" x14ac:dyDescent="0.2">
      <c r="H167" s="1365" t="s">
        <v>1807</v>
      </c>
      <c r="I167" s="1373" t="e">
        <f ca="1">+'Resumen EEFF'!E51/(ParametrosPry!I163+'Info Entrada'!H124)</f>
        <v>#DIV/0!</v>
      </c>
      <c r="J167" s="1374">
        <f ca="1">+'Resumen EEFF'!F51/(ParametrosPry!J163+'Info Entrada'!I124)</f>
        <v>0</v>
      </c>
      <c r="K167" s="1374">
        <f ca="1">+'Resumen EEFF'!G51/(ParametrosPry!K163+'Info Entrada'!J124)</f>
        <v>0</v>
      </c>
      <c r="L167" s="1374">
        <f ca="1">+'Resumen EEFF'!H51/(ParametrosPry!L163+'Info Entrada'!K124)</f>
        <v>0</v>
      </c>
      <c r="M167" s="1374">
        <f ca="1">+'Resumen EEFF'!I51/(ParametrosPry!M163+'Info Entrada'!L124)</f>
        <v>0</v>
      </c>
      <c r="N167" s="1374">
        <f ca="1">+'Resumen EEFF'!J51/(ParametrosPry!N163+'Info Entrada'!M124)</f>
        <v>0</v>
      </c>
      <c r="O167" s="1398">
        <f ca="1">+'Resumen EEFF'!J51/(ParametrosPry!O163+'Info Entrada'!M124)</f>
        <v>0</v>
      </c>
    </row>
    <row r="168" spans="8:15" customFormat="1" ht="12" hidden="1" thickBot="1" x14ac:dyDescent="0.2">
      <c r="H168" s="1349" t="s">
        <v>1808</v>
      </c>
      <c r="I168" s="1358" t="e">
        <f ca="1">+'Resumen EEFF'!E60/(ParametrosPry!I163+'Info Entrada'!H124)</f>
        <v>#DIV/0!</v>
      </c>
      <c r="J168" s="1359">
        <f ca="1">+'Resumen EEFF'!F60/(ParametrosPry!J163+'Info Entrada'!I124)</f>
        <v>0</v>
      </c>
      <c r="K168" s="1359">
        <f ca="1">+'Resumen EEFF'!G60/(ParametrosPry!K163+'Info Entrada'!J124)</f>
        <v>0</v>
      </c>
      <c r="L168" s="1359">
        <f ca="1">+'Resumen EEFF'!H60/(ParametrosPry!L163+'Info Entrada'!K124)</f>
        <v>0</v>
      </c>
      <c r="M168" s="1359">
        <f ca="1">+'Resumen EEFF'!I60/(ParametrosPry!M163+'Info Entrada'!L124)</f>
        <v>0</v>
      </c>
      <c r="N168" s="1360">
        <f ca="1">+'Resumen EEFF'!J60/(ParametrosPry!O163+'Info Entrada'!M124)</f>
        <v>0</v>
      </c>
    </row>
    <row r="169" spans="8:15" customFormat="1" x14ac:dyDescent="0.15">
      <c r="H169" s="1235"/>
      <c r="I169" s="1235"/>
    </row>
    <row r="170" spans="8:15" customFormat="1" x14ac:dyDescent="0.15">
      <c r="H170" s="1235"/>
      <c r="I170" s="1235"/>
    </row>
    <row r="171" spans="8:15" customFormat="1" x14ac:dyDescent="0.15">
      <c r="H171" s="1235"/>
      <c r="I171" s="1235"/>
    </row>
    <row r="172" spans="8:15" customFormat="1" x14ac:dyDescent="0.15">
      <c r="H172" s="1235"/>
      <c r="I172" s="1235"/>
    </row>
    <row r="173" spans="8:15" customFormat="1" ht="12" thickBot="1" x14ac:dyDescent="0.2">
      <c r="H173" s="1235"/>
      <c r="I173" s="1235"/>
    </row>
    <row r="174" spans="8:15" customFormat="1" ht="12" thickBot="1" x14ac:dyDescent="0.2">
      <c r="H174" s="1386"/>
      <c r="I174" s="1389">
        <f t="shared" ref="I174:M174" si="42">+I157</f>
        <v>2012</v>
      </c>
      <c r="J174" s="1387">
        <f t="shared" si="42"/>
        <v>2013</v>
      </c>
      <c r="K174" s="1389">
        <f t="shared" si="42"/>
        <v>2014</v>
      </c>
      <c r="L174" s="1387">
        <f t="shared" si="42"/>
        <v>2015</v>
      </c>
      <c r="M174" s="1389">
        <f t="shared" si="42"/>
        <v>2016</v>
      </c>
    </row>
    <row r="175" spans="8:15" customFormat="1" x14ac:dyDescent="0.15">
      <c r="H175" s="1382" t="str">
        <f t="shared" ref="H175:M175" si="43">+H159</f>
        <v>+  Nueva deuda</v>
      </c>
      <c r="I175" s="1390">
        <f t="shared" si="43"/>
        <v>20000</v>
      </c>
      <c r="J175" s="1383">
        <f t="shared" si="43"/>
        <v>0</v>
      </c>
      <c r="K175" s="1390">
        <f t="shared" si="43"/>
        <v>0</v>
      </c>
      <c r="L175" s="1383">
        <f t="shared" si="43"/>
        <v>0</v>
      </c>
      <c r="M175" s="1390">
        <f t="shared" si="43"/>
        <v>0</v>
      </c>
    </row>
    <row r="176" spans="8:15" customFormat="1" x14ac:dyDescent="0.15">
      <c r="H176" s="1384" t="str">
        <f>+H161</f>
        <v>Amortizaciones actuales</v>
      </c>
      <c r="I176" s="1390">
        <f>+I161</f>
        <v>0</v>
      </c>
      <c r="J176" s="1383">
        <f t="shared" ref="J176:M176" si="44">+J161</f>
        <v>34260</v>
      </c>
      <c r="K176" s="1390">
        <f t="shared" si="44"/>
        <v>14231</v>
      </c>
      <c r="L176" s="1383">
        <f t="shared" si="44"/>
        <v>14103</v>
      </c>
      <c r="M176" s="1390">
        <f t="shared" si="44"/>
        <v>1318</v>
      </c>
    </row>
    <row r="177" spans="8:16" customFormat="1" ht="12" thickBot="1" x14ac:dyDescent="0.2">
      <c r="H177" s="1384" t="s">
        <v>1812</v>
      </c>
      <c r="I177" s="1390">
        <f>+I162</f>
        <v>0</v>
      </c>
      <c r="J177" s="1383">
        <f t="shared" ref="J177:M177" si="45">+J162</f>
        <v>0</v>
      </c>
      <c r="K177" s="1390">
        <f t="shared" si="45"/>
        <v>3333.3333333333335</v>
      </c>
      <c r="L177" s="1383">
        <f t="shared" si="45"/>
        <v>6666.666666666667</v>
      </c>
      <c r="M177" s="1390">
        <f t="shared" si="45"/>
        <v>6666.666666666667</v>
      </c>
    </row>
    <row r="178" spans="8:16" customFormat="1" ht="12" thickBot="1" x14ac:dyDescent="0.2">
      <c r="H178" s="1385" t="s">
        <v>1813</v>
      </c>
      <c r="I178" s="1391">
        <f>+I175-I176-I177</f>
        <v>20000</v>
      </c>
      <c r="J178" s="1388">
        <f t="shared" ref="J178:M178" si="46">+J175-J176-J177</f>
        <v>-34260</v>
      </c>
      <c r="K178" s="1391">
        <f t="shared" si="46"/>
        <v>-17564.333333333332</v>
      </c>
      <c r="L178" s="1388">
        <f t="shared" si="46"/>
        <v>-20769.666666666668</v>
      </c>
      <c r="M178" s="1391">
        <f t="shared" si="46"/>
        <v>-7984.666666666667</v>
      </c>
    </row>
    <row r="179" spans="8:16" customFormat="1" x14ac:dyDescent="0.15">
      <c r="H179" s="1343"/>
      <c r="I179" s="1343"/>
      <c r="J179" s="1105"/>
      <c r="K179" s="1105"/>
      <c r="L179" s="1105"/>
      <c r="M179" s="1105"/>
    </row>
    <row r="180" spans="8:16" ht="12" thickBot="1" x14ac:dyDescent="0.2"/>
    <row r="181" spans="8:16" ht="12" thickBot="1" x14ac:dyDescent="0.2">
      <c r="H181" s="1410"/>
      <c r="I181" s="1411">
        <v>2010</v>
      </c>
      <c r="J181" s="1411">
        <v>2011</v>
      </c>
      <c r="K181" s="1411">
        <f t="shared" ref="K181:P181" si="47">+I157</f>
        <v>2012</v>
      </c>
      <c r="L181" s="1411">
        <f t="shared" si="47"/>
        <v>2013</v>
      </c>
      <c r="M181" s="1411">
        <f t="shared" si="47"/>
        <v>2014</v>
      </c>
      <c r="N181" s="1411">
        <f t="shared" si="47"/>
        <v>2015</v>
      </c>
      <c r="O181" s="1411">
        <f t="shared" si="47"/>
        <v>2016</v>
      </c>
      <c r="P181" s="1412">
        <f t="shared" si="47"/>
        <v>2017</v>
      </c>
    </row>
    <row r="182" spans="8:16" x14ac:dyDescent="0.15">
      <c r="H182" s="1402" t="s">
        <v>532</v>
      </c>
      <c r="I182" s="1403">
        <f>-Cuadros!N50-Cuadros!N49</f>
        <v>0</v>
      </c>
      <c r="J182" s="1403">
        <f>-Cuadros!O49</f>
        <v>0</v>
      </c>
      <c r="K182" s="1404">
        <f t="shared" ref="K182:P183" si="48">+I163</f>
        <v>0</v>
      </c>
      <c r="L182" s="1404">
        <f t="shared" si="48"/>
        <v>34260</v>
      </c>
      <c r="M182" s="1404">
        <f t="shared" si="48"/>
        <v>17564.333333333332</v>
      </c>
      <c r="N182" s="1404">
        <f t="shared" si="48"/>
        <v>20769.666666666668</v>
      </c>
      <c r="O182" s="1404">
        <f t="shared" si="48"/>
        <v>7984.666666666667</v>
      </c>
      <c r="P182" s="1405">
        <f t="shared" si="48"/>
        <v>-60578.666666666664</v>
      </c>
    </row>
    <row r="183" spans="8:16" x14ac:dyDescent="0.15">
      <c r="H183" s="1402" t="s">
        <v>1814</v>
      </c>
      <c r="I183" s="1403">
        <f ca="1">+'Info Entrada'!H124</f>
        <v>0</v>
      </c>
      <c r="J183" s="1403">
        <f ca="1">+'Info Entrada'!I124</f>
        <v>0</v>
      </c>
      <c r="K183" s="1404">
        <f t="shared" ca="1" si="48"/>
        <v>0</v>
      </c>
      <c r="L183" s="1404">
        <f t="shared" ca="1" si="48"/>
        <v>0</v>
      </c>
      <c r="M183" s="1404">
        <f t="shared" ca="1" si="48"/>
        <v>0</v>
      </c>
      <c r="N183" s="1404">
        <f t="shared" ca="1" si="48"/>
        <v>0</v>
      </c>
      <c r="O183" s="1404">
        <f t="shared" ca="1" si="48"/>
        <v>0</v>
      </c>
      <c r="P183" s="1405">
        <f t="shared" ca="1" si="48"/>
        <v>0</v>
      </c>
    </row>
    <row r="184" spans="8:16" ht="12" thickBot="1" x14ac:dyDescent="0.2">
      <c r="H184" s="1406" t="s">
        <v>1815</v>
      </c>
      <c r="I184" s="1407">
        <f ca="1">+'Resumen Cuadros'!L30</f>
        <v>0</v>
      </c>
      <c r="J184" s="1407">
        <f ca="1">+'Resumen Cuadros'!M30</f>
        <v>0</v>
      </c>
      <c r="K184" s="1408">
        <f t="shared" ref="K184:P184" ca="1" si="49">+I166</f>
        <v>0</v>
      </c>
      <c r="L184" s="1408">
        <f t="shared" ca="1" si="49"/>
        <v>0</v>
      </c>
      <c r="M184" s="1408">
        <f t="shared" ca="1" si="49"/>
        <v>0</v>
      </c>
      <c r="N184" s="1408">
        <f t="shared" ca="1" si="49"/>
        <v>0</v>
      </c>
      <c r="O184" s="1408">
        <f t="shared" ca="1" si="49"/>
        <v>0</v>
      </c>
      <c r="P184" s="1409">
        <f t="shared" ca="1" si="49"/>
        <v>0</v>
      </c>
    </row>
    <row r="185" spans="8:16" ht="12" thickBot="1" x14ac:dyDescent="0.2">
      <c r="H185" s="1410" t="s">
        <v>549</v>
      </c>
      <c r="I185" s="1413">
        <f>+'Info Entrada'!D113</f>
        <v>0</v>
      </c>
      <c r="J185" s="1413">
        <f>+'Info Entrada'!E113</f>
        <v>0</v>
      </c>
      <c r="K185" s="1414">
        <f>+Cuadros!P29</f>
        <v>0</v>
      </c>
      <c r="L185" s="1414">
        <f>+Cuadros!Q29</f>
        <v>0</v>
      </c>
      <c r="M185" s="1414">
        <f>+Cuadros!R29</f>
        <v>0</v>
      </c>
      <c r="N185" s="1414">
        <f>+Cuadros!S29</f>
        <v>0</v>
      </c>
      <c r="O185" s="1414">
        <f>+Cuadros!T29</f>
        <v>0</v>
      </c>
      <c r="P185" s="1415">
        <f>+Cuadros!U29</f>
        <v>0</v>
      </c>
    </row>
    <row r="211" spans="8:17" x14ac:dyDescent="0.15">
      <c r="I211" s="1400">
        <v>2009</v>
      </c>
      <c r="J211" s="1400">
        <f>+I181</f>
        <v>2010</v>
      </c>
      <c r="K211" s="1400">
        <f t="shared" ref="K211:Q211" si="50">+J181</f>
        <v>2011</v>
      </c>
      <c r="L211" s="1400">
        <f t="shared" si="50"/>
        <v>2012</v>
      </c>
      <c r="M211" s="1400">
        <f t="shared" si="50"/>
        <v>2013</v>
      </c>
      <c r="N211" s="1400">
        <f t="shared" si="50"/>
        <v>2014</v>
      </c>
      <c r="O211" s="1400">
        <f t="shared" si="50"/>
        <v>2015</v>
      </c>
      <c r="P211" s="1400">
        <f t="shared" si="50"/>
        <v>2016</v>
      </c>
      <c r="Q211" s="1400">
        <f t="shared" si="50"/>
        <v>2017</v>
      </c>
    </row>
    <row r="212" spans="8:17" x14ac:dyDescent="0.15">
      <c r="H212" s="1400" t="s">
        <v>1374</v>
      </c>
      <c r="I212" s="1401">
        <f>+'Info Entrada'!C77</f>
        <v>0</v>
      </c>
      <c r="J212" s="1401">
        <f>+'Info Entrada'!D77</f>
        <v>0</v>
      </c>
      <c r="K212" s="1401">
        <f>+'Info Entrada'!E77</f>
        <v>0</v>
      </c>
      <c r="L212" s="1401">
        <f>+'Info Entrada'!H77</f>
        <v>0</v>
      </c>
      <c r="M212" s="1401">
        <f>+'Info Entrada'!I77</f>
        <v>0</v>
      </c>
      <c r="N212" s="1401">
        <f>+'Info Entrada'!J77</f>
        <v>0</v>
      </c>
      <c r="O212" s="1401">
        <f>+'Info Entrada'!K77</f>
        <v>0</v>
      </c>
      <c r="P212" s="1401">
        <f>+'Info Entrada'!L77</f>
        <v>0</v>
      </c>
      <c r="Q212" s="1401">
        <f>+'Info Entrada'!M77</f>
        <v>0</v>
      </c>
    </row>
    <row r="213" spans="8:17" x14ac:dyDescent="0.15">
      <c r="H213" s="1400" t="s">
        <v>549</v>
      </c>
      <c r="I213" s="1401">
        <f>+'Info Entrada'!C113</f>
        <v>0</v>
      </c>
      <c r="J213" s="1401">
        <f>+I185</f>
        <v>0</v>
      </c>
      <c r="K213" s="1401">
        <f t="shared" ref="K213:Q213" si="51">+J185</f>
        <v>0</v>
      </c>
      <c r="L213" s="1401">
        <f t="shared" si="51"/>
        <v>0</v>
      </c>
      <c r="M213" s="1401">
        <f t="shared" si="51"/>
        <v>0</v>
      </c>
      <c r="N213" s="1401">
        <f t="shared" si="51"/>
        <v>0</v>
      </c>
      <c r="O213" s="1401">
        <f t="shared" si="51"/>
        <v>0</v>
      </c>
      <c r="P213" s="1401">
        <f t="shared" si="51"/>
        <v>0</v>
      </c>
      <c r="Q213" s="1401">
        <f t="shared" si="51"/>
        <v>0</v>
      </c>
    </row>
    <row r="214" spans="8:17" x14ac:dyDescent="0.15">
      <c r="H214" s="1400" t="s">
        <v>1717</v>
      </c>
      <c r="I214" s="1416">
        <f>+'Info Entrada'!C114</f>
        <v>0</v>
      </c>
      <c r="J214" s="1416">
        <f>+'Info Entrada'!D114</f>
        <v>0</v>
      </c>
      <c r="K214" s="1416">
        <f>+'Info Entrada'!E114</f>
        <v>0</v>
      </c>
      <c r="L214" s="1416">
        <f>+'Info Entrada'!H114</f>
        <v>0</v>
      </c>
      <c r="M214" s="1416">
        <f>+'Info Entrada'!I114</f>
        <v>0</v>
      </c>
      <c r="N214" s="1416">
        <f>+'Info Entrada'!J114</f>
        <v>0</v>
      </c>
      <c r="O214" s="1416">
        <f>+'Info Entrada'!K114</f>
        <v>0</v>
      </c>
      <c r="P214" s="1416">
        <f>+'Info Entrada'!L114</f>
        <v>0</v>
      </c>
      <c r="Q214" s="1416">
        <f>+'Info Entrada'!M114</f>
        <v>0</v>
      </c>
    </row>
    <row r="238" spans="8:16" x14ac:dyDescent="0.15">
      <c r="I238" s="1400">
        <v>2010</v>
      </c>
      <c r="J238" s="1400">
        <v>2011</v>
      </c>
      <c r="K238" s="1400">
        <f>+L211</f>
        <v>2012</v>
      </c>
      <c r="L238" s="1400">
        <f t="shared" ref="L238:P238" si="52">+M211</f>
        <v>2013</v>
      </c>
      <c r="M238" s="1400">
        <f t="shared" si="52"/>
        <v>2014</v>
      </c>
      <c r="N238" s="1400">
        <f t="shared" si="52"/>
        <v>2015</v>
      </c>
      <c r="O238" s="1400">
        <f t="shared" si="52"/>
        <v>2016</v>
      </c>
      <c r="P238" s="1400">
        <f t="shared" si="52"/>
        <v>2017</v>
      </c>
    </row>
    <row r="239" spans="8:16" x14ac:dyDescent="0.15">
      <c r="H239" s="1400" t="s">
        <v>1746</v>
      </c>
      <c r="I239" s="1417">
        <f>+AR!L18</f>
        <v>0</v>
      </c>
      <c r="J239" s="1417">
        <f>+AR!M18</f>
        <v>0</v>
      </c>
      <c r="K239" s="1418">
        <f ca="1">+'Resumen EEFF'!E113</f>
        <v>0</v>
      </c>
      <c r="L239" s="1418">
        <f ca="1">+'Resumen EEFF'!F113</f>
        <v>0</v>
      </c>
      <c r="M239" s="1418">
        <f ca="1">+'Resumen EEFF'!G113</f>
        <v>0</v>
      </c>
      <c r="N239" s="1418">
        <f ca="1">+'Resumen EEFF'!H113</f>
        <v>0</v>
      </c>
      <c r="O239" s="1418">
        <f ca="1">+'Resumen EEFF'!I113</f>
        <v>0</v>
      </c>
      <c r="P239" s="1418">
        <f ca="1">+'Resumen EEFF'!J113</f>
        <v>0</v>
      </c>
    </row>
    <row r="240" spans="8:16" x14ac:dyDescent="0.15">
      <c r="H240" s="1400" t="s">
        <v>1807</v>
      </c>
      <c r="I240" s="1419" t="e">
        <f ca="1">+I184/(I183+I182)</f>
        <v>#DIV/0!</v>
      </c>
      <c r="J240" s="1419" t="e">
        <f ca="1">+J184/(J183+J182)</f>
        <v>#DIV/0!</v>
      </c>
      <c r="K240" s="1419" t="e">
        <f ca="1">+I167</f>
        <v>#DIV/0!</v>
      </c>
      <c r="L240" s="1419">
        <f t="shared" ref="L240:P240" ca="1" si="53">+J167</f>
        <v>0</v>
      </c>
      <c r="M240" s="1419">
        <f t="shared" ca="1" si="53"/>
        <v>0</v>
      </c>
      <c r="N240" s="1419">
        <f t="shared" ca="1" si="53"/>
        <v>0</v>
      </c>
      <c r="O240" s="1419">
        <f t="shared" ca="1" si="53"/>
        <v>0</v>
      </c>
      <c r="P240" s="1419">
        <f t="shared" ca="1" si="53"/>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7465" r:id="rId4" name="Drop Down 9">
              <controlPr defaultSize="0" autoLine="0" autoPict="0">
                <anchor moveWithCells="1">
                  <from>
                    <xdr:col>1</xdr:col>
                    <xdr:colOff>76200</xdr:colOff>
                    <xdr:row>1</xdr:row>
                    <xdr:rowOff>9525</xdr:rowOff>
                  </from>
                  <to>
                    <xdr:col>2</xdr:col>
                    <xdr:colOff>657225</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FFFF00"/>
  </sheetPr>
  <dimension ref="A1:AA5011"/>
  <sheetViews>
    <sheetView showGridLines="0" topLeftCell="B1" zoomScale="80" zoomScaleNormal="80" workbookViewId="0">
      <pane ySplit="1" topLeftCell="A90" activePane="bottomLeft" state="frozen"/>
      <selection activeCell="B57" sqref="B57"/>
      <selection pane="bottomLeft" activeCell="C232" sqref="C232"/>
    </sheetView>
  </sheetViews>
  <sheetFormatPr baseColWidth="10" defaultColWidth="0" defaultRowHeight="11.25" outlineLevelCol="1" x14ac:dyDescent="0.2"/>
  <cols>
    <col min="1" max="1" width="8.85546875" style="2651" hidden="1" customWidth="1"/>
    <col min="2" max="2" width="40.140625" style="2426" customWidth="1"/>
    <col min="3" max="7" width="14.85546875" style="2715" customWidth="1"/>
    <col min="8" max="13" width="14.85546875" style="2651" customWidth="1"/>
    <col min="14" max="23" width="14.85546875" style="2651" customWidth="1" outlineLevel="1"/>
    <col min="24" max="27" width="0" style="2651" hidden="1" customWidth="1"/>
    <col min="28" max="16384" width="11.42578125" style="2651" hidden="1"/>
  </cols>
  <sheetData>
    <row r="1" spans="1:23" s="2426" customFormat="1" x14ac:dyDescent="0.2">
      <c r="A1" s="2426">
        <v>1</v>
      </c>
      <c r="B1" s="2626" t="s">
        <v>662</v>
      </c>
      <c r="C1" s="2627">
        <v>42735</v>
      </c>
      <c r="D1" s="2627">
        <f>+EOMONTH(C1,12)</f>
        <v>43100</v>
      </c>
      <c r="E1" s="2627">
        <f t="shared" ref="E1" si="0">+EOMONTH(D1,12)</f>
        <v>43465</v>
      </c>
      <c r="F1" s="2627">
        <f>+EOMONTH(D1,6)</f>
        <v>43281</v>
      </c>
      <c r="G1" s="2627">
        <f>+EOMONTH(E1,6)</f>
        <v>43646</v>
      </c>
      <c r="H1" s="2628">
        <f>EOMONTH(E1,12)</f>
        <v>43830</v>
      </c>
      <c r="I1" s="2628">
        <f>EOMONTH(H1,12)</f>
        <v>44196</v>
      </c>
      <c r="J1" s="2628">
        <f t="shared" ref="J1:W1" si="1">EOMONTH(I1,12)</f>
        <v>44561</v>
      </c>
      <c r="K1" s="2628">
        <f t="shared" si="1"/>
        <v>44926</v>
      </c>
      <c r="L1" s="2628">
        <f t="shared" si="1"/>
        <v>45291</v>
      </c>
      <c r="M1" s="2628">
        <f t="shared" si="1"/>
        <v>45657</v>
      </c>
      <c r="N1" s="2628">
        <f t="shared" si="1"/>
        <v>46022</v>
      </c>
      <c r="O1" s="2628">
        <f t="shared" si="1"/>
        <v>46387</v>
      </c>
      <c r="P1" s="2628">
        <f t="shared" si="1"/>
        <v>46752</v>
      </c>
      <c r="Q1" s="2628">
        <f t="shared" si="1"/>
        <v>47118</v>
      </c>
      <c r="R1" s="2628">
        <f t="shared" si="1"/>
        <v>47483</v>
      </c>
      <c r="S1" s="2628">
        <f t="shared" si="1"/>
        <v>47848</v>
      </c>
      <c r="T1" s="2628">
        <f t="shared" si="1"/>
        <v>48213</v>
      </c>
      <c r="U1" s="2628">
        <f t="shared" si="1"/>
        <v>48579</v>
      </c>
      <c r="V1" s="2628">
        <f t="shared" si="1"/>
        <v>48944</v>
      </c>
      <c r="W1" s="2628">
        <f t="shared" si="1"/>
        <v>49309</v>
      </c>
    </row>
    <row r="2" spans="1:23" s="2426" customFormat="1" x14ac:dyDescent="0.2">
      <c r="A2" s="2426">
        <v>2</v>
      </c>
      <c r="B2" s="2629" t="s">
        <v>1033</v>
      </c>
      <c r="C2" s="2630">
        <v>6.4899999999999999E-2</v>
      </c>
      <c r="D2" s="2630">
        <v>5.4899999999999997E-2</v>
      </c>
      <c r="E2" s="2630">
        <v>4.4999999999999998E-2</v>
      </c>
      <c r="F2" s="2630">
        <v>4.4999999999999998E-2</v>
      </c>
      <c r="G2" s="2630">
        <v>4.4999999999999998E-2</v>
      </c>
      <c r="H2" s="2631">
        <f>+IF(ParametrosPry!$B$2=1,ParametrosPry!H7,ParametrosPry!H8)</f>
        <v>5.57E-2</v>
      </c>
      <c r="I2" s="2631">
        <f>+IF(ParametrosPry!$B$2=1,ParametrosPry!J7,ParametrosPry!J8)</f>
        <v>4.53E-2</v>
      </c>
      <c r="J2" s="2631">
        <f>+IF(ParametrosPry!$B$2=1,ParametrosPry!K7,ParametrosPry!K8)</f>
        <v>3.8399999999999997E-2</v>
      </c>
      <c r="K2" s="2631">
        <f>+IF(ParametrosPry!$B$2=1,ParametrosPry!L7,ParametrosPry!L8)</f>
        <v>3.6799999999999999E-2</v>
      </c>
      <c r="L2" s="2631">
        <f>+IF(ParametrosPry!$B$2=1,ParametrosPry!M7,ParametrosPry!M8)</f>
        <v>3.5299999999999998E-2</v>
      </c>
      <c r="M2" s="2631">
        <f>+IF(ParametrosPry!$B$2=1,ParametrosPry!N7,ParametrosPry!N8)</f>
        <v>3.5299999999999998E-2</v>
      </c>
      <c r="N2" s="2631">
        <f>+IF(ParametrosPry!$B$2=1,ParametrosPry!O7,ParametrosPry!O8)</f>
        <v>3.5299999999999998E-2</v>
      </c>
      <c r="O2" s="2631">
        <f>+IF(ParametrosPry!$B$2=1,ParametrosPry!P7,ParametrosPry!P8)</f>
        <v>3.5299999999999998E-2</v>
      </c>
      <c r="P2" s="2631">
        <f>+IF(ParametrosPry!$B$2=1,ParametrosPry!Q7,ParametrosPry!Q8)</f>
        <v>3.5299999999999998E-2</v>
      </c>
      <c r="Q2" s="2631">
        <f>+IF(ParametrosPry!$B$2=1,ParametrosPry!R7,ParametrosPry!R8)</f>
        <v>3.5299999999999998E-2</v>
      </c>
      <c r="R2" s="2631">
        <f>+IF(ParametrosPry!$B$2=1,ParametrosPry!S7,ParametrosPry!S8)</f>
        <v>3.5299999999999998E-2</v>
      </c>
      <c r="S2" s="2631">
        <f>+IF(ParametrosPry!$B$2=1,ParametrosPry!T7,ParametrosPry!T8)</f>
        <v>3.5299999999999998E-2</v>
      </c>
      <c r="T2" s="2631">
        <f>+IF(ParametrosPry!$B$2=1,ParametrosPry!U7,ParametrosPry!U8)</f>
        <v>3.5299999999999998E-2</v>
      </c>
      <c r="U2" s="2631">
        <f>+IF(ParametrosPry!$B$2=1,ParametrosPry!V7,ParametrosPry!V8)</f>
        <v>3.5299999999999998E-2</v>
      </c>
      <c r="V2" s="2631">
        <f>+IF(ParametrosPry!$B$2=1,ParametrosPry!W7,ParametrosPry!W8)</f>
        <v>3.5299999999999998E-2</v>
      </c>
      <c r="W2" s="2631">
        <f>+IF(ParametrosPry!$B$2=1,ParametrosPry!X7,ParametrosPry!X8)</f>
        <v>3.5299999999999998E-2</v>
      </c>
    </row>
    <row r="3" spans="1:23" s="2426" customFormat="1" x14ac:dyDescent="0.2">
      <c r="A3" s="2426">
        <v>3</v>
      </c>
      <c r="B3" s="2629" t="s">
        <v>1034</v>
      </c>
      <c r="C3" s="2630">
        <v>1.9E-2</v>
      </c>
      <c r="D3" s="2630">
        <v>3.3000000000000002E-2</v>
      </c>
      <c r="E3" s="2630">
        <v>0.02</v>
      </c>
      <c r="F3" s="2630">
        <v>0.02</v>
      </c>
      <c r="G3" s="2630">
        <v>0.02</v>
      </c>
      <c r="H3" s="2631">
        <f>+IF(ParametrosPry!$B$2=1,ParametrosPry!H9,ParametrosPry!H10)</f>
        <v>0.03</v>
      </c>
      <c r="I3" s="2631">
        <f>+IF(ParametrosPry!$B$2=1,ParametrosPry!J9,ParametrosPry!J10)</f>
        <v>3.2000000000000001E-2</v>
      </c>
      <c r="J3" s="2631">
        <f>+IF(ParametrosPry!$B$2=1,ParametrosPry!K9,ParametrosPry!K10)</f>
        <v>3.1E-2</v>
      </c>
      <c r="K3" s="2631">
        <f>+IF(ParametrosPry!$B$2=1,ParametrosPry!L9,ParametrosPry!L10)</f>
        <v>2.5600000000000001E-2</v>
      </c>
      <c r="L3" s="2631">
        <f>+IF(ParametrosPry!$B$2=1,ParametrosPry!M9,ParametrosPry!M10)</f>
        <v>2.1999999999999999E-2</v>
      </c>
      <c r="M3" s="2631">
        <f>+IF(ParametrosPry!$B$2=1,ParametrosPry!N9,ParametrosPry!N10)</f>
        <v>2.1999999999999999E-2</v>
      </c>
      <c r="N3" s="2631">
        <f>+IF(ParametrosPry!$B$2=1,ParametrosPry!O9,ParametrosPry!O10)</f>
        <v>2.1999999999999999E-2</v>
      </c>
      <c r="O3" s="2631">
        <f>+IF(ParametrosPry!$B$2=1,ParametrosPry!P9,ParametrosPry!P10)</f>
        <v>2.1999999999999999E-2</v>
      </c>
      <c r="P3" s="2631">
        <f>+IF(ParametrosPry!$B$2=1,ParametrosPry!Q9,ParametrosPry!Q10)</f>
        <v>2.1999999999999999E-2</v>
      </c>
      <c r="Q3" s="2631">
        <f>+IF(ParametrosPry!$B$2=1,ParametrosPry!R9,ParametrosPry!R10)</f>
        <v>2.1999999999999999E-2</v>
      </c>
      <c r="R3" s="2631">
        <f>+IF(ParametrosPry!$B$2=1,ParametrosPry!S9,ParametrosPry!S10)</f>
        <v>2.1999999999999999E-2</v>
      </c>
      <c r="S3" s="2631">
        <f>+IF(ParametrosPry!$B$2=1,ParametrosPry!T9,ParametrosPry!T10)</f>
        <v>2.1999999999999999E-2</v>
      </c>
      <c r="T3" s="2631">
        <f>+IF(ParametrosPry!$B$2=1,ParametrosPry!U9,ParametrosPry!U10)</f>
        <v>2.1999999999999999E-2</v>
      </c>
      <c r="U3" s="2631">
        <f>+IF(ParametrosPry!$B$2=1,ParametrosPry!V9,ParametrosPry!V10)</f>
        <v>2.1999999999999999E-2</v>
      </c>
      <c r="V3" s="2631">
        <f>+IF(ParametrosPry!$B$2=1,ParametrosPry!W9,ParametrosPry!W10)</f>
        <v>2.1999999999999999E-2</v>
      </c>
      <c r="W3" s="2631">
        <f>+IF(ParametrosPry!$B$2=1,ParametrosPry!X9,ParametrosPry!X10)</f>
        <v>2.1999999999999999E-2</v>
      </c>
    </row>
    <row r="4" spans="1:23" s="2426" customFormat="1" x14ac:dyDescent="0.2">
      <c r="A4" s="2426">
        <v>4</v>
      </c>
      <c r="B4" s="2629" t="s">
        <v>1022</v>
      </c>
      <c r="C4" s="2632">
        <v>-3.022211052119006E-2</v>
      </c>
      <c r="D4" s="2632">
        <f>+(D6/C6)-1</f>
        <v>-5.5686820785747493E-3</v>
      </c>
      <c r="E4" s="2632">
        <f>+(E6/D6)-1</f>
        <v>8.9058310991957157E-2</v>
      </c>
      <c r="F4" s="2632">
        <f>+(F6/(AVERAGE(D6:E6)))-1</f>
        <v>-5.9699217966713403E-2</v>
      </c>
      <c r="G4" s="2632">
        <f>+(G6/F6)-1</f>
        <v>9.3786679404940676E-2</v>
      </c>
      <c r="H4" s="2631">
        <f>+IF(ParametrosPry!$B$2=1,ParametrosPry!H11,ParametrosPry!H12)</f>
        <v>0.06</v>
      </c>
      <c r="I4" s="2631">
        <f>+IF(ParametrosPry!$B$2=1,ParametrosPry!J11,ParametrosPry!J12)</f>
        <v>0.06</v>
      </c>
      <c r="J4" s="2631">
        <f>+IF(ParametrosPry!$B$2=1,ParametrosPry!K11,ParametrosPry!K12)</f>
        <v>0.06</v>
      </c>
      <c r="K4" s="2631">
        <f>+IF(ParametrosPry!$B$2=1,ParametrosPry!L11,ParametrosPry!L12)</f>
        <v>0.06</v>
      </c>
      <c r="L4" s="2631">
        <f>+IF(ParametrosPry!$B$2=1,ParametrosPry!M11,ParametrosPry!M12)</f>
        <v>0.06</v>
      </c>
      <c r="M4" s="2631">
        <f>+IF(ParametrosPry!$B$2=1,ParametrosPry!N11,ParametrosPry!N12)</f>
        <v>0.06</v>
      </c>
      <c r="N4" s="2631">
        <f>+IF(ParametrosPry!$B$2=1,ParametrosPry!O11,ParametrosPry!O12)</f>
        <v>0.06</v>
      </c>
      <c r="O4" s="2631">
        <f>+IF(ParametrosPry!$B$2=1,ParametrosPry!P11,ParametrosPry!P12)</f>
        <v>0.06</v>
      </c>
      <c r="P4" s="2631">
        <f>+IF(ParametrosPry!$B$2=1,ParametrosPry!Q11,ParametrosPry!Q12)</f>
        <v>0.06</v>
      </c>
      <c r="Q4" s="2631">
        <f>+IF(ParametrosPry!$B$2=1,ParametrosPry!R11,ParametrosPry!R12)</f>
        <v>0.06</v>
      </c>
      <c r="R4" s="2631">
        <f>+IF(ParametrosPry!$B$2=1,ParametrosPry!S11,ParametrosPry!S12)</f>
        <v>0.06</v>
      </c>
      <c r="S4" s="2631">
        <f>+IF(ParametrosPry!$B$2=1,ParametrosPry!T11,ParametrosPry!T12)</f>
        <v>0.06</v>
      </c>
      <c r="T4" s="2631">
        <f>+IF(ParametrosPry!$B$2=1,ParametrosPry!U11,ParametrosPry!U12)</f>
        <v>0.06</v>
      </c>
      <c r="U4" s="2631">
        <f>+IF(ParametrosPry!$B$2=1,ParametrosPry!V11,ParametrosPry!V12)</f>
        <v>0.06</v>
      </c>
      <c r="V4" s="2631">
        <f>+IF(ParametrosPry!$B$2=1,ParametrosPry!W11,ParametrosPry!W12)</f>
        <v>0.06</v>
      </c>
      <c r="W4" s="2631">
        <f>+IF(ParametrosPry!$B$2=1,ParametrosPry!X11,ParametrosPry!X12)</f>
        <v>0.06</v>
      </c>
    </row>
    <row r="5" spans="1:23" s="2426" customFormat="1" x14ac:dyDescent="0.2">
      <c r="A5" s="2426">
        <v>5</v>
      </c>
      <c r="B5" s="2629" t="s">
        <v>663</v>
      </c>
      <c r="C5" s="2632">
        <f>IF((1+C2)=0,0,(((1+C4)*(1+C3))/(1+C2))-1)</f>
        <v>-7.202209655469316E-2</v>
      </c>
      <c r="D5" s="2632">
        <f>IF((1+D2)=0,0,(((1+D4)*(1+D3))/(1+D2))-1)</f>
        <v>-2.6213336417828859E-2</v>
      </c>
      <c r="E5" s="2632">
        <f>IF((1+E2)=0,0,(((1+E4)*(1+E3))/(1+E2))-1)</f>
        <v>6.3004284413202161E-2</v>
      </c>
      <c r="F5" s="2632">
        <f>IF((1+F2)=0,0,(((1+F4)*(1+F3))/(1+F2))-1)</f>
        <v>-8.2194451986648431E-2</v>
      </c>
      <c r="G5" s="2632">
        <f>IF((1+G2)=0,0,(((1+G4)*(1+G3))/(1+G2))-1)</f>
        <v>6.7619533964631051E-2</v>
      </c>
      <c r="H5" s="2631">
        <f>+IF(ParametrosPry!$B$2=1,ParametrosPry!H13,ParametrosPry!H14)</f>
        <v>4.1000000000000002E-2</v>
      </c>
      <c r="I5" s="2631">
        <f>+IF(ParametrosPry!$B$2=1,ParametrosPry!J13,ParametrosPry!J14)</f>
        <v>0.05</v>
      </c>
      <c r="J5" s="2631">
        <f>+IF(ParametrosPry!$B$2=1,ParametrosPry!K13,ParametrosPry!K14)</f>
        <v>4.4999999999999998E-2</v>
      </c>
      <c r="K5" s="2631">
        <f>+IF(ParametrosPry!$B$2=1,ParametrosPry!L13,ParametrosPry!L14)</f>
        <v>4.4999999999999998E-2</v>
      </c>
      <c r="L5" s="2631">
        <f>+IF(ParametrosPry!$B$2=1,ParametrosPry!M13,ParametrosPry!M14)</f>
        <v>4.4999999999999998E-2</v>
      </c>
      <c r="M5" s="2631">
        <f>+IF(ParametrosPry!$B$2=1,ParametrosPry!N13,ParametrosPry!N14)</f>
        <v>4.4999999999999998E-2</v>
      </c>
      <c r="N5" s="2631">
        <f>+IF(ParametrosPry!$B$2=1,ParametrosPry!O13,ParametrosPry!O14)</f>
        <v>4.4999999999999998E-2</v>
      </c>
      <c r="O5" s="2631">
        <f>+IF(ParametrosPry!$B$2=1,ParametrosPry!P13,ParametrosPry!P14)</f>
        <v>4.4999999999999998E-2</v>
      </c>
      <c r="P5" s="2631">
        <f>+IF(ParametrosPry!$B$2=1,ParametrosPry!Q13,ParametrosPry!Q14)</f>
        <v>4.4999999999999998E-2</v>
      </c>
      <c r="Q5" s="2631">
        <f>+IF(ParametrosPry!$B$2=1,ParametrosPry!R13,ParametrosPry!R14)</f>
        <v>4.4999999999999998E-2</v>
      </c>
      <c r="R5" s="2631">
        <f>+IF(ParametrosPry!$B$2=1,ParametrosPry!S13,ParametrosPry!S14)</f>
        <v>4.4999999999999998E-2</v>
      </c>
      <c r="S5" s="2631">
        <f>+IF(ParametrosPry!$B$2=1,ParametrosPry!T13,ParametrosPry!T14)</f>
        <v>4.4999999999999998E-2</v>
      </c>
      <c r="T5" s="2631">
        <f>+IF(ParametrosPry!$B$2=1,ParametrosPry!U13,ParametrosPry!U14)</f>
        <v>4.4999999999999998E-2</v>
      </c>
      <c r="U5" s="2631">
        <f>+IF(ParametrosPry!$B$2=1,ParametrosPry!V13,ParametrosPry!V14)</f>
        <v>4.4999999999999998E-2</v>
      </c>
      <c r="V5" s="2631">
        <f>+IF(ParametrosPry!$B$2=1,ParametrosPry!W13,ParametrosPry!W14)</f>
        <v>4.4999999999999998E-2</v>
      </c>
      <c r="W5" s="2631">
        <f>+IF(ParametrosPry!$B$2=1,ParametrosPry!X13,ParametrosPry!X14)</f>
        <v>4.4999999999999998E-2</v>
      </c>
    </row>
    <row r="6" spans="1:23" s="2426" customFormat="1" x14ac:dyDescent="0.2">
      <c r="A6" s="2426">
        <v>6</v>
      </c>
      <c r="B6" s="2629" t="s">
        <v>1023</v>
      </c>
      <c r="C6" s="2633">
        <f>+VLOOKUP(C1,General!$C$36:$D$1048576,2)</f>
        <v>3000.71</v>
      </c>
      <c r="D6" s="2633">
        <f>+VLOOKUP(D1,General!$C$36:$D$1048576,2)</f>
        <v>2984</v>
      </c>
      <c r="E6" s="2633">
        <f>+VLOOKUP(E1,General!$C$36:$D$1048576,2)</f>
        <v>3249.75</v>
      </c>
      <c r="F6" s="2633">
        <f>+VLOOKUP(F1,General!$C$36:$D$1048576,2)</f>
        <v>2930.8</v>
      </c>
      <c r="G6" s="2633">
        <f>+VLOOKUP(G1,General!$C$36:$D$1048576,2)</f>
        <v>3205.67</v>
      </c>
      <c r="H6" s="2634">
        <f ca="1">OFFSET(inicio,6-ROW(inicio),H5003)*(1+H4)</f>
        <v>3444.7350000000001</v>
      </c>
      <c r="I6" s="2634">
        <f ca="1">H6*(1+I4)</f>
        <v>3651.4191000000005</v>
      </c>
      <c r="J6" s="2634">
        <f t="shared" ref="J6:W6" ca="1" si="2">I6*(1+J4)</f>
        <v>3870.5042460000009</v>
      </c>
      <c r="K6" s="2634">
        <f t="shared" ca="1" si="2"/>
        <v>4102.7345007600015</v>
      </c>
      <c r="L6" s="2634">
        <f t="shared" ca="1" si="2"/>
        <v>4348.8985708056016</v>
      </c>
      <c r="M6" s="2634">
        <f t="shared" ca="1" si="2"/>
        <v>4609.8324850539375</v>
      </c>
      <c r="N6" s="2634">
        <f t="shared" ca="1" si="2"/>
        <v>4886.4224341571744</v>
      </c>
      <c r="O6" s="2634">
        <f t="shared" ca="1" si="2"/>
        <v>5179.6077802066047</v>
      </c>
      <c r="P6" s="2634">
        <f t="shared" ca="1" si="2"/>
        <v>5490.3842470190011</v>
      </c>
      <c r="Q6" s="2634">
        <f t="shared" ca="1" si="2"/>
        <v>5819.8073018401419</v>
      </c>
      <c r="R6" s="2634">
        <f t="shared" ca="1" si="2"/>
        <v>6168.9957399505511</v>
      </c>
      <c r="S6" s="2634">
        <f t="shared" ca="1" si="2"/>
        <v>6539.1354843475847</v>
      </c>
      <c r="T6" s="2634">
        <f t="shared" ca="1" si="2"/>
        <v>6931.4836134084399</v>
      </c>
      <c r="U6" s="2634">
        <f t="shared" ca="1" si="2"/>
        <v>7347.3726302129462</v>
      </c>
      <c r="V6" s="2634">
        <f t="shared" ca="1" si="2"/>
        <v>7788.214988025723</v>
      </c>
      <c r="W6" s="2634">
        <f t="shared" ca="1" si="2"/>
        <v>8255.5078873072671</v>
      </c>
    </row>
    <row r="7" spans="1:23" s="2426" customFormat="1" x14ac:dyDescent="0.2">
      <c r="A7" s="2426">
        <v>7</v>
      </c>
      <c r="B7" s="2629" t="s">
        <v>1024</v>
      </c>
      <c r="C7" s="2633">
        <f>+C6</f>
        <v>3000.71</v>
      </c>
      <c r="D7" s="2633">
        <f>+AVERAGE(C6:D6)</f>
        <v>2992.355</v>
      </c>
      <c r="E7" s="2633">
        <f>+AVERAGE(D6:E6)</f>
        <v>3116.875</v>
      </c>
      <c r="F7" s="2633">
        <f>+AVERAGE(D6,F6)</f>
        <v>2957.4</v>
      </c>
      <c r="G7" s="2633">
        <f>+AVERAGE(E6,G6)</f>
        <v>3227.71</v>
      </c>
      <c r="H7" s="2634">
        <f ca="1">(OFFSET(inicio,6-ROW(inicio),H5003)+H6)/2</f>
        <v>3347.2425000000003</v>
      </c>
      <c r="I7" s="2634">
        <f ca="1">(H6+I6)/2</f>
        <v>3548.0770500000003</v>
      </c>
      <c r="J7" s="2634">
        <f t="shared" ref="J7:W7" ca="1" si="3">(I6+J6)/2</f>
        <v>3760.9616730000007</v>
      </c>
      <c r="K7" s="2634">
        <f t="shared" ca="1" si="3"/>
        <v>3986.619373380001</v>
      </c>
      <c r="L7" s="2634">
        <f t="shared" ca="1" si="3"/>
        <v>4225.816535782802</v>
      </c>
      <c r="M7" s="2634">
        <f t="shared" ca="1" si="3"/>
        <v>4479.3655279297691</v>
      </c>
      <c r="N7" s="2634">
        <f t="shared" ca="1" si="3"/>
        <v>4748.1274596055555</v>
      </c>
      <c r="O7" s="2634">
        <f t="shared" ca="1" si="3"/>
        <v>5033.0151071818891</v>
      </c>
      <c r="P7" s="2634">
        <f t="shared" ca="1" si="3"/>
        <v>5334.9960136128029</v>
      </c>
      <c r="Q7" s="2634">
        <f t="shared" ca="1" si="3"/>
        <v>5655.095774429572</v>
      </c>
      <c r="R7" s="2634">
        <f t="shared" ca="1" si="3"/>
        <v>5994.401520895346</v>
      </c>
      <c r="S7" s="2634">
        <f t="shared" ca="1" si="3"/>
        <v>6354.0656121490683</v>
      </c>
      <c r="T7" s="2634">
        <f t="shared" ca="1" si="3"/>
        <v>6735.3095488780127</v>
      </c>
      <c r="U7" s="2634">
        <f t="shared" ca="1" si="3"/>
        <v>7139.4281218106935</v>
      </c>
      <c r="V7" s="2634">
        <f t="shared" ca="1" si="3"/>
        <v>7567.7938091193346</v>
      </c>
      <c r="W7" s="2634">
        <f t="shared" ca="1" si="3"/>
        <v>8021.8614376664955</v>
      </c>
    </row>
    <row r="8" spans="1:23" s="2426" customFormat="1" x14ac:dyDescent="0.2">
      <c r="A8" s="2426">
        <v>8</v>
      </c>
      <c r="B8" s="2629" t="s">
        <v>1021</v>
      </c>
      <c r="C8" s="2630">
        <v>4.1200000000000001E-2</v>
      </c>
      <c r="D8" s="2630">
        <v>4.1000000000000002E-2</v>
      </c>
      <c r="E8" s="2630">
        <v>5.7500000000000002E-2</v>
      </c>
      <c r="F8" s="2630">
        <v>0.05</v>
      </c>
      <c r="G8" s="2630">
        <v>0.05</v>
      </c>
      <c r="H8" s="2631">
        <f>+IF(ParametrosPry!$B$2=1,ParametrosPry!H13,ParametrosPry!H14)</f>
        <v>4.1000000000000002E-2</v>
      </c>
      <c r="I8" s="2631">
        <f>+IF(ParametrosPry!$B$2=1,ParametrosPry!J13,ParametrosPry!J14)</f>
        <v>0.05</v>
      </c>
      <c r="J8" s="2631">
        <f>+IF(ParametrosPry!$B$2=1,ParametrosPry!K13,ParametrosPry!K14)</f>
        <v>4.4999999999999998E-2</v>
      </c>
      <c r="K8" s="2631">
        <f>+IF(ParametrosPry!$B$2=1,ParametrosPry!L13,ParametrosPry!L14)</f>
        <v>4.4999999999999998E-2</v>
      </c>
      <c r="L8" s="2631">
        <f>+IF(ParametrosPry!$B$2=1,ParametrosPry!M13,ParametrosPry!M14)</f>
        <v>4.4999999999999998E-2</v>
      </c>
      <c r="M8" s="2631">
        <f>+IF(ParametrosPry!$B$2=1,ParametrosPry!N13,ParametrosPry!N14)</f>
        <v>4.4999999999999998E-2</v>
      </c>
      <c r="N8" s="2631">
        <f>+IF(ParametrosPry!$B$2=1,ParametrosPry!O13,ParametrosPry!O14)</f>
        <v>4.4999999999999998E-2</v>
      </c>
      <c r="O8" s="2631">
        <f>+IF(ParametrosPry!$B$2=1,ParametrosPry!P13,ParametrosPry!P14)</f>
        <v>4.4999999999999998E-2</v>
      </c>
      <c r="P8" s="2631">
        <f>+IF(ParametrosPry!$B$2=1,ParametrosPry!Q13,ParametrosPry!Q14)</f>
        <v>4.4999999999999998E-2</v>
      </c>
      <c r="Q8" s="2631">
        <f>+IF(ParametrosPry!$B$2=1,ParametrosPry!R13,ParametrosPry!R14)</f>
        <v>4.4999999999999998E-2</v>
      </c>
      <c r="R8" s="2631">
        <f>+IF(ParametrosPry!$B$2=1,ParametrosPry!S13,ParametrosPry!S14)</f>
        <v>4.4999999999999998E-2</v>
      </c>
      <c r="S8" s="2631">
        <f>+IF(ParametrosPry!$B$2=1,ParametrosPry!T13,ParametrosPry!T14)</f>
        <v>4.4999999999999998E-2</v>
      </c>
      <c r="T8" s="2631">
        <f>+IF(ParametrosPry!$B$2=1,ParametrosPry!U13,ParametrosPry!U14)</f>
        <v>4.4999999999999998E-2</v>
      </c>
      <c r="U8" s="2631">
        <f>+IF(ParametrosPry!$B$2=1,ParametrosPry!V13,ParametrosPry!V14)</f>
        <v>4.4999999999999998E-2</v>
      </c>
      <c r="V8" s="2631">
        <f>+IF(ParametrosPry!$B$2=1,ParametrosPry!W13,ParametrosPry!W14)</f>
        <v>4.4999999999999998E-2</v>
      </c>
      <c r="W8" s="2631">
        <f>+IF(ParametrosPry!$B$2=1,ParametrosPry!X13,ParametrosPry!X14)</f>
        <v>4.4999999999999998E-2</v>
      </c>
    </row>
    <row r="9" spans="1:23" s="2426" customFormat="1" x14ac:dyDescent="0.2">
      <c r="A9" s="2426">
        <v>9</v>
      </c>
      <c r="B9" s="2629" t="s">
        <v>1861</v>
      </c>
      <c r="C9" s="2635">
        <v>6.7100000000000007E-2</v>
      </c>
      <c r="D9" s="2635">
        <v>6.0100000000000001E-2</v>
      </c>
      <c r="E9" s="2635">
        <v>4.7199999999999999E-2</v>
      </c>
      <c r="F9" s="2630">
        <f>IF((1+F2)=0,0,((1+F10)/(1+F2))-1)</f>
        <v>1.9138755980861344E-2</v>
      </c>
      <c r="G9" s="2630">
        <f>IF((1+G2)=0,0,((1+G10)/(1+G2))-1)</f>
        <v>1.9138755980861344E-2</v>
      </c>
      <c r="H9" s="2631">
        <f t="shared" ref="H9:I9" si="4">IF((1+H2)=0,0,((1+H10)/(1+H2))-1)</f>
        <v>8.809320829781031E-3</v>
      </c>
      <c r="I9" s="2631">
        <f t="shared" si="4"/>
        <v>1.8846264230364618E-2</v>
      </c>
      <c r="J9" s="2631">
        <f>+IF(ParametrosPry!$B$2=1,ParametrosPry!K15,ParametrosPry!K16)</f>
        <v>4.0792500000000002E-2</v>
      </c>
      <c r="K9" s="2631">
        <f>+IF(ParametrosPry!$B$2=1,ParametrosPry!L15,ParametrosPry!L16)</f>
        <v>4.2832125000000006E-2</v>
      </c>
      <c r="L9" s="2631">
        <f>+IF(ParametrosPry!$B$2=1,ParametrosPry!M15,ParametrosPry!M16)</f>
        <v>4.497373125000001E-2</v>
      </c>
      <c r="M9" s="2631">
        <f>+IF(ParametrosPry!$B$2=1,ParametrosPry!N15,ParametrosPry!N16)</f>
        <v>4.7222417812500014E-2</v>
      </c>
      <c r="N9" s="2631">
        <f>+IF(ParametrosPry!$B$2=1,ParametrosPry!O15,ParametrosPry!O16)</f>
        <v>4.958353870312502E-2</v>
      </c>
      <c r="O9" s="2631">
        <f>+IF(ParametrosPry!$B$2=1,ParametrosPry!P15,ParametrosPry!P16)</f>
        <v>5.2062715638281271E-2</v>
      </c>
      <c r="P9" s="2631">
        <f>+IF(ParametrosPry!$B$2=1,ParametrosPry!Q15,ParametrosPry!Q16)</f>
        <v>5.4665851420195338E-2</v>
      </c>
      <c r="Q9" s="2631">
        <f>+IF(ParametrosPry!$B$2=1,ParametrosPry!R15,ParametrosPry!R16)</f>
        <v>5.7399143991205111E-2</v>
      </c>
      <c r="R9" s="2631">
        <f>+IF(ParametrosPry!$B$2=1,ParametrosPry!S15,ParametrosPry!S16)</f>
        <v>6.0269101190765367E-2</v>
      </c>
      <c r="S9" s="2631">
        <f>+IF(ParametrosPry!$B$2=1,ParametrosPry!T15,ParametrosPry!T16)</f>
        <v>6.3282556250303643E-2</v>
      </c>
      <c r="T9" s="2631">
        <f>+IF(ParametrosPry!$B$2=1,ParametrosPry!U15,ParametrosPry!U16)</f>
        <v>6.6446684062818825E-2</v>
      </c>
      <c r="U9" s="2631">
        <f>+IF(ParametrosPry!$B$2=1,ParametrosPry!V15,ParametrosPry!V16)</f>
        <v>6.976901826595977E-2</v>
      </c>
      <c r="V9" s="2631">
        <f>+IF(ParametrosPry!$B$2=1,ParametrosPry!W15,ParametrosPry!W16)</f>
        <v>7.3257469179257767E-2</v>
      </c>
      <c r="W9" s="2631">
        <f>+IF(ParametrosPry!$B$2=1,ParametrosPry!X15,ParametrosPry!X16)</f>
        <v>7.692034263822066E-2</v>
      </c>
    </row>
    <row r="10" spans="1:23" s="2426" customFormat="1" x14ac:dyDescent="0.2">
      <c r="A10" s="2426">
        <v>10</v>
      </c>
      <c r="B10" s="2629" t="s">
        <v>1862</v>
      </c>
      <c r="C10" s="2635">
        <v>6.8599999999999994E-2</v>
      </c>
      <c r="D10" s="2635">
        <v>5.21E-2</v>
      </c>
      <c r="E10" s="2635">
        <v>4.5400000000000003E-2</v>
      </c>
      <c r="F10" s="2630">
        <v>6.5000000000000002E-2</v>
      </c>
      <c r="G10" s="2630">
        <v>6.5000000000000002E-2</v>
      </c>
      <c r="H10" s="2631">
        <v>6.5000000000000002E-2</v>
      </c>
      <c r="I10" s="2631">
        <v>6.5000000000000002E-2</v>
      </c>
      <c r="J10" s="2631">
        <f t="shared" ref="J10:W10" si="5">((1+J9)*(1+J2))-1</f>
        <v>8.075893199999995E-2</v>
      </c>
      <c r="K10" s="2631">
        <f t="shared" si="5"/>
        <v>8.1208347200000031E-2</v>
      </c>
      <c r="L10" s="2631">
        <f t="shared" si="5"/>
        <v>8.1861303963124854E-2</v>
      </c>
      <c r="M10" s="2631">
        <f t="shared" si="5"/>
        <v>8.4189369161281169E-2</v>
      </c>
      <c r="N10" s="2631">
        <f t="shared" si="5"/>
        <v>8.6633837619345178E-2</v>
      </c>
      <c r="O10" s="2631">
        <f t="shared" si="5"/>
        <v>8.9200529500312653E-2</v>
      </c>
      <c r="P10" s="2631">
        <f t="shared" si="5"/>
        <v>9.189555597532828E-2</v>
      </c>
      <c r="Q10" s="2631">
        <f t="shared" si="5"/>
        <v>9.4725333774094533E-2</v>
      </c>
      <c r="R10" s="2631">
        <f t="shared" si="5"/>
        <v>9.7696600462799266E-2</v>
      </c>
      <c r="S10" s="2631">
        <f t="shared" si="5"/>
        <v>0.10081643048593936</v>
      </c>
      <c r="T10" s="2631">
        <f t="shared" si="5"/>
        <v>0.10409225201023631</v>
      </c>
      <c r="U10" s="2631">
        <f t="shared" si="5"/>
        <v>0.10753186461074815</v>
      </c>
      <c r="V10" s="2631">
        <f t="shared" si="5"/>
        <v>0.11114345784128554</v>
      </c>
      <c r="W10" s="2631">
        <f t="shared" si="5"/>
        <v>0.11493563073334956</v>
      </c>
    </row>
    <row r="11" spans="1:23" s="2426" customFormat="1" x14ac:dyDescent="0.2">
      <c r="A11" s="2426">
        <v>11</v>
      </c>
      <c r="B11" s="2629" t="s">
        <v>665</v>
      </c>
      <c r="C11" s="2630">
        <v>1.0999999999999999E-2</v>
      </c>
      <c r="D11" s="2630">
        <v>2.8000000000000001E-2</v>
      </c>
      <c r="E11" s="2630">
        <v>4.4999999999999998E-2</v>
      </c>
      <c r="F11" s="2630">
        <v>5.4699999999999999E-2</v>
      </c>
      <c r="G11" s="2630">
        <v>5.4699999999999999E-2</v>
      </c>
      <c r="H11" s="2631">
        <v>0.01</v>
      </c>
      <c r="I11" s="2631">
        <v>0.01</v>
      </c>
      <c r="J11" s="2631">
        <v>0.01</v>
      </c>
      <c r="K11" s="2631">
        <v>0.01</v>
      </c>
      <c r="L11" s="2631">
        <v>0.01</v>
      </c>
      <c r="M11" s="2631">
        <v>0.01</v>
      </c>
      <c r="N11" s="2631">
        <v>0.01</v>
      </c>
      <c r="O11" s="2631">
        <v>0.01</v>
      </c>
      <c r="P11" s="2631">
        <v>0.01</v>
      </c>
      <c r="Q11" s="2631">
        <v>0.01</v>
      </c>
      <c r="R11" s="2631">
        <v>0.01</v>
      </c>
      <c r="S11" s="2631">
        <v>0.01</v>
      </c>
      <c r="T11" s="2631">
        <v>0.01</v>
      </c>
      <c r="U11" s="2631">
        <v>0.01</v>
      </c>
      <c r="V11" s="2631">
        <v>0.01</v>
      </c>
      <c r="W11" s="2631">
        <v>0.01</v>
      </c>
    </row>
    <row r="12" spans="1:23" s="2426" customFormat="1" x14ac:dyDescent="0.2">
      <c r="A12" s="2426">
        <v>12</v>
      </c>
      <c r="B12" s="2407"/>
      <c r="C12" s="2636"/>
      <c r="D12" s="2636"/>
      <c r="E12" s="2636"/>
      <c r="F12" s="2636"/>
      <c r="G12" s="2636"/>
    </row>
    <row r="13" spans="1:23" s="2426" customFormat="1" x14ac:dyDescent="0.2">
      <c r="A13" s="2426">
        <v>13</v>
      </c>
      <c r="B13" s="2637" t="s">
        <v>1046</v>
      </c>
      <c r="C13" s="2636"/>
      <c r="D13" s="2636"/>
      <c r="E13" s="2636"/>
      <c r="F13" s="2636"/>
      <c r="G13" s="2636"/>
      <c r="H13" s="2667">
        <v>0</v>
      </c>
      <c r="I13" s="2667">
        <v>0</v>
      </c>
      <c r="J13" s="2667">
        <v>0</v>
      </c>
      <c r="K13" s="2667">
        <v>0</v>
      </c>
      <c r="L13" s="2667">
        <v>0</v>
      </c>
      <c r="M13" s="2667">
        <v>0</v>
      </c>
      <c r="N13" s="2667">
        <v>0</v>
      </c>
      <c r="O13" s="2667">
        <v>0</v>
      </c>
      <c r="P13" s="2667">
        <v>0</v>
      </c>
      <c r="Q13" s="2667">
        <v>0</v>
      </c>
      <c r="R13" s="2667">
        <v>0</v>
      </c>
      <c r="S13" s="2667">
        <v>0</v>
      </c>
      <c r="T13" s="2667">
        <v>0</v>
      </c>
      <c r="U13" s="2667">
        <v>0</v>
      </c>
      <c r="V13" s="2667">
        <v>0</v>
      </c>
      <c r="W13" s="2667">
        <v>0</v>
      </c>
    </row>
    <row r="14" spans="1:23" s="2426" customFormat="1" x14ac:dyDescent="0.2">
      <c r="A14" s="2426">
        <v>14</v>
      </c>
      <c r="B14" s="2637" t="s">
        <v>666</v>
      </c>
      <c r="C14" s="2636"/>
      <c r="D14" s="2638"/>
      <c r="E14" s="2638"/>
      <c r="F14" s="2638"/>
      <c r="G14" s="2638"/>
      <c r="H14" s="2631">
        <f>IFERROR((1+H9)*(1+H13)-1,0)</f>
        <v>8.809320829781031E-3</v>
      </c>
      <c r="I14" s="2631">
        <f t="shared" ref="I14:W14" si="6">IFERROR((1+I9)*(1+I13)-1,0)</f>
        <v>1.8846264230364618E-2</v>
      </c>
      <c r="J14" s="2631">
        <f t="shared" si="6"/>
        <v>4.0792500000000009E-2</v>
      </c>
      <c r="K14" s="2631">
        <f t="shared" si="6"/>
        <v>4.283212500000011E-2</v>
      </c>
      <c r="L14" s="2631">
        <f t="shared" si="6"/>
        <v>4.4973731250000037E-2</v>
      </c>
      <c r="M14" s="2631">
        <f t="shared" si="6"/>
        <v>4.7222417812500028E-2</v>
      </c>
      <c r="N14" s="2631">
        <f t="shared" si="6"/>
        <v>4.958353870312493E-2</v>
      </c>
      <c r="O14" s="2631">
        <f t="shared" si="6"/>
        <v>5.2062715638281354E-2</v>
      </c>
      <c r="P14" s="2631">
        <f t="shared" si="6"/>
        <v>5.4665851420195422E-2</v>
      </c>
      <c r="Q14" s="2631">
        <f t="shared" si="6"/>
        <v>5.7399143991205159E-2</v>
      </c>
      <c r="R14" s="2631">
        <f t="shared" si="6"/>
        <v>6.0269101190765451E-2</v>
      </c>
      <c r="S14" s="2631">
        <f t="shared" si="6"/>
        <v>6.3282556250303656E-2</v>
      </c>
      <c r="T14" s="2631">
        <f t="shared" si="6"/>
        <v>6.6446684062818839E-2</v>
      </c>
      <c r="U14" s="2631">
        <f t="shared" si="6"/>
        <v>6.9769018265959826E-2</v>
      </c>
      <c r="V14" s="2631">
        <f t="shared" si="6"/>
        <v>7.3257469179257795E-2</v>
      </c>
      <c r="W14" s="2631">
        <f t="shared" si="6"/>
        <v>7.6920342638220562E-2</v>
      </c>
    </row>
    <row r="15" spans="1:23" s="2426" customFormat="1" x14ac:dyDescent="0.2">
      <c r="A15" s="2426">
        <v>15</v>
      </c>
      <c r="B15" s="2407"/>
      <c r="C15" s="2636"/>
      <c r="D15" s="2636"/>
      <c r="E15" s="2636"/>
      <c r="F15" s="2636"/>
      <c r="G15" s="2636"/>
    </row>
    <row r="16" spans="1:23" s="2426" customFormat="1" x14ac:dyDescent="0.2">
      <c r="A16" s="2426">
        <v>16</v>
      </c>
      <c r="B16" s="2637" t="s">
        <v>1047</v>
      </c>
      <c r="C16" s="2639"/>
      <c r="D16" s="2639"/>
      <c r="E16" s="2639"/>
      <c r="F16" s="2639"/>
      <c r="G16" s="2639"/>
      <c r="H16" s="2667">
        <v>0</v>
      </c>
      <c r="I16" s="2667">
        <v>0</v>
      </c>
      <c r="J16" s="2667">
        <v>0</v>
      </c>
      <c r="K16" s="2667">
        <v>0</v>
      </c>
      <c r="L16" s="2667">
        <v>0</v>
      </c>
      <c r="M16" s="2667">
        <v>0</v>
      </c>
      <c r="N16" s="2667">
        <v>0</v>
      </c>
      <c r="O16" s="2667">
        <v>0</v>
      </c>
      <c r="P16" s="2667">
        <v>0</v>
      </c>
      <c r="Q16" s="2667">
        <v>0</v>
      </c>
      <c r="R16" s="2667">
        <v>0</v>
      </c>
      <c r="S16" s="2667">
        <v>0</v>
      </c>
      <c r="T16" s="2667">
        <v>0</v>
      </c>
      <c r="U16" s="2667">
        <v>0</v>
      </c>
      <c r="V16" s="2667">
        <v>0</v>
      </c>
      <c r="W16" s="2667">
        <v>0</v>
      </c>
    </row>
    <row r="17" spans="1:23" s="2426" customFormat="1" x14ac:dyDescent="0.2">
      <c r="A17" s="2426">
        <v>17</v>
      </c>
      <c r="B17" s="2637" t="s">
        <v>667</v>
      </c>
      <c r="C17" s="2639"/>
      <c r="D17" s="2639"/>
      <c r="E17" s="2639"/>
      <c r="F17" s="2639"/>
      <c r="G17" s="2639"/>
      <c r="H17" s="2631">
        <f>IFERROR((1+H9)*(1+H16)-1,0)</f>
        <v>8.809320829781031E-3</v>
      </c>
      <c r="I17" s="2631">
        <f t="shared" ref="I17:W17" si="7">IFERROR((1+I9)*(1+I16)-1,0)</f>
        <v>1.8846264230364618E-2</v>
      </c>
      <c r="J17" s="2631">
        <f t="shared" si="7"/>
        <v>4.0792500000000009E-2</v>
      </c>
      <c r="K17" s="2631">
        <f t="shared" si="7"/>
        <v>4.283212500000011E-2</v>
      </c>
      <c r="L17" s="2631">
        <f t="shared" si="7"/>
        <v>4.4973731250000037E-2</v>
      </c>
      <c r="M17" s="2631">
        <f t="shared" si="7"/>
        <v>4.7222417812500028E-2</v>
      </c>
      <c r="N17" s="2631">
        <f t="shared" si="7"/>
        <v>4.958353870312493E-2</v>
      </c>
      <c r="O17" s="2631">
        <f t="shared" si="7"/>
        <v>5.2062715638281354E-2</v>
      </c>
      <c r="P17" s="2631">
        <f t="shared" si="7"/>
        <v>5.4665851420195422E-2</v>
      </c>
      <c r="Q17" s="2631">
        <f t="shared" si="7"/>
        <v>5.7399143991205159E-2</v>
      </c>
      <c r="R17" s="2631">
        <f t="shared" si="7"/>
        <v>6.0269101190765451E-2</v>
      </c>
      <c r="S17" s="2631">
        <f t="shared" si="7"/>
        <v>6.3282556250303656E-2</v>
      </c>
      <c r="T17" s="2631">
        <f t="shared" si="7"/>
        <v>6.6446684062818839E-2</v>
      </c>
      <c r="U17" s="2631">
        <f t="shared" si="7"/>
        <v>6.9769018265959826E-2</v>
      </c>
      <c r="V17" s="2631">
        <f t="shared" si="7"/>
        <v>7.3257469179257795E-2</v>
      </c>
      <c r="W17" s="2631">
        <f t="shared" si="7"/>
        <v>7.6920342638220562E-2</v>
      </c>
    </row>
    <row r="18" spans="1:23" s="2426" customFormat="1" x14ac:dyDescent="0.2">
      <c r="A18" s="2426">
        <v>18</v>
      </c>
      <c r="B18" s="2640"/>
      <c r="C18" s="2639"/>
      <c r="D18" s="2639"/>
      <c r="E18" s="2639"/>
      <c r="F18" s="2639"/>
      <c r="G18" s="2639"/>
    </row>
    <row r="19" spans="1:23" s="2426" customFormat="1" x14ac:dyDescent="0.2">
      <c r="A19" s="2426">
        <v>19</v>
      </c>
      <c r="B19" s="2637" t="s">
        <v>1048</v>
      </c>
      <c r="C19" s="2639"/>
      <c r="D19" s="2639"/>
      <c r="E19" s="2639"/>
      <c r="F19" s="2639"/>
      <c r="G19" s="2639"/>
      <c r="H19" s="2667">
        <v>0</v>
      </c>
      <c r="I19" s="2667">
        <v>0</v>
      </c>
      <c r="J19" s="2667">
        <v>0</v>
      </c>
      <c r="K19" s="2667">
        <v>0</v>
      </c>
      <c r="L19" s="2667">
        <v>0</v>
      </c>
      <c r="M19" s="2667">
        <v>0</v>
      </c>
      <c r="N19" s="2667">
        <v>0</v>
      </c>
      <c r="O19" s="2667">
        <v>0</v>
      </c>
      <c r="P19" s="2667">
        <v>0</v>
      </c>
      <c r="Q19" s="2667">
        <v>0</v>
      </c>
      <c r="R19" s="2667">
        <v>0</v>
      </c>
      <c r="S19" s="2667">
        <v>0</v>
      </c>
      <c r="T19" s="2667">
        <v>0</v>
      </c>
      <c r="U19" s="2667">
        <v>0</v>
      </c>
      <c r="V19" s="2667">
        <v>0</v>
      </c>
      <c r="W19" s="2667">
        <v>0</v>
      </c>
    </row>
    <row r="20" spans="1:23" s="2426" customFormat="1" x14ac:dyDescent="0.2">
      <c r="A20" s="2426">
        <v>20</v>
      </c>
      <c r="B20" s="2637" t="s">
        <v>668</v>
      </c>
      <c r="C20" s="2639"/>
      <c r="D20" s="2639"/>
      <c r="E20" s="2639"/>
      <c r="F20" s="2639"/>
      <c r="G20" s="2639"/>
      <c r="H20" s="2631">
        <f>IFERROR((1+H9)*(1+H19)-1,0)</f>
        <v>8.809320829781031E-3</v>
      </c>
      <c r="I20" s="2631">
        <f t="shared" ref="I20:W20" si="8">IFERROR((1+I9)*(1+I19)-1,0)</f>
        <v>1.8846264230364618E-2</v>
      </c>
      <c r="J20" s="2631">
        <f t="shared" si="8"/>
        <v>4.0792500000000009E-2</v>
      </c>
      <c r="K20" s="2631">
        <f t="shared" si="8"/>
        <v>4.283212500000011E-2</v>
      </c>
      <c r="L20" s="2631">
        <f t="shared" si="8"/>
        <v>4.4973731250000037E-2</v>
      </c>
      <c r="M20" s="2631">
        <f t="shared" si="8"/>
        <v>4.7222417812500028E-2</v>
      </c>
      <c r="N20" s="2631">
        <f t="shared" si="8"/>
        <v>4.958353870312493E-2</v>
      </c>
      <c r="O20" s="2631">
        <f t="shared" si="8"/>
        <v>5.2062715638281354E-2</v>
      </c>
      <c r="P20" s="2631">
        <f t="shared" si="8"/>
        <v>5.4665851420195422E-2</v>
      </c>
      <c r="Q20" s="2631">
        <f t="shared" si="8"/>
        <v>5.7399143991205159E-2</v>
      </c>
      <c r="R20" s="2631">
        <f t="shared" si="8"/>
        <v>6.0269101190765451E-2</v>
      </c>
      <c r="S20" s="2631">
        <f t="shared" si="8"/>
        <v>6.3282556250303656E-2</v>
      </c>
      <c r="T20" s="2631">
        <f t="shared" si="8"/>
        <v>6.6446684062818839E-2</v>
      </c>
      <c r="U20" s="2631">
        <f t="shared" si="8"/>
        <v>6.9769018265959826E-2</v>
      </c>
      <c r="V20" s="2631">
        <f t="shared" si="8"/>
        <v>7.3257469179257795E-2</v>
      </c>
      <c r="W20" s="2631">
        <f t="shared" si="8"/>
        <v>7.6920342638220562E-2</v>
      </c>
    </row>
    <row r="21" spans="1:23" s="2426" customFormat="1" x14ac:dyDescent="0.2">
      <c r="A21" s="2426">
        <v>21</v>
      </c>
      <c r="B21" s="2640"/>
      <c r="C21" s="2639"/>
      <c r="D21" s="2639"/>
      <c r="E21" s="2639"/>
      <c r="F21" s="2639"/>
      <c r="G21" s="2639"/>
    </row>
    <row r="22" spans="1:23" s="2426" customFormat="1" x14ac:dyDescent="0.2">
      <c r="A22" s="2426">
        <v>22</v>
      </c>
      <c r="B22" s="2637" t="s">
        <v>1049</v>
      </c>
      <c r="C22" s="2639"/>
      <c r="D22" s="2639"/>
      <c r="E22" s="2639"/>
      <c r="F22" s="2639"/>
      <c r="G22" s="2639"/>
      <c r="H22" s="2667">
        <v>0</v>
      </c>
      <c r="I22" s="2667">
        <v>0</v>
      </c>
      <c r="J22" s="2667">
        <v>0</v>
      </c>
      <c r="K22" s="2667">
        <v>0</v>
      </c>
      <c r="L22" s="2667">
        <v>0</v>
      </c>
      <c r="M22" s="2667">
        <v>0</v>
      </c>
      <c r="N22" s="2667">
        <v>0</v>
      </c>
      <c r="O22" s="2667">
        <v>0</v>
      </c>
      <c r="P22" s="2667">
        <v>0</v>
      </c>
      <c r="Q22" s="2667">
        <v>0</v>
      </c>
      <c r="R22" s="2667">
        <v>0</v>
      </c>
      <c r="S22" s="2667">
        <v>0</v>
      </c>
      <c r="T22" s="2667">
        <v>0</v>
      </c>
      <c r="U22" s="2667">
        <v>0</v>
      </c>
      <c r="V22" s="2667">
        <v>0</v>
      </c>
      <c r="W22" s="2667">
        <v>0</v>
      </c>
    </row>
    <row r="23" spans="1:23" s="2426" customFormat="1" x14ac:dyDescent="0.2">
      <c r="A23" s="2426">
        <v>23</v>
      </c>
      <c r="B23" s="2637" t="s">
        <v>669</v>
      </c>
      <c r="C23" s="2636"/>
      <c r="D23" s="2636"/>
      <c r="E23" s="2636"/>
      <c r="F23" s="2636"/>
      <c r="G23" s="2636"/>
      <c r="H23" s="2631">
        <f>IFERROR((1+H9)*(1+H22)-1,0)</f>
        <v>8.809320829781031E-3</v>
      </c>
      <c r="I23" s="2631">
        <f t="shared" ref="I23:W23" si="9">IFERROR((1+I9)*(1+I22)-1,0)</f>
        <v>1.8846264230364618E-2</v>
      </c>
      <c r="J23" s="2631">
        <f t="shared" si="9"/>
        <v>4.0792500000000009E-2</v>
      </c>
      <c r="K23" s="2631">
        <f t="shared" si="9"/>
        <v>4.283212500000011E-2</v>
      </c>
      <c r="L23" s="2631">
        <f t="shared" si="9"/>
        <v>4.4973731250000037E-2</v>
      </c>
      <c r="M23" s="2631">
        <f t="shared" si="9"/>
        <v>4.7222417812500028E-2</v>
      </c>
      <c r="N23" s="2631">
        <f t="shared" si="9"/>
        <v>4.958353870312493E-2</v>
      </c>
      <c r="O23" s="2631">
        <f t="shared" si="9"/>
        <v>5.2062715638281354E-2</v>
      </c>
      <c r="P23" s="2631">
        <f t="shared" si="9"/>
        <v>5.4665851420195422E-2</v>
      </c>
      <c r="Q23" s="2631">
        <f t="shared" si="9"/>
        <v>5.7399143991205159E-2</v>
      </c>
      <c r="R23" s="2631">
        <f t="shared" si="9"/>
        <v>6.0269101190765451E-2</v>
      </c>
      <c r="S23" s="2631">
        <f t="shared" si="9"/>
        <v>6.3282556250303656E-2</v>
      </c>
      <c r="T23" s="2631">
        <f t="shared" si="9"/>
        <v>6.6446684062818839E-2</v>
      </c>
      <c r="U23" s="2631">
        <f t="shared" si="9"/>
        <v>6.9769018265959826E-2</v>
      </c>
      <c r="V23" s="2631">
        <f t="shared" si="9"/>
        <v>7.3257469179257795E-2</v>
      </c>
      <c r="W23" s="2631">
        <f t="shared" si="9"/>
        <v>7.6920342638220562E-2</v>
      </c>
    </row>
    <row r="24" spans="1:23" s="2641" customFormat="1" x14ac:dyDescent="0.2">
      <c r="A24" s="2426">
        <v>24</v>
      </c>
      <c r="B24" s="2640"/>
      <c r="C24" s="2636"/>
      <c r="D24" s="2636"/>
      <c r="E24" s="2636"/>
      <c r="F24" s="2636"/>
      <c r="G24" s="2636"/>
      <c r="H24" s="2636"/>
      <c r="I24" s="2636"/>
      <c r="J24" s="2636"/>
      <c r="K24" s="2636"/>
      <c r="L24" s="2636"/>
      <c r="M24" s="2636"/>
      <c r="N24" s="2636"/>
      <c r="O24" s="2636"/>
      <c r="P24" s="2636"/>
      <c r="Q24" s="2636"/>
      <c r="R24" s="2636"/>
      <c r="S24" s="2636"/>
      <c r="T24" s="2636"/>
      <c r="U24" s="2636"/>
      <c r="V24" s="2636"/>
      <c r="W24" s="2636"/>
    </row>
    <row r="25" spans="1:23" s="2641" customFormat="1" x14ac:dyDescent="0.2">
      <c r="A25" s="2426">
        <v>25</v>
      </c>
      <c r="B25" s="2637" t="s">
        <v>1050</v>
      </c>
      <c r="C25" s="2639"/>
      <c r="D25" s="2639"/>
      <c r="E25" s="2639"/>
      <c r="F25" s="2639"/>
      <c r="G25" s="2639"/>
      <c r="H25" s="2667">
        <v>0</v>
      </c>
      <c r="I25" s="2667">
        <v>0</v>
      </c>
      <c r="J25" s="2667">
        <v>0</v>
      </c>
      <c r="K25" s="2667">
        <v>0</v>
      </c>
      <c r="L25" s="2667">
        <v>0</v>
      </c>
      <c r="M25" s="2667">
        <v>0</v>
      </c>
      <c r="N25" s="2667">
        <v>0</v>
      </c>
      <c r="O25" s="2667">
        <v>0</v>
      </c>
      <c r="P25" s="2667">
        <v>0</v>
      </c>
      <c r="Q25" s="2667">
        <v>0</v>
      </c>
      <c r="R25" s="2667">
        <v>0</v>
      </c>
      <c r="S25" s="2667">
        <v>0</v>
      </c>
      <c r="T25" s="2667">
        <v>0</v>
      </c>
      <c r="U25" s="2667">
        <v>0</v>
      </c>
      <c r="V25" s="2667">
        <v>0</v>
      </c>
      <c r="W25" s="2667">
        <v>0</v>
      </c>
    </row>
    <row r="26" spans="1:23" s="2641" customFormat="1" x14ac:dyDescent="0.2">
      <c r="A26" s="2426">
        <v>26</v>
      </c>
      <c r="B26" s="2637" t="s">
        <v>670</v>
      </c>
      <c r="C26" s="2636"/>
      <c r="D26" s="2636"/>
      <c r="E26" s="2636"/>
      <c r="F26" s="2636"/>
      <c r="G26" s="2636"/>
      <c r="H26" s="2631">
        <f>IFERROR((1+H11)*(1+H25)-1,0)</f>
        <v>1.0000000000000009E-2</v>
      </c>
      <c r="I26" s="2631">
        <f t="shared" ref="I26:W26" si="10">IFERROR((1+I11)*(1+I25)-1,0)</f>
        <v>1.0000000000000009E-2</v>
      </c>
      <c r="J26" s="2631">
        <f t="shared" si="10"/>
        <v>1.0000000000000009E-2</v>
      </c>
      <c r="K26" s="2631">
        <f t="shared" si="10"/>
        <v>1.0000000000000009E-2</v>
      </c>
      <c r="L26" s="2631">
        <f t="shared" si="10"/>
        <v>1.0000000000000009E-2</v>
      </c>
      <c r="M26" s="2631">
        <f t="shared" si="10"/>
        <v>1.0000000000000009E-2</v>
      </c>
      <c r="N26" s="2631">
        <f t="shared" si="10"/>
        <v>1.0000000000000009E-2</v>
      </c>
      <c r="O26" s="2631">
        <f t="shared" si="10"/>
        <v>1.0000000000000009E-2</v>
      </c>
      <c r="P26" s="2631">
        <f t="shared" si="10"/>
        <v>1.0000000000000009E-2</v>
      </c>
      <c r="Q26" s="2631">
        <f t="shared" si="10"/>
        <v>1.0000000000000009E-2</v>
      </c>
      <c r="R26" s="2631">
        <f t="shared" si="10"/>
        <v>1.0000000000000009E-2</v>
      </c>
      <c r="S26" s="2631">
        <f t="shared" si="10"/>
        <v>1.0000000000000009E-2</v>
      </c>
      <c r="T26" s="2631">
        <f t="shared" si="10"/>
        <v>1.0000000000000009E-2</v>
      </c>
      <c r="U26" s="2631">
        <f t="shared" si="10"/>
        <v>1.0000000000000009E-2</v>
      </c>
      <c r="V26" s="2631">
        <f t="shared" si="10"/>
        <v>1.0000000000000009E-2</v>
      </c>
      <c r="W26" s="2631">
        <f t="shared" si="10"/>
        <v>1.0000000000000009E-2</v>
      </c>
    </row>
    <row r="27" spans="1:23" s="2641" customFormat="1" hidden="1" x14ac:dyDescent="0.2">
      <c r="A27" s="2426">
        <v>27</v>
      </c>
      <c r="B27" s="2640"/>
      <c r="C27" s="2636"/>
      <c r="D27" s="2636"/>
      <c r="E27" s="2636"/>
      <c r="F27" s="2636"/>
      <c r="G27" s="2636"/>
      <c r="H27" s="2636"/>
      <c r="I27" s="2636"/>
      <c r="J27" s="2636"/>
      <c r="K27" s="2636"/>
      <c r="L27" s="2636"/>
      <c r="M27" s="2636"/>
      <c r="N27" s="2636"/>
      <c r="O27" s="2636"/>
      <c r="P27" s="2636"/>
      <c r="Q27" s="2636"/>
      <c r="R27" s="2636"/>
      <c r="S27" s="2636"/>
      <c r="T27" s="2636"/>
      <c r="U27" s="2636"/>
      <c r="V27" s="2636"/>
      <c r="W27" s="2636"/>
    </row>
    <row r="28" spans="1:23" s="2641" customFormat="1" x14ac:dyDescent="0.2">
      <c r="A28" s="2426">
        <v>28</v>
      </c>
      <c r="B28" s="2640"/>
      <c r="C28" s="2636"/>
      <c r="D28" s="2636"/>
      <c r="E28" s="2636"/>
      <c r="F28" s="2636"/>
      <c r="G28" s="2636"/>
      <c r="H28" s="2636"/>
      <c r="I28" s="2636"/>
      <c r="J28" s="2636"/>
      <c r="K28" s="2636"/>
      <c r="L28" s="2636"/>
      <c r="M28" s="2636"/>
      <c r="N28" s="2636"/>
      <c r="O28" s="2636"/>
      <c r="P28" s="2636"/>
      <c r="Q28" s="2636"/>
      <c r="R28" s="2636"/>
      <c r="S28" s="2636"/>
      <c r="T28" s="2636"/>
      <c r="U28" s="2636"/>
      <c r="V28" s="2636"/>
      <c r="W28" s="2636"/>
    </row>
    <row r="29" spans="1:23" s="2641" customFormat="1" x14ac:dyDescent="0.2">
      <c r="A29" s="2426">
        <v>29</v>
      </c>
      <c r="B29" s="2626" t="s">
        <v>52</v>
      </c>
      <c r="C29" s="2642">
        <f>IF(OR(MONTH(C1)=0,C77=0),0,(C174*360)/((C77/MONTH(C1))*12))</f>
        <v>0</v>
      </c>
      <c r="D29" s="2642">
        <f>IF(OR(MONTH(D1)=0,D77=0),0,(D174*360)/((D77/MONTH(D1))*12))</f>
        <v>0</v>
      </c>
      <c r="E29" s="2642">
        <f>IF(OR(MONTH(E1)=0,E77=0),0,(E174*360)/((E77/MONTH(E1))*12))</f>
        <v>0</v>
      </c>
      <c r="F29" s="2642">
        <f>IF(OR(MONTH(F1)=0,F77=0),0,(F174*360)/((F77/MONTH(F1))*12))</f>
        <v>0</v>
      </c>
      <c r="G29" s="2642">
        <f>IF(OR(MONTH(G1)=0,G77=0),0,(G174*360)/((G77/MONTH(G1))*12))</f>
        <v>0</v>
      </c>
      <c r="H29" s="2643">
        <f>AVERAGE(C29:G29)</f>
        <v>0</v>
      </c>
      <c r="I29" s="2643">
        <f>H29</f>
        <v>0</v>
      </c>
      <c r="J29" s="2643">
        <f t="shared" ref="J29:W30" si="11">I29</f>
        <v>0</v>
      </c>
      <c r="K29" s="2643">
        <f t="shared" si="11"/>
        <v>0</v>
      </c>
      <c r="L29" s="2643">
        <f t="shared" si="11"/>
        <v>0</v>
      </c>
      <c r="M29" s="2643">
        <f t="shared" si="11"/>
        <v>0</v>
      </c>
      <c r="N29" s="2643">
        <f t="shared" si="11"/>
        <v>0</v>
      </c>
      <c r="O29" s="2643">
        <f t="shared" si="11"/>
        <v>0</v>
      </c>
      <c r="P29" s="2643">
        <f t="shared" si="11"/>
        <v>0</v>
      </c>
      <c r="Q29" s="2643">
        <f t="shared" si="11"/>
        <v>0</v>
      </c>
      <c r="R29" s="2643">
        <f t="shared" si="11"/>
        <v>0</v>
      </c>
      <c r="S29" s="2643">
        <f t="shared" si="11"/>
        <v>0</v>
      </c>
      <c r="T29" s="2643">
        <f t="shared" si="11"/>
        <v>0</v>
      </c>
      <c r="U29" s="2643">
        <f t="shared" si="11"/>
        <v>0</v>
      </c>
      <c r="V29" s="2643">
        <f t="shared" si="11"/>
        <v>0</v>
      </c>
      <c r="W29" s="2643">
        <f t="shared" si="11"/>
        <v>0</v>
      </c>
    </row>
    <row r="30" spans="1:23" s="2641" customFormat="1" x14ac:dyDescent="0.2">
      <c r="A30" s="2426">
        <v>30</v>
      </c>
      <c r="B30" s="2626" t="s">
        <v>78</v>
      </c>
      <c r="C30" s="2644">
        <f>IF(C163=0,0,C164/C163)</f>
        <v>0</v>
      </c>
      <c r="D30" s="2644">
        <f>IF(D163=0,0,D164/D163)</f>
        <v>0</v>
      </c>
      <c r="E30" s="2644">
        <f>IF(E163=0,0,E164/E163)</f>
        <v>0</v>
      </c>
      <c r="F30" s="2644">
        <f>IF(F163=0,0,F164/F163)</f>
        <v>0</v>
      </c>
      <c r="G30" s="2644">
        <f>IF(G163=0,0,G164/G163)</f>
        <v>0</v>
      </c>
      <c r="H30" s="2643">
        <f>AVERAGE(C30:G30)</f>
        <v>0</v>
      </c>
      <c r="I30" s="2643">
        <f>H30</f>
        <v>0</v>
      </c>
      <c r="J30" s="2643">
        <f t="shared" si="11"/>
        <v>0</v>
      </c>
      <c r="K30" s="2643">
        <f t="shared" si="11"/>
        <v>0</v>
      </c>
      <c r="L30" s="2643">
        <f t="shared" si="11"/>
        <v>0</v>
      </c>
      <c r="M30" s="2643">
        <f t="shared" si="11"/>
        <v>0</v>
      </c>
      <c r="N30" s="2643">
        <f t="shared" si="11"/>
        <v>0</v>
      </c>
      <c r="O30" s="2643">
        <f t="shared" si="11"/>
        <v>0</v>
      </c>
      <c r="P30" s="2643">
        <f t="shared" si="11"/>
        <v>0</v>
      </c>
      <c r="Q30" s="2643">
        <f t="shared" si="11"/>
        <v>0</v>
      </c>
      <c r="R30" s="2643">
        <f t="shared" si="11"/>
        <v>0</v>
      </c>
      <c r="S30" s="2643">
        <f t="shared" si="11"/>
        <v>0</v>
      </c>
      <c r="T30" s="2643">
        <f t="shared" si="11"/>
        <v>0</v>
      </c>
      <c r="U30" s="2643">
        <f t="shared" si="11"/>
        <v>0</v>
      </c>
      <c r="V30" s="2643">
        <f t="shared" si="11"/>
        <v>0</v>
      </c>
      <c r="W30" s="2643">
        <f t="shared" si="11"/>
        <v>0</v>
      </c>
    </row>
    <row r="31" spans="1:23" s="2641" customFormat="1" hidden="1" x14ac:dyDescent="0.2">
      <c r="A31" s="2426">
        <v>31</v>
      </c>
      <c r="B31" s="2641" t="s">
        <v>79</v>
      </c>
      <c r="C31" s="2645"/>
      <c r="D31" s="2645"/>
      <c r="E31" s="2645"/>
      <c r="F31" s="2645"/>
      <c r="G31" s="2645"/>
      <c r="H31" s="2631">
        <f>+IF(ParametrosPry!$B$2=1,ParametrosPry!H33,ParametrosPry!H34)</f>
        <v>0.06</v>
      </c>
      <c r="I31" s="2631">
        <f>+IF(ParametrosPry!$B$2=1,ParametrosPry!J33,ParametrosPry!J34)</f>
        <v>0.06</v>
      </c>
      <c r="J31" s="2631">
        <f>+IF(ParametrosPry!$B$2=1,ParametrosPry!K33,ParametrosPry!K34)</f>
        <v>0.06</v>
      </c>
      <c r="K31" s="2631">
        <f>+IF(ParametrosPry!$B$2=1,ParametrosPry!L33,ParametrosPry!L34)</f>
        <v>0.06</v>
      </c>
      <c r="L31" s="2631">
        <f>+IF(ParametrosPry!$B$2=1,ParametrosPry!M33,ParametrosPry!M34)</f>
        <v>0.06</v>
      </c>
      <c r="M31" s="2631">
        <f>+IF(ParametrosPry!$B$2=1,ParametrosPry!N33,ParametrosPry!N34)</f>
        <v>0.06</v>
      </c>
      <c r="N31" s="2631">
        <f>+IF(ParametrosPry!$B$2=1,ParametrosPry!O33,ParametrosPry!O34)</f>
        <v>0.06</v>
      </c>
      <c r="O31" s="2631">
        <f>+IF(ParametrosPry!$B$2=1,ParametrosPry!P33,ParametrosPry!P34)</f>
        <v>0.06</v>
      </c>
      <c r="P31" s="2631">
        <f>+IF(ParametrosPry!$B$2=1,ParametrosPry!Q33,ParametrosPry!Q34)</f>
        <v>0.06</v>
      </c>
      <c r="Q31" s="2631">
        <f>+IF(ParametrosPry!$B$2=1,ParametrosPry!R33,ParametrosPry!R34)</f>
        <v>0.06</v>
      </c>
      <c r="R31" s="2631">
        <f>+IF(ParametrosPry!$B$2=1,ParametrosPry!S33,ParametrosPry!S34)</f>
        <v>0.06</v>
      </c>
      <c r="S31" s="2631">
        <f>+IF(ParametrosPry!$B$2=1,ParametrosPry!T33,ParametrosPry!T34)</f>
        <v>0.06</v>
      </c>
      <c r="T31" s="2631">
        <f>+IF(ParametrosPry!$B$2=1,ParametrosPry!U33,ParametrosPry!U34)</f>
        <v>0.06</v>
      </c>
      <c r="U31" s="2631">
        <f>+IF(ParametrosPry!$B$2=1,ParametrosPry!V33,ParametrosPry!V34)</f>
        <v>0.06</v>
      </c>
      <c r="V31" s="2631">
        <f>+IF(ParametrosPry!$B$2=1,ParametrosPry!W33,ParametrosPry!W34)</f>
        <v>0.06</v>
      </c>
      <c r="W31" s="2631">
        <f>+IF(ParametrosPry!$B$2=1,ParametrosPry!X33,ParametrosPry!X34)</f>
        <v>0.06</v>
      </c>
    </row>
    <row r="32" spans="1:23" s="2641" customFormat="1" hidden="1" x14ac:dyDescent="0.2">
      <c r="A32" s="2426">
        <v>32</v>
      </c>
      <c r="B32" s="2641" t="s">
        <v>93</v>
      </c>
      <c r="C32" s="2645"/>
      <c r="D32" s="2645"/>
      <c r="E32" s="2645"/>
      <c r="F32" s="2645"/>
      <c r="G32" s="2645"/>
      <c r="H32" s="2643">
        <f>+IF(ParametrosPry!$B$2=1,ParametrosPry!H35,ParametrosPry!H36)</f>
        <v>0</v>
      </c>
      <c r="I32" s="2643">
        <f>+IF(ParametrosPry!$B$2=1,ParametrosPry!J35,ParametrosPry!J36)</f>
        <v>0</v>
      </c>
      <c r="J32" s="2643">
        <f>+IF(ParametrosPry!$B$2=1,ParametrosPry!K35,ParametrosPry!K36)</f>
        <v>0</v>
      </c>
      <c r="K32" s="2643">
        <f>+IF(ParametrosPry!$B$2=1,ParametrosPry!L35,ParametrosPry!L36)</f>
        <v>0</v>
      </c>
      <c r="L32" s="2643">
        <f>+IF(ParametrosPry!$B$2=1,ParametrosPry!M35,ParametrosPry!M36)</f>
        <v>0</v>
      </c>
      <c r="M32" s="2643">
        <f>+IF(ParametrosPry!$B$2=1,ParametrosPry!N35,ParametrosPry!N36)</f>
        <v>0</v>
      </c>
      <c r="N32" s="2643">
        <f>+IF(ParametrosPry!$B$2=1,ParametrosPry!O35,ParametrosPry!O36)</f>
        <v>0</v>
      </c>
      <c r="O32" s="2643">
        <f>+IF(ParametrosPry!$B$2=1,ParametrosPry!P35,ParametrosPry!P36)</f>
        <v>0</v>
      </c>
      <c r="P32" s="2643">
        <f>+IF(ParametrosPry!$B$2=1,ParametrosPry!Q35,ParametrosPry!Q36)</f>
        <v>0</v>
      </c>
      <c r="Q32" s="2643">
        <f>+IF(ParametrosPry!$B$2=1,ParametrosPry!R35,ParametrosPry!R36)</f>
        <v>0</v>
      </c>
      <c r="R32" s="2643">
        <f>+IF(ParametrosPry!$B$2=1,ParametrosPry!S35,ParametrosPry!S36)</f>
        <v>0</v>
      </c>
      <c r="S32" s="2643">
        <f>+IF(ParametrosPry!$B$2=1,ParametrosPry!T35,ParametrosPry!T36)</f>
        <v>0</v>
      </c>
      <c r="T32" s="2643">
        <f>+IF(ParametrosPry!$B$2=1,ParametrosPry!U35,ParametrosPry!U36)</f>
        <v>0</v>
      </c>
      <c r="U32" s="2643">
        <f>+IF(ParametrosPry!$B$2=1,ParametrosPry!V35,ParametrosPry!V36)</f>
        <v>0</v>
      </c>
      <c r="V32" s="2643">
        <f>+IF(ParametrosPry!$B$2=1,ParametrosPry!W35,ParametrosPry!W36)</f>
        <v>0</v>
      </c>
      <c r="W32" s="2643">
        <f>+IF(ParametrosPry!$B$2=1,ParametrosPry!X35,ParametrosPry!X36)</f>
        <v>0</v>
      </c>
    </row>
    <row r="33" spans="1:23" s="2641" customFormat="1" hidden="1" x14ac:dyDescent="0.2">
      <c r="A33" s="2426">
        <v>33</v>
      </c>
      <c r="B33" s="2646" t="s">
        <v>1536</v>
      </c>
      <c r="C33" s="2647">
        <v>0</v>
      </c>
      <c r="D33" s="2647">
        <v>0</v>
      </c>
      <c r="E33" s="2647">
        <v>0</v>
      </c>
      <c r="F33" s="2647">
        <v>0</v>
      </c>
      <c r="G33" s="2647">
        <v>0</v>
      </c>
      <c r="H33" s="2647">
        <v>0</v>
      </c>
      <c r="I33" s="2647">
        <v>0</v>
      </c>
      <c r="J33" s="2647">
        <v>0</v>
      </c>
      <c r="K33" s="2647">
        <v>0</v>
      </c>
      <c r="L33" s="2647">
        <v>0</v>
      </c>
      <c r="M33" s="2647">
        <v>0</v>
      </c>
      <c r="N33" s="2636"/>
      <c r="O33" s="2636"/>
      <c r="P33" s="2636"/>
      <c r="Q33" s="2636"/>
      <c r="R33" s="2636"/>
      <c r="S33" s="2636"/>
      <c r="T33" s="2636"/>
      <c r="U33" s="2636"/>
      <c r="V33" s="2636"/>
      <c r="W33" s="2636"/>
    </row>
    <row r="34" spans="1:23" s="2641" customFormat="1" x14ac:dyDescent="0.2">
      <c r="A34" s="2426">
        <v>34</v>
      </c>
      <c r="B34" s="2640"/>
      <c r="C34" s="2636"/>
      <c r="D34" s="2636"/>
      <c r="E34" s="2636"/>
      <c r="F34" s="2636"/>
      <c r="G34" s="2636"/>
      <c r="H34" s="2636"/>
      <c r="I34" s="2636"/>
      <c r="J34" s="2636"/>
      <c r="K34" s="2636"/>
      <c r="L34" s="2636"/>
      <c r="M34" s="2636"/>
      <c r="N34" s="2636"/>
      <c r="O34" s="2636"/>
      <c r="P34" s="2636"/>
      <c r="Q34" s="2636"/>
      <c r="R34" s="2636"/>
      <c r="S34" s="2636"/>
      <c r="T34" s="2636"/>
      <c r="U34" s="2636"/>
      <c r="V34" s="2636"/>
      <c r="W34" s="2636"/>
    </row>
    <row r="35" spans="1:23" x14ac:dyDescent="0.2">
      <c r="A35" s="2426">
        <v>35</v>
      </c>
      <c r="B35" s="2648" t="s">
        <v>82</v>
      </c>
      <c r="C35" s="2649"/>
      <c r="D35" s="2649"/>
      <c r="E35" s="2649"/>
      <c r="F35" s="2649"/>
      <c r="G35" s="2649"/>
      <c r="H35" s="2650"/>
      <c r="I35" s="2650"/>
      <c r="J35" s="2650"/>
      <c r="K35" s="2650"/>
      <c r="L35" s="2650"/>
      <c r="M35" s="2650"/>
      <c r="N35" s="2650"/>
      <c r="O35" s="2650"/>
      <c r="P35" s="2650"/>
      <c r="Q35" s="2650"/>
      <c r="R35" s="2650"/>
      <c r="S35" s="2650"/>
      <c r="T35" s="2650"/>
      <c r="U35" s="2650"/>
      <c r="V35" s="2650"/>
      <c r="W35" s="2650"/>
    </row>
    <row r="36" spans="1:23" s="2641" customFormat="1" x14ac:dyDescent="0.2">
      <c r="A36" s="2426">
        <v>36</v>
      </c>
      <c r="B36" s="2652"/>
      <c r="C36" s="2653"/>
      <c r="D36" s="2653"/>
      <c r="E36" s="2653"/>
      <c r="F36" s="2653"/>
      <c r="G36" s="2653"/>
      <c r="H36" s="2653"/>
      <c r="I36" s="2653"/>
      <c r="J36" s="2653"/>
      <c r="K36" s="2653"/>
      <c r="L36" s="2653"/>
      <c r="M36" s="2653"/>
      <c r="N36" s="2653"/>
      <c r="O36" s="2653"/>
      <c r="P36" s="2653"/>
      <c r="Q36" s="2653"/>
      <c r="R36" s="2653"/>
      <c r="S36" s="2653"/>
      <c r="T36" s="2653"/>
      <c r="U36" s="2653"/>
      <c r="V36" s="2653"/>
      <c r="W36" s="2653"/>
    </row>
    <row r="37" spans="1:23" s="2641" customFormat="1" x14ac:dyDescent="0.2">
      <c r="A37" s="2426">
        <v>37</v>
      </c>
      <c r="B37" s="2654" t="s">
        <v>86</v>
      </c>
    </row>
    <row r="38" spans="1:23" s="2641" customFormat="1" x14ac:dyDescent="0.2">
      <c r="A38" s="2426">
        <v>38</v>
      </c>
      <c r="B38" s="2641" t="s">
        <v>1051</v>
      </c>
      <c r="C38" s="2655"/>
      <c r="D38" s="2655"/>
      <c r="E38" s="2655"/>
      <c r="F38" s="2655"/>
      <c r="G38" s="2655"/>
      <c r="H38" s="2656">
        <f ca="1">OFFSET(inicio,41-ROW(inicio),H5003)</f>
        <v>0</v>
      </c>
      <c r="I38" s="2656">
        <f ca="1">H41</f>
        <v>0</v>
      </c>
      <c r="J38" s="2656">
        <f t="shared" ref="J38:W38" ca="1" si="12">I41</f>
        <v>0</v>
      </c>
      <c r="K38" s="2656">
        <f t="shared" ca="1" si="12"/>
        <v>0</v>
      </c>
      <c r="L38" s="2656">
        <f t="shared" ca="1" si="12"/>
        <v>0</v>
      </c>
      <c r="M38" s="2656">
        <f t="shared" ca="1" si="12"/>
        <v>0</v>
      </c>
      <c r="N38" s="2656">
        <f t="shared" ca="1" si="12"/>
        <v>0</v>
      </c>
      <c r="O38" s="2656">
        <f t="shared" ca="1" si="12"/>
        <v>0</v>
      </c>
      <c r="P38" s="2656">
        <f t="shared" ca="1" si="12"/>
        <v>0</v>
      </c>
      <c r="Q38" s="2656">
        <f t="shared" ca="1" si="12"/>
        <v>0</v>
      </c>
      <c r="R38" s="2656">
        <f t="shared" ca="1" si="12"/>
        <v>0</v>
      </c>
      <c r="S38" s="2656">
        <f t="shared" ca="1" si="12"/>
        <v>0</v>
      </c>
      <c r="T38" s="2656">
        <f t="shared" ca="1" si="12"/>
        <v>0</v>
      </c>
      <c r="U38" s="2656">
        <f t="shared" ca="1" si="12"/>
        <v>0</v>
      </c>
      <c r="V38" s="2656">
        <f t="shared" ca="1" si="12"/>
        <v>0</v>
      </c>
      <c r="W38" s="2656">
        <f t="shared" ca="1" si="12"/>
        <v>0</v>
      </c>
    </row>
    <row r="39" spans="1:23" s="2641" customFormat="1" x14ac:dyDescent="0.2">
      <c r="A39" s="2426">
        <v>39</v>
      </c>
      <c r="B39" s="2652" t="s">
        <v>83</v>
      </c>
      <c r="C39" s="2657"/>
      <c r="D39" s="2655"/>
      <c r="E39" s="2655"/>
      <c r="F39" s="2655"/>
      <c r="G39" s="2655"/>
      <c r="H39" s="2658">
        <f>IFERROR('Bases Proy'!F87,0)</f>
        <v>0</v>
      </c>
      <c r="I39" s="2658">
        <f>IFERROR('Bases Proy'!G87,0)</f>
        <v>0</v>
      </c>
      <c r="J39" s="2658">
        <f>IFERROR('Bases Proy'!H87,0)</f>
        <v>0</v>
      </c>
      <c r="K39" s="2658">
        <f>IFERROR('Bases Proy'!I87,0)</f>
        <v>0</v>
      </c>
      <c r="L39" s="2658">
        <f>IFERROR('Bases Proy'!J87,0)</f>
        <v>0</v>
      </c>
      <c r="M39" s="2658"/>
      <c r="N39" s="2658"/>
      <c r="O39" s="2658"/>
      <c r="P39" s="2658"/>
      <c r="Q39" s="2658"/>
      <c r="R39" s="2658"/>
      <c r="S39" s="2658"/>
      <c r="T39" s="2658"/>
      <c r="U39" s="2658"/>
      <c r="V39" s="2658"/>
      <c r="W39" s="2658"/>
    </row>
    <row r="40" spans="1:23" s="2641" customFormat="1" x14ac:dyDescent="0.2">
      <c r="A40" s="2426">
        <v>40</v>
      </c>
      <c r="B40" s="2652" t="s">
        <v>1052</v>
      </c>
      <c r="C40" s="2657"/>
      <c r="D40" s="2657">
        <f ca="1">D228-OFFSET(inicio,228-ROW(inicio),D5003)</f>
        <v>0</v>
      </c>
      <c r="E40" s="2657">
        <f ca="1">E228-OFFSET(inicio,228-ROW(inicio),E5003)</f>
        <v>0</v>
      </c>
      <c r="F40" s="2657">
        <f>F228-E228</f>
        <v>0</v>
      </c>
      <c r="G40" s="2657">
        <f>G228-F228</f>
        <v>0</v>
      </c>
      <c r="H40" s="2658">
        <f>IFERROR('Bases Proy'!F88,0)</f>
        <v>0</v>
      </c>
      <c r="I40" s="2658">
        <f>IFERROR('Bases Proy'!G88,0)</f>
        <v>0</v>
      </c>
      <c r="J40" s="2658">
        <f>IFERROR('Bases Proy'!H88,0)</f>
        <v>0</v>
      </c>
      <c r="K40" s="2658">
        <f>IFERROR('Bases Proy'!I88,0)</f>
        <v>0</v>
      </c>
      <c r="L40" s="2658">
        <f>IFERROR('Bases Proy'!J88,0)</f>
        <v>0</v>
      </c>
      <c r="M40" s="2658"/>
      <c r="N40" s="2658"/>
      <c r="O40" s="2658"/>
      <c r="P40" s="2658"/>
      <c r="Q40" s="2658"/>
      <c r="R40" s="2658"/>
      <c r="S40" s="2658"/>
      <c r="T40" s="2658"/>
      <c r="U40" s="2658"/>
      <c r="V40" s="2658"/>
      <c r="W40" s="2658"/>
    </row>
    <row r="41" spans="1:23" s="2641" customFormat="1" x14ac:dyDescent="0.2">
      <c r="A41" s="2426">
        <v>41</v>
      </c>
      <c r="B41" s="2641" t="s">
        <v>90</v>
      </c>
      <c r="C41" s="2657"/>
      <c r="D41" s="2657">
        <f>(D228)-(D52*D6)</f>
        <v>0</v>
      </c>
      <c r="E41" s="2657">
        <f>(E228)-(E52*E6)</f>
        <v>0</v>
      </c>
      <c r="F41" s="2657">
        <f>(F228)-(F52*F6)</f>
        <v>0</v>
      </c>
      <c r="G41" s="2657">
        <f>(G228)-(G52*G6)</f>
        <v>0</v>
      </c>
      <c r="H41" s="2642">
        <f ca="1">H38+H39+H40</f>
        <v>0</v>
      </c>
      <c r="I41" s="2642">
        <f t="shared" ref="I41:W41" ca="1" si="13">I38+I39+I40</f>
        <v>0</v>
      </c>
      <c r="J41" s="2642">
        <f t="shared" ca="1" si="13"/>
        <v>0</v>
      </c>
      <c r="K41" s="2642">
        <f t="shared" ca="1" si="13"/>
        <v>0</v>
      </c>
      <c r="L41" s="2642">
        <f t="shared" ca="1" si="13"/>
        <v>0</v>
      </c>
      <c r="M41" s="2642">
        <f t="shared" ca="1" si="13"/>
        <v>0</v>
      </c>
      <c r="N41" s="2642">
        <f t="shared" ca="1" si="13"/>
        <v>0</v>
      </c>
      <c r="O41" s="2642">
        <f t="shared" ca="1" si="13"/>
        <v>0</v>
      </c>
      <c r="P41" s="2642">
        <f t="shared" ca="1" si="13"/>
        <v>0</v>
      </c>
      <c r="Q41" s="2642">
        <f t="shared" ca="1" si="13"/>
        <v>0</v>
      </c>
      <c r="R41" s="2642">
        <f t="shared" ca="1" si="13"/>
        <v>0</v>
      </c>
      <c r="S41" s="2642">
        <f t="shared" ca="1" si="13"/>
        <v>0</v>
      </c>
      <c r="T41" s="2642">
        <f t="shared" ca="1" si="13"/>
        <v>0</v>
      </c>
      <c r="U41" s="2642">
        <f t="shared" ca="1" si="13"/>
        <v>0</v>
      </c>
      <c r="V41" s="2642">
        <f t="shared" ca="1" si="13"/>
        <v>0</v>
      </c>
      <c r="W41" s="2642">
        <f t="shared" ca="1" si="13"/>
        <v>0</v>
      </c>
    </row>
    <row r="42" spans="1:23" s="2641" customFormat="1" x14ac:dyDescent="0.2">
      <c r="A42" s="2426">
        <v>42</v>
      </c>
      <c r="B42" s="2652" t="s">
        <v>318</v>
      </c>
      <c r="C42" s="2657"/>
      <c r="D42" s="2657">
        <f ca="1">D229-OFFSET(inicio,229-ROW(inicio),D5003)</f>
        <v>0</v>
      </c>
      <c r="E42" s="2657">
        <f ca="1">E229-OFFSET(inicio,229-ROW(inicio),E5003)</f>
        <v>0</v>
      </c>
      <c r="F42" s="2657">
        <f ca="1">F229-OFFSET(inicio,229-ROW(inicio),F5003)</f>
        <v>0</v>
      </c>
      <c r="G42" s="2657">
        <f ca="1">G229-OFFSET(inicio,229-ROW(inicio),G5003)</f>
        <v>0</v>
      </c>
      <c r="H42" s="2658"/>
      <c r="I42" s="2658"/>
      <c r="J42" s="2658"/>
      <c r="K42" s="2658"/>
      <c r="L42" s="2658"/>
      <c r="M42" s="2658"/>
      <c r="N42" s="2658"/>
      <c r="O42" s="2658"/>
      <c r="P42" s="2658"/>
      <c r="Q42" s="2658"/>
      <c r="R42" s="2658"/>
      <c r="S42" s="2658"/>
      <c r="T42" s="2658"/>
      <c r="U42" s="2658"/>
      <c r="V42" s="2658"/>
      <c r="W42" s="2658"/>
    </row>
    <row r="43" spans="1:23" s="2641" customFormat="1" x14ac:dyDescent="0.2">
      <c r="A43" s="2426">
        <v>43</v>
      </c>
      <c r="B43" s="2652" t="s">
        <v>988</v>
      </c>
      <c r="C43" s="2657"/>
      <c r="D43" s="2657">
        <f ca="1">D235-OFFSET(inicio,235-ROW(inicio),D5003)</f>
        <v>0</v>
      </c>
      <c r="E43" s="2657">
        <f ca="1">E235-OFFSET(inicio,235-ROW(inicio),E5003)</f>
        <v>0</v>
      </c>
      <c r="F43" s="2657">
        <f ca="1">F235-OFFSET(inicio,235-ROW(inicio),F5003)</f>
        <v>0</v>
      </c>
      <c r="G43" s="2657">
        <f ca="1">G235-OFFSET(inicio,235-ROW(inicio),G5003)</f>
        <v>0</v>
      </c>
      <c r="H43" s="2658"/>
      <c r="I43" s="2658"/>
      <c r="J43" s="2658"/>
      <c r="K43" s="2658"/>
      <c r="L43" s="2658"/>
      <c r="M43" s="2658"/>
      <c r="N43" s="2658"/>
      <c r="O43" s="2658"/>
      <c r="P43" s="2658"/>
      <c r="Q43" s="2658"/>
      <c r="R43" s="2658"/>
      <c r="S43" s="2658"/>
      <c r="T43" s="2658"/>
      <c r="U43" s="2658"/>
      <c r="V43" s="2658"/>
      <c r="W43" s="2658"/>
    </row>
    <row r="44" spans="1:23" s="2641" customFormat="1" x14ac:dyDescent="0.2">
      <c r="A44" s="2426">
        <v>44</v>
      </c>
      <c r="B44" s="2652"/>
      <c r="C44" s="2659"/>
      <c r="D44" s="2659"/>
      <c r="E44" s="2659"/>
      <c r="F44" s="2659"/>
      <c r="G44" s="2659"/>
      <c r="H44" s="2653"/>
      <c r="I44" s="2653"/>
      <c r="J44" s="2653"/>
      <c r="K44" s="2653"/>
      <c r="L44" s="2653"/>
      <c r="M44" s="2653"/>
      <c r="N44" s="2653"/>
      <c r="O44" s="2653"/>
      <c r="P44" s="2653"/>
      <c r="Q44" s="2653"/>
      <c r="R44" s="2653"/>
      <c r="S44" s="2653"/>
      <c r="T44" s="2653"/>
      <c r="U44" s="2653"/>
      <c r="V44" s="2653"/>
      <c r="W44" s="2653"/>
    </row>
    <row r="45" spans="1:23" s="2641" customFormat="1" x14ac:dyDescent="0.2">
      <c r="A45" s="2426">
        <v>45</v>
      </c>
      <c r="B45" s="2652" t="s">
        <v>1059</v>
      </c>
      <c r="C45" s="2657"/>
      <c r="D45" s="2657">
        <f ca="1">D216-OFFSET(inicio,216-ROW(inicio),D5003)</f>
        <v>0</v>
      </c>
      <c r="E45" s="2657">
        <f ca="1">E216-OFFSET(inicio,216-ROW(inicio),E5003)</f>
        <v>0</v>
      </c>
      <c r="F45" s="2657">
        <f ca="1">F216-OFFSET(inicio,216-ROW(inicio),F5003)</f>
        <v>0</v>
      </c>
      <c r="G45" s="2657">
        <f ca="1">G216-OFFSET(inicio,216-ROW(inicio),G5003)</f>
        <v>0</v>
      </c>
      <c r="H45" s="2658">
        <v>0</v>
      </c>
      <c r="I45" s="2658">
        <v>0</v>
      </c>
      <c r="J45" s="2658">
        <v>0</v>
      </c>
      <c r="K45" s="2658">
        <v>0</v>
      </c>
      <c r="L45" s="2658">
        <v>0</v>
      </c>
      <c r="M45" s="2658">
        <v>0</v>
      </c>
      <c r="N45" s="2658">
        <v>0</v>
      </c>
      <c r="O45" s="2658">
        <v>0</v>
      </c>
      <c r="P45" s="2658">
        <v>0</v>
      </c>
      <c r="Q45" s="2658">
        <v>0</v>
      </c>
      <c r="R45" s="2658">
        <v>0</v>
      </c>
      <c r="S45" s="2658">
        <v>0</v>
      </c>
      <c r="T45" s="2658">
        <v>0</v>
      </c>
      <c r="U45" s="2658">
        <v>0</v>
      </c>
      <c r="V45" s="2658">
        <v>0</v>
      </c>
      <c r="W45" s="2658">
        <v>0</v>
      </c>
    </row>
    <row r="46" spans="1:23" s="2641" customFormat="1" hidden="1" x14ac:dyDescent="0.2">
      <c r="A46" s="2426">
        <v>46</v>
      </c>
      <c r="B46" s="2652"/>
      <c r="C46" s="2659"/>
      <c r="D46" s="2659"/>
      <c r="E46" s="2659"/>
      <c r="F46" s="2659"/>
      <c r="G46" s="2659"/>
      <c r="H46" s="2653"/>
      <c r="I46" s="2653"/>
      <c r="J46" s="2653"/>
      <c r="K46" s="2653"/>
      <c r="L46" s="2653"/>
      <c r="M46" s="2653"/>
      <c r="N46" s="2653"/>
      <c r="O46" s="2653"/>
      <c r="P46" s="2653"/>
      <c r="Q46" s="2653"/>
      <c r="R46" s="2653"/>
      <c r="S46" s="2653"/>
      <c r="T46" s="2653"/>
      <c r="U46" s="2653"/>
      <c r="V46" s="2653"/>
      <c r="W46" s="2653"/>
    </row>
    <row r="47" spans="1:23" s="2641" customFormat="1" x14ac:dyDescent="0.2">
      <c r="A47" s="2426">
        <v>47</v>
      </c>
      <c r="B47" s="2652"/>
      <c r="C47" s="2659"/>
      <c r="D47" s="2659"/>
      <c r="E47" s="2659"/>
      <c r="F47" s="2659"/>
      <c r="G47" s="2659"/>
      <c r="H47" s="2659"/>
      <c r="I47" s="2653"/>
      <c r="J47" s="2653"/>
      <c r="K47" s="2653"/>
      <c r="L47" s="2653"/>
      <c r="M47" s="2653"/>
      <c r="N47" s="2653"/>
      <c r="O47" s="2653"/>
      <c r="P47" s="2653"/>
      <c r="Q47" s="2653"/>
      <c r="R47" s="2653"/>
      <c r="S47" s="2653"/>
      <c r="T47" s="2653"/>
      <c r="U47" s="2653"/>
      <c r="V47" s="2653"/>
      <c r="W47" s="2653"/>
    </row>
    <row r="48" spans="1:23" s="2641" customFormat="1" x14ac:dyDescent="0.2">
      <c r="A48" s="2426">
        <v>48</v>
      </c>
      <c r="B48" s="2654" t="s">
        <v>87</v>
      </c>
      <c r="C48" s="2659"/>
      <c r="D48" s="2659"/>
      <c r="E48" s="2659"/>
      <c r="F48" s="2659"/>
      <c r="G48" s="2659"/>
      <c r="H48" s="2659"/>
      <c r="I48" s="2653"/>
      <c r="J48" s="2653"/>
      <c r="K48" s="2653"/>
      <c r="L48" s="2653"/>
      <c r="M48" s="2653"/>
      <c r="N48" s="2653"/>
      <c r="O48" s="2653"/>
      <c r="P48" s="2653"/>
      <c r="Q48" s="2653"/>
      <c r="R48" s="2653"/>
      <c r="S48" s="2653"/>
      <c r="T48" s="2653"/>
      <c r="U48" s="2653"/>
      <c r="V48" s="2653"/>
      <c r="W48" s="2653"/>
    </row>
    <row r="49" spans="1:23" s="2641" customFormat="1" x14ac:dyDescent="0.2">
      <c r="A49" s="2426">
        <v>49</v>
      </c>
      <c r="B49" s="2641" t="s">
        <v>1051</v>
      </c>
      <c r="C49" s="2657"/>
      <c r="D49" s="2655"/>
      <c r="E49" s="2655"/>
      <c r="F49" s="2655"/>
      <c r="G49" s="2655"/>
      <c r="H49" s="2642">
        <f ca="1">OFFSET(inicio,52-ROW(inicio),H5003)</f>
        <v>0</v>
      </c>
      <c r="I49" s="2642">
        <f ca="1">H52</f>
        <v>0</v>
      </c>
      <c r="J49" s="2642">
        <f t="shared" ref="J49:W49" ca="1" si="14">I52</f>
        <v>0</v>
      </c>
      <c r="K49" s="2642">
        <f t="shared" ca="1" si="14"/>
        <v>0</v>
      </c>
      <c r="L49" s="2642">
        <f t="shared" ca="1" si="14"/>
        <v>0</v>
      </c>
      <c r="M49" s="2642">
        <f t="shared" ca="1" si="14"/>
        <v>0</v>
      </c>
      <c r="N49" s="2642">
        <f t="shared" ca="1" si="14"/>
        <v>0</v>
      </c>
      <c r="O49" s="2642">
        <f t="shared" ca="1" si="14"/>
        <v>0</v>
      </c>
      <c r="P49" s="2642">
        <f t="shared" ca="1" si="14"/>
        <v>0</v>
      </c>
      <c r="Q49" s="2642">
        <f t="shared" ca="1" si="14"/>
        <v>0</v>
      </c>
      <c r="R49" s="2642">
        <f t="shared" ca="1" si="14"/>
        <v>0</v>
      </c>
      <c r="S49" s="2642">
        <f t="shared" ca="1" si="14"/>
        <v>0</v>
      </c>
      <c r="T49" s="2642">
        <f t="shared" ca="1" si="14"/>
        <v>0</v>
      </c>
      <c r="U49" s="2642">
        <f t="shared" ca="1" si="14"/>
        <v>0</v>
      </c>
      <c r="V49" s="2642">
        <f t="shared" ca="1" si="14"/>
        <v>0</v>
      </c>
      <c r="W49" s="2642">
        <f t="shared" ca="1" si="14"/>
        <v>0</v>
      </c>
    </row>
    <row r="50" spans="1:23" s="2641" customFormat="1" x14ac:dyDescent="0.2">
      <c r="A50" s="2426">
        <v>50</v>
      </c>
      <c r="B50" s="2652" t="s">
        <v>83</v>
      </c>
      <c r="C50" s="2657"/>
      <c r="D50" s="2655"/>
      <c r="E50" s="2655"/>
      <c r="F50" s="2655"/>
      <c r="G50" s="2655"/>
      <c r="H50" s="2658">
        <v>0</v>
      </c>
      <c r="I50" s="2658">
        <v>0</v>
      </c>
      <c r="J50" s="2658">
        <v>0</v>
      </c>
      <c r="K50" s="2658">
        <v>0</v>
      </c>
      <c r="L50" s="2658">
        <v>0</v>
      </c>
      <c r="M50" s="2658">
        <v>0</v>
      </c>
      <c r="N50" s="2658">
        <v>0</v>
      </c>
      <c r="O50" s="2658">
        <v>0</v>
      </c>
      <c r="P50" s="2658">
        <v>0</v>
      </c>
      <c r="Q50" s="2658">
        <v>0</v>
      </c>
      <c r="R50" s="2658">
        <v>0</v>
      </c>
      <c r="S50" s="2658">
        <v>0</v>
      </c>
      <c r="T50" s="2658">
        <v>0</v>
      </c>
      <c r="U50" s="2658">
        <v>0</v>
      </c>
      <c r="V50" s="2658">
        <v>0</v>
      </c>
      <c r="W50" s="2658">
        <v>0</v>
      </c>
    </row>
    <row r="51" spans="1:23" s="2641" customFormat="1" x14ac:dyDescent="0.2">
      <c r="A51" s="2426">
        <v>51</v>
      </c>
      <c r="B51" s="2652" t="s">
        <v>1053</v>
      </c>
      <c r="C51" s="2657"/>
      <c r="D51" s="2657"/>
      <c r="E51" s="2657"/>
      <c r="F51" s="2657"/>
      <c r="G51" s="2657"/>
      <c r="H51" s="2658">
        <v>0</v>
      </c>
      <c r="I51" s="2658">
        <v>0</v>
      </c>
      <c r="J51" s="2658">
        <v>0</v>
      </c>
      <c r="K51" s="2658">
        <v>0</v>
      </c>
      <c r="L51" s="2658">
        <v>0</v>
      </c>
      <c r="M51" s="2658">
        <v>0</v>
      </c>
      <c r="N51" s="2658">
        <v>0</v>
      </c>
      <c r="O51" s="2658">
        <v>0</v>
      </c>
      <c r="P51" s="2658">
        <v>0</v>
      </c>
      <c r="Q51" s="2658">
        <v>0</v>
      </c>
      <c r="R51" s="2658">
        <v>0</v>
      </c>
      <c r="S51" s="2658">
        <v>0</v>
      </c>
      <c r="T51" s="2658">
        <v>0</v>
      </c>
      <c r="U51" s="2658">
        <v>0</v>
      </c>
      <c r="V51" s="2658">
        <v>0</v>
      </c>
      <c r="W51" s="2658">
        <v>0</v>
      </c>
    </row>
    <row r="52" spans="1:23" s="2641" customFormat="1" x14ac:dyDescent="0.2">
      <c r="A52" s="2426">
        <v>52</v>
      </c>
      <c r="B52" s="2652" t="s">
        <v>88</v>
      </c>
      <c r="C52" s="2657"/>
      <c r="D52" s="2657"/>
      <c r="E52" s="2657">
        <v>0</v>
      </c>
      <c r="F52" s="2657"/>
      <c r="G52" s="2657"/>
      <c r="H52" s="2642">
        <f ca="1">H49+H50+H51</f>
        <v>0</v>
      </c>
      <c r="I52" s="2642">
        <f t="shared" ref="I52:W52" ca="1" si="15">I49+I50+I51</f>
        <v>0</v>
      </c>
      <c r="J52" s="2642">
        <f t="shared" ca="1" si="15"/>
        <v>0</v>
      </c>
      <c r="K52" s="2642">
        <f t="shared" ca="1" si="15"/>
        <v>0</v>
      </c>
      <c r="L52" s="2642">
        <f t="shared" ca="1" si="15"/>
        <v>0</v>
      </c>
      <c r="M52" s="2642">
        <f t="shared" ca="1" si="15"/>
        <v>0</v>
      </c>
      <c r="N52" s="2642">
        <f t="shared" ca="1" si="15"/>
        <v>0</v>
      </c>
      <c r="O52" s="2642">
        <f t="shared" ca="1" si="15"/>
        <v>0</v>
      </c>
      <c r="P52" s="2642">
        <f t="shared" ca="1" si="15"/>
        <v>0</v>
      </c>
      <c r="Q52" s="2642">
        <f t="shared" ca="1" si="15"/>
        <v>0</v>
      </c>
      <c r="R52" s="2642">
        <f t="shared" ca="1" si="15"/>
        <v>0</v>
      </c>
      <c r="S52" s="2642">
        <f t="shared" ca="1" si="15"/>
        <v>0</v>
      </c>
      <c r="T52" s="2642">
        <f t="shared" ca="1" si="15"/>
        <v>0</v>
      </c>
      <c r="U52" s="2642">
        <f t="shared" ca="1" si="15"/>
        <v>0</v>
      </c>
      <c r="V52" s="2642">
        <f t="shared" ca="1" si="15"/>
        <v>0</v>
      </c>
      <c r="W52" s="2642">
        <f t="shared" ca="1" si="15"/>
        <v>0</v>
      </c>
    </row>
    <row r="53" spans="1:23" s="2641" customFormat="1" x14ac:dyDescent="0.2">
      <c r="A53" s="2426">
        <v>53</v>
      </c>
      <c r="B53" s="2652" t="s">
        <v>89</v>
      </c>
      <c r="C53" s="2657"/>
      <c r="D53" s="2657"/>
      <c r="E53" s="2657"/>
      <c r="F53" s="2657"/>
      <c r="G53" s="2657"/>
      <c r="H53" s="2642">
        <f t="shared" ref="H53:W53" ca="1" si="16">H52*H6</f>
        <v>0</v>
      </c>
      <c r="I53" s="2642">
        <f t="shared" ca="1" si="16"/>
        <v>0</v>
      </c>
      <c r="J53" s="2642">
        <f t="shared" ca="1" si="16"/>
        <v>0</v>
      </c>
      <c r="K53" s="2642">
        <f t="shared" ca="1" si="16"/>
        <v>0</v>
      </c>
      <c r="L53" s="2642">
        <f t="shared" ca="1" si="16"/>
        <v>0</v>
      </c>
      <c r="M53" s="2642">
        <f t="shared" ca="1" si="16"/>
        <v>0</v>
      </c>
      <c r="N53" s="2642">
        <f t="shared" ca="1" si="16"/>
        <v>0</v>
      </c>
      <c r="O53" s="2642">
        <f t="shared" ca="1" si="16"/>
        <v>0</v>
      </c>
      <c r="P53" s="2642">
        <f t="shared" ca="1" si="16"/>
        <v>0</v>
      </c>
      <c r="Q53" s="2642">
        <f t="shared" ca="1" si="16"/>
        <v>0</v>
      </c>
      <c r="R53" s="2642">
        <f t="shared" ca="1" si="16"/>
        <v>0</v>
      </c>
      <c r="S53" s="2642">
        <f t="shared" ca="1" si="16"/>
        <v>0</v>
      </c>
      <c r="T53" s="2642">
        <f t="shared" ca="1" si="16"/>
        <v>0</v>
      </c>
      <c r="U53" s="2642">
        <f t="shared" ca="1" si="16"/>
        <v>0</v>
      </c>
      <c r="V53" s="2642">
        <f t="shared" ca="1" si="16"/>
        <v>0</v>
      </c>
      <c r="W53" s="2642">
        <f t="shared" ca="1" si="16"/>
        <v>0</v>
      </c>
    </row>
    <row r="54" spans="1:23" s="2641" customFormat="1" x14ac:dyDescent="0.2">
      <c r="A54" s="2426">
        <v>54</v>
      </c>
      <c r="B54" s="2652"/>
      <c r="C54" s="2653"/>
      <c r="D54" s="2653"/>
      <c r="E54" s="2653"/>
      <c r="F54" s="2653"/>
      <c r="G54" s="2653"/>
      <c r="H54" s="2653"/>
      <c r="I54" s="2653"/>
      <c r="J54" s="2653"/>
      <c r="K54" s="2653"/>
      <c r="L54" s="2653"/>
      <c r="M54" s="2653"/>
      <c r="N54" s="2653"/>
      <c r="O54" s="2653"/>
      <c r="P54" s="2653"/>
      <c r="Q54" s="2653"/>
      <c r="R54" s="2653"/>
      <c r="S54" s="2653"/>
      <c r="T54" s="2653"/>
      <c r="U54" s="2653"/>
      <c r="V54" s="2653"/>
      <c r="W54" s="2653"/>
    </row>
    <row r="55" spans="1:23" s="2641" customFormat="1" x14ac:dyDescent="0.2">
      <c r="A55" s="2426">
        <v>55</v>
      </c>
      <c r="B55" s="2652" t="s">
        <v>91</v>
      </c>
      <c r="C55" s="2657"/>
      <c r="D55" s="2657"/>
      <c r="E55" s="2657"/>
      <c r="F55" s="2657"/>
      <c r="G55" s="2657"/>
      <c r="H55" s="2660">
        <v>0</v>
      </c>
      <c r="I55" s="2658">
        <v>0</v>
      </c>
      <c r="J55" s="2658">
        <v>0</v>
      </c>
      <c r="K55" s="2658">
        <v>0</v>
      </c>
      <c r="L55" s="2658">
        <v>0</v>
      </c>
      <c r="M55" s="2658">
        <v>0</v>
      </c>
      <c r="N55" s="2658">
        <v>0</v>
      </c>
      <c r="O55" s="2658">
        <v>0</v>
      </c>
      <c r="P55" s="2658">
        <v>0</v>
      </c>
      <c r="Q55" s="2658">
        <v>0</v>
      </c>
      <c r="R55" s="2658">
        <v>0</v>
      </c>
      <c r="S55" s="2658">
        <v>0</v>
      </c>
      <c r="T55" s="2658">
        <v>0</v>
      </c>
      <c r="U55" s="2658">
        <v>0</v>
      </c>
      <c r="V55" s="2658">
        <v>0</v>
      </c>
      <c r="W55" s="2658">
        <v>0</v>
      </c>
    </row>
    <row r="56" spans="1:23" s="2641" customFormat="1" x14ac:dyDescent="0.2">
      <c r="A56" s="2426">
        <v>56</v>
      </c>
      <c r="B56" s="2652" t="s">
        <v>92</v>
      </c>
      <c r="C56" s="2657"/>
      <c r="D56" s="2657"/>
      <c r="E56" s="2657"/>
      <c r="F56" s="2657"/>
      <c r="G56" s="2657"/>
      <c r="H56" s="2642">
        <f t="shared" ref="H56:W56" ca="1" si="17">H55*H6</f>
        <v>0</v>
      </c>
      <c r="I56" s="2642">
        <f t="shared" ca="1" si="17"/>
        <v>0</v>
      </c>
      <c r="J56" s="2642">
        <f t="shared" ca="1" si="17"/>
        <v>0</v>
      </c>
      <c r="K56" s="2642">
        <f t="shared" ca="1" si="17"/>
        <v>0</v>
      </c>
      <c r="L56" s="2642">
        <f t="shared" ca="1" si="17"/>
        <v>0</v>
      </c>
      <c r="M56" s="2642">
        <f t="shared" ca="1" si="17"/>
        <v>0</v>
      </c>
      <c r="N56" s="2642">
        <f t="shared" ca="1" si="17"/>
        <v>0</v>
      </c>
      <c r="O56" s="2642">
        <f t="shared" ca="1" si="17"/>
        <v>0</v>
      </c>
      <c r="P56" s="2642">
        <f t="shared" ca="1" si="17"/>
        <v>0</v>
      </c>
      <c r="Q56" s="2642">
        <f t="shared" ca="1" si="17"/>
        <v>0</v>
      </c>
      <c r="R56" s="2642">
        <f t="shared" ca="1" si="17"/>
        <v>0</v>
      </c>
      <c r="S56" s="2642">
        <f t="shared" ca="1" si="17"/>
        <v>0</v>
      </c>
      <c r="T56" s="2642">
        <f t="shared" ca="1" si="17"/>
        <v>0</v>
      </c>
      <c r="U56" s="2642">
        <f t="shared" ca="1" si="17"/>
        <v>0</v>
      </c>
      <c r="V56" s="2642">
        <f t="shared" ca="1" si="17"/>
        <v>0</v>
      </c>
      <c r="W56" s="2642">
        <f t="shared" ca="1" si="17"/>
        <v>0</v>
      </c>
    </row>
    <row r="57" spans="1:23" s="2641" customFormat="1" x14ac:dyDescent="0.2">
      <c r="A57" s="2426">
        <v>57</v>
      </c>
      <c r="B57" s="2652"/>
      <c r="C57" s="2659"/>
      <c r="D57" s="2659"/>
      <c r="E57" s="2659"/>
      <c r="F57" s="2659"/>
      <c r="G57" s="2659"/>
      <c r="H57" s="2659"/>
      <c r="I57" s="2659"/>
      <c r="J57" s="2659"/>
      <c r="K57" s="2659"/>
      <c r="L57" s="2659"/>
      <c r="M57" s="2659"/>
      <c r="N57" s="2659"/>
      <c r="O57" s="2659"/>
      <c r="P57" s="2659"/>
      <c r="Q57" s="2659"/>
      <c r="R57" s="2659"/>
      <c r="S57" s="2659"/>
      <c r="T57" s="2659"/>
      <c r="U57" s="2659"/>
      <c r="V57" s="2659"/>
      <c r="W57" s="2659"/>
    </row>
    <row r="58" spans="1:23" s="2641" customFormat="1" x14ac:dyDescent="0.2">
      <c r="A58" s="2426">
        <v>58</v>
      </c>
      <c r="B58" s="2652"/>
      <c r="C58" s="2659"/>
      <c r="D58" s="2659"/>
      <c r="E58" s="2659"/>
      <c r="F58" s="2659"/>
      <c r="G58" s="2659"/>
      <c r="H58" s="2659"/>
      <c r="I58" s="2659"/>
      <c r="J58" s="2659"/>
      <c r="K58" s="2659"/>
      <c r="L58" s="2659"/>
      <c r="M58" s="2659"/>
      <c r="N58" s="2659"/>
      <c r="O58" s="2659"/>
      <c r="P58" s="2659"/>
      <c r="Q58" s="2659"/>
      <c r="R58" s="2659"/>
      <c r="S58" s="2659"/>
      <c r="T58" s="2659"/>
      <c r="U58" s="2659"/>
      <c r="V58" s="2659"/>
      <c r="W58" s="2659"/>
    </row>
    <row r="59" spans="1:23" s="2641" customFormat="1" x14ac:dyDescent="0.2">
      <c r="A59" s="2426">
        <v>59</v>
      </c>
      <c r="B59" s="2654" t="s">
        <v>442</v>
      </c>
      <c r="C59" s="2653"/>
      <c r="D59" s="2653"/>
      <c r="E59" s="2653"/>
      <c r="F59" s="2653"/>
      <c r="G59" s="2653"/>
      <c r="H59" s="2653"/>
      <c r="I59" s="2653"/>
      <c r="J59" s="2653"/>
      <c r="K59" s="2653"/>
      <c r="L59" s="2653"/>
      <c r="M59" s="2653"/>
      <c r="N59" s="2653"/>
      <c r="O59" s="2653"/>
      <c r="P59" s="2653"/>
      <c r="Q59" s="2653"/>
      <c r="R59" s="2653"/>
      <c r="S59" s="2653"/>
      <c r="T59" s="2653"/>
      <c r="U59" s="2653"/>
      <c r="V59" s="2653"/>
      <c r="W59" s="2653"/>
    </row>
    <row r="60" spans="1:23" s="2641" customFormat="1" x14ac:dyDescent="0.2">
      <c r="A60" s="2426">
        <v>60</v>
      </c>
      <c r="B60" s="2652" t="s">
        <v>96</v>
      </c>
      <c r="C60" s="2657"/>
      <c r="D60" s="2657"/>
      <c r="E60" s="2657"/>
      <c r="F60" s="2657"/>
      <c r="G60" s="2657"/>
      <c r="H60" s="2642">
        <f ca="1">IFERROR(((E215+E216+H215+H216)/2)*H17,0)</f>
        <v>0</v>
      </c>
      <c r="I60" s="2642">
        <f ca="1">IFERROR(((H215+H216+I215+I216)/2)*I17,0)</f>
        <v>0</v>
      </c>
      <c r="J60" s="2642">
        <f t="shared" ref="J60:W60" ca="1" si="18">IFERROR(((I215+I216+J215+J216)/2)*J17,0)</f>
        <v>0</v>
      </c>
      <c r="K60" s="2642">
        <f t="shared" ca="1" si="18"/>
        <v>0</v>
      </c>
      <c r="L60" s="2642">
        <f t="shared" ca="1" si="18"/>
        <v>0</v>
      </c>
      <c r="M60" s="2642">
        <f t="shared" ca="1" si="18"/>
        <v>0</v>
      </c>
      <c r="N60" s="2642">
        <f t="shared" ca="1" si="18"/>
        <v>0</v>
      </c>
      <c r="O60" s="2642">
        <f t="shared" ca="1" si="18"/>
        <v>0</v>
      </c>
      <c r="P60" s="2642">
        <f t="shared" ca="1" si="18"/>
        <v>0</v>
      </c>
      <c r="Q60" s="2642">
        <f t="shared" ca="1" si="18"/>
        <v>0</v>
      </c>
      <c r="R60" s="2642">
        <f t="shared" ca="1" si="18"/>
        <v>0</v>
      </c>
      <c r="S60" s="2642">
        <f t="shared" ca="1" si="18"/>
        <v>0</v>
      </c>
      <c r="T60" s="2642">
        <f t="shared" ca="1" si="18"/>
        <v>0</v>
      </c>
      <c r="U60" s="2642">
        <f t="shared" ca="1" si="18"/>
        <v>0</v>
      </c>
      <c r="V60" s="2642">
        <f t="shared" ca="1" si="18"/>
        <v>0</v>
      </c>
      <c r="W60" s="2642">
        <f t="shared" ca="1" si="18"/>
        <v>0</v>
      </c>
    </row>
    <row r="61" spans="1:23" s="2641" customFormat="1" x14ac:dyDescent="0.2">
      <c r="A61" s="2426">
        <v>61</v>
      </c>
      <c r="B61" s="2652" t="s">
        <v>97</v>
      </c>
      <c r="C61" s="2657"/>
      <c r="D61" s="2657"/>
      <c r="E61" s="2657"/>
      <c r="F61" s="2657"/>
      <c r="G61" s="2657"/>
      <c r="H61" s="2642">
        <f ca="1">IFERROR(((H56+OFFSET(inicio,56-ROW(inicio),H5003))/2)*H11,0)</f>
        <v>0</v>
      </c>
      <c r="I61" s="2642">
        <f ca="1">IFERROR(((I56+H56)/2)*I11,0)</f>
        <v>0</v>
      </c>
      <c r="J61" s="2642">
        <f t="shared" ref="J61:W61" ca="1" si="19">IFERROR(((J56+I56)/2)*J11,0)</f>
        <v>0</v>
      </c>
      <c r="K61" s="2642">
        <f t="shared" ca="1" si="19"/>
        <v>0</v>
      </c>
      <c r="L61" s="2642">
        <f t="shared" ca="1" si="19"/>
        <v>0</v>
      </c>
      <c r="M61" s="2642">
        <f t="shared" ca="1" si="19"/>
        <v>0</v>
      </c>
      <c r="N61" s="2642">
        <f t="shared" ca="1" si="19"/>
        <v>0</v>
      </c>
      <c r="O61" s="2642">
        <f t="shared" ca="1" si="19"/>
        <v>0</v>
      </c>
      <c r="P61" s="2642">
        <f t="shared" ca="1" si="19"/>
        <v>0</v>
      </c>
      <c r="Q61" s="2642">
        <f t="shared" ca="1" si="19"/>
        <v>0</v>
      </c>
      <c r="R61" s="2642">
        <f t="shared" ca="1" si="19"/>
        <v>0</v>
      </c>
      <c r="S61" s="2642">
        <f t="shared" ca="1" si="19"/>
        <v>0</v>
      </c>
      <c r="T61" s="2642">
        <f t="shared" ca="1" si="19"/>
        <v>0</v>
      </c>
      <c r="U61" s="2642">
        <f t="shared" ca="1" si="19"/>
        <v>0</v>
      </c>
      <c r="V61" s="2642">
        <f t="shared" ca="1" si="19"/>
        <v>0</v>
      </c>
      <c r="W61" s="2642">
        <f t="shared" ca="1" si="19"/>
        <v>0</v>
      </c>
    </row>
    <row r="62" spans="1:23" s="2641" customFormat="1" x14ac:dyDescent="0.2">
      <c r="A62" s="2426">
        <v>62</v>
      </c>
      <c r="B62" s="2652" t="s">
        <v>94</v>
      </c>
      <c r="C62" s="2657"/>
      <c r="D62" s="2657"/>
      <c r="E62" s="2657"/>
      <c r="F62" s="2657"/>
      <c r="G62" s="2657"/>
      <c r="H62" s="2642">
        <f ca="1">IFERROR(((H38+H41)/2)*H20,0)</f>
        <v>0</v>
      </c>
      <c r="I62" s="2642">
        <f ca="1">IFERROR(((I38+I41)/2)*I20,0)</f>
        <v>0</v>
      </c>
      <c r="J62" s="2642">
        <f t="shared" ref="J62:W62" ca="1" si="20">IFERROR(((J38+J41)/2)*J20,0)</f>
        <v>0</v>
      </c>
      <c r="K62" s="2642">
        <f t="shared" ca="1" si="20"/>
        <v>0</v>
      </c>
      <c r="L62" s="2642">
        <f t="shared" ca="1" si="20"/>
        <v>0</v>
      </c>
      <c r="M62" s="2642">
        <f t="shared" ca="1" si="20"/>
        <v>0</v>
      </c>
      <c r="N62" s="2642">
        <f t="shared" ca="1" si="20"/>
        <v>0</v>
      </c>
      <c r="O62" s="2642">
        <f t="shared" ca="1" si="20"/>
        <v>0</v>
      </c>
      <c r="P62" s="2642">
        <f t="shared" ca="1" si="20"/>
        <v>0</v>
      </c>
      <c r="Q62" s="2642">
        <f t="shared" ca="1" si="20"/>
        <v>0</v>
      </c>
      <c r="R62" s="2642">
        <f t="shared" ca="1" si="20"/>
        <v>0</v>
      </c>
      <c r="S62" s="2642">
        <f t="shared" ca="1" si="20"/>
        <v>0</v>
      </c>
      <c r="T62" s="2642">
        <f t="shared" ca="1" si="20"/>
        <v>0</v>
      </c>
      <c r="U62" s="2642">
        <f t="shared" ca="1" si="20"/>
        <v>0</v>
      </c>
      <c r="V62" s="2642">
        <f t="shared" ca="1" si="20"/>
        <v>0</v>
      </c>
      <c r="W62" s="2642">
        <f t="shared" ca="1" si="20"/>
        <v>0</v>
      </c>
    </row>
    <row r="63" spans="1:23" s="2641" customFormat="1" x14ac:dyDescent="0.2">
      <c r="A63" s="2426">
        <v>63</v>
      </c>
      <c r="B63" s="2652" t="s">
        <v>95</v>
      </c>
      <c r="C63" s="2657"/>
      <c r="D63" s="2657"/>
      <c r="E63" s="2657"/>
      <c r="F63" s="2657"/>
      <c r="G63" s="2657"/>
      <c r="H63" s="2642">
        <f ca="1">IFERROR(((H49+H52)/2)*H26*H7,0)</f>
        <v>0</v>
      </c>
      <c r="I63" s="2642">
        <f ca="1">IFERROR(((I49+I52)/2)*I26*I7,0)</f>
        <v>0</v>
      </c>
      <c r="J63" s="2642">
        <f t="shared" ref="J63:W63" ca="1" si="21">IFERROR(((J49+J52)/2)*J26*J7,0)</f>
        <v>0</v>
      </c>
      <c r="K63" s="2642">
        <f t="shared" ca="1" si="21"/>
        <v>0</v>
      </c>
      <c r="L63" s="2642">
        <f t="shared" ca="1" si="21"/>
        <v>0</v>
      </c>
      <c r="M63" s="2642">
        <f t="shared" ca="1" si="21"/>
        <v>0</v>
      </c>
      <c r="N63" s="2642">
        <f t="shared" ca="1" si="21"/>
        <v>0</v>
      </c>
      <c r="O63" s="2642">
        <f t="shared" ca="1" si="21"/>
        <v>0</v>
      </c>
      <c r="P63" s="2642">
        <f t="shared" ca="1" si="21"/>
        <v>0</v>
      </c>
      <c r="Q63" s="2642">
        <f t="shared" ca="1" si="21"/>
        <v>0</v>
      </c>
      <c r="R63" s="2642">
        <f t="shared" ca="1" si="21"/>
        <v>0</v>
      </c>
      <c r="S63" s="2642">
        <f t="shared" ca="1" si="21"/>
        <v>0</v>
      </c>
      <c r="T63" s="2642">
        <f t="shared" ca="1" si="21"/>
        <v>0</v>
      </c>
      <c r="U63" s="2642">
        <f t="shared" ca="1" si="21"/>
        <v>0</v>
      </c>
      <c r="V63" s="2642">
        <f t="shared" ca="1" si="21"/>
        <v>0</v>
      </c>
      <c r="W63" s="2642">
        <f t="shared" ca="1" si="21"/>
        <v>0</v>
      </c>
    </row>
    <row r="64" spans="1:23" s="2641" customFormat="1" x14ac:dyDescent="0.2">
      <c r="A64" s="2426">
        <v>64</v>
      </c>
      <c r="B64" s="2652" t="s">
        <v>84</v>
      </c>
      <c r="C64" s="2657"/>
      <c r="D64" s="2657"/>
      <c r="E64" s="2657"/>
      <c r="F64" s="2657"/>
      <c r="G64" s="2657"/>
      <c r="H64" s="2642">
        <f ca="1">IFERROR(((OFFSET(inicio,235-ROW(inicio),H5003)+H235)/2)*H23,0)</f>
        <v>0</v>
      </c>
      <c r="I64" s="2642">
        <f ca="1">IFERROR(((H235+I235)/2)*I23,0)</f>
        <v>0</v>
      </c>
      <c r="J64" s="2642">
        <f t="shared" ref="J64:W64" ca="1" si="22">IFERROR(((I235+J235)/2)*J23,0)</f>
        <v>0</v>
      </c>
      <c r="K64" s="2642">
        <f t="shared" ca="1" si="22"/>
        <v>0</v>
      </c>
      <c r="L64" s="2642">
        <f t="shared" ca="1" si="22"/>
        <v>0</v>
      </c>
      <c r="M64" s="2642">
        <f t="shared" ca="1" si="22"/>
        <v>0</v>
      </c>
      <c r="N64" s="2642">
        <f t="shared" ca="1" si="22"/>
        <v>0</v>
      </c>
      <c r="O64" s="2642">
        <f t="shared" ca="1" si="22"/>
        <v>0</v>
      </c>
      <c r="P64" s="2642">
        <f t="shared" ca="1" si="22"/>
        <v>0</v>
      </c>
      <c r="Q64" s="2642">
        <f t="shared" ca="1" si="22"/>
        <v>0</v>
      </c>
      <c r="R64" s="2642">
        <f t="shared" ca="1" si="22"/>
        <v>0</v>
      </c>
      <c r="S64" s="2642">
        <f t="shared" ca="1" si="22"/>
        <v>0</v>
      </c>
      <c r="T64" s="2642">
        <f t="shared" ca="1" si="22"/>
        <v>0</v>
      </c>
      <c r="U64" s="2642">
        <f t="shared" ca="1" si="22"/>
        <v>0</v>
      </c>
      <c r="V64" s="2642">
        <f t="shared" ca="1" si="22"/>
        <v>0</v>
      </c>
      <c r="W64" s="2642">
        <f t="shared" ca="1" si="22"/>
        <v>0</v>
      </c>
    </row>
    <row r="65" spans="1:23" s="2641" customFormat="1" x14ac:dyDescent="0.2">
      <c r="A65" s="2426"/>
      <c r="B65" s="2652" t="s">
        <v>949</v>
      </c>
      <c r="C65" s="2657"/>
      <c r="D65" s="2657"/>
      <c r="E65" s="2657"/>
      <c r="F65" s="2657"/>
      <c r="G65" s="2657"/>
      <c r="H65" s="2770">
        <v>0</v>
      </c>
      <c r="I65" s="2670">
        <v>0</v>
      </c>
      <c r="J65" s="2670">
        <v>0</v>
      </c>
      <c r="K65" s="2670">
        <v>0</v>
      </c>
      <c r="L65" s="2670">
        <v>0</v>
      </c>
      <c r="M65" s="2670">
        <v>0</v>
      </c>
      <c r="N65" s="2670">
        <v>0</v>
      </c>
      <c r="O65" s="2670">
        <v>0</v>
      </c>
      <c r="P65" s="2670">
        <v>0</v>
      </c>
      <c r="Q65" s="2670">
        <v>0</v>
      </c>
      <c r="R65" s="2670">
        <v>0</v>
      </c>
      <c r="S65" s="2670">
        <v>0</v>
      </c>
      <c r="T65" s="2670">
        <v>0</v>
      </c>
      <c r="U65" s="2670">
        <v>0</v>
      </c>
      <c r="V65" s="2670">
        <v>0</v>
      </c>
      <c r="W65" s="2670">
        <v>0</v>
      </c>
    </row>
    <row r="66" spans="1:23" s="2641" customFormat="1" x14ac:dyDescent="0.2">
      <c r="A66" s="2426">
        <v>65</v>
      </c>
      <c r="B66" s="2652" t="s">
        <v>85</v>
      </c>
      <c r="C66" s="2657"/>
      <c r="D66" s="2657"/>
      <c r="E66" s="2657"/>
      <c r="F66" s="2657"/>
      <c r="G66" s="2657"/>
      <c r="H66" s="2642">
        <f ca="1">SUM(H60:H65)</f>
        <v>0</v>
      </c>
      <c r="I66" s="2642">
        <f t="shared" ref="I66:W66" ca="1" si="23">SUM(I60:I65)</f>
        <v>0</v>
      </c>
      <c r="J66" s="2642">
        <f t="shared" ca="1" si="23"/>
        <v>0</v>
      </c>
      <c r="K66" s="2642">
        <f t="shared" ca="1" si="23"/>
        <v>0</v>
      </c>
      <c r="L66" s="2642">
        <f t="shared" ca="1" si="23"/>
        <v>0</v>
      </c>
      <c r="M66" s="2642">
        <f t="shared" ca="1" si="23"/>
        <v>0</v>
      </c>
      <c r="N66" s="2642">
        <f t="shared" ca="1" si="23"/>
        <v>0</v>
      </c>
      <c r="O66" s="2642">
        <f t="shared" ca="1" si="23"/>
        <v>0</v>
      </c>
      <c r="P66" s="2642">
        <f t="shared" ca="1" si="23"/>
        <v>0</v>
      </c>
      <c r="Q66" s="2642">
        <f t="shared" ca="1" si="23"/>
        <v>0</v>
      </c>
      <c r="R66" s="2642">
        <f t="shared" ca="1" si="23"/>
        <v>0</v>
      </c>
      <c r="S66" s="2642">
        <f t="shared" ca="1" si="23"/>
        <v>0</v>
      </c>
      <c r="T66" s="2642">
        <f t="shared" ca="1" si="23"/>
        <v>0</v>
      </c>
      <c r="U66" s="2642">
        <f t="shared" ca="1" si="23"/>
        <v>0</v>
      </c>
      <c r="V66" s="2642">
        <f t="shared" ca="1" si="23"/>
        <v>0</v>
      </c>
      <c r="W66" s="2642">
        <f t="shared" ca="1" si="23"/>
        <v>0</v>
      </c>
    </row>
    <row r="67" spans="1:23" s="2641" customFormat="1" x14ac:dyDescent="0.2">
      <c r="A67" s="2426">
        <v>66</v>
      </c>
      <c r="B67" s="2652"/>
      <c r="C67" s="2653"/>
      <c r="D67" s="2653"/>
      <c r="E67" s="2653"/>
      <c r="F67" s="2653"/>
      <c r="G67" s="2653"/>
      <c r="H67" s="2653"/>
      <c r="I67" s="2653"/>
      <c r="J67" s="2653"/>
      <c r="K67" s="2653"/>
      <c r="L67" s="2653"/>
      <c r="M67" s="2653"/>
      <c r="N67" s="2653"/>
      <c r="O67" s="2653"/>
      <c r="P67" s="2653"/>
      <c r="Q67" s="2653"/>
      <c r="R67" s="2653"/>
      <c r="S67" s="2653"/>
      <c r="T67" s="2653"/>
      <c r="U67" s="2653"/>
      <c r="V67" s="2653"/>
      <c r="W67" s="2653"/>
    </row>
    <row r="68" spans="1:23" s="2641" customFormat="1" x14ac:dyDescent="0.2">
      <c r="A68" s="2426">
        <v>67</v>
      </c>
      <c r="B68" s="2652"/>
      <c r="C68" s="2653"/>
      <c r="D68" s="2653"/>
      <c r="E68" s="2653"/>
      <c r="F68" s="2653"/>
      <c r="G68" s="2653"/>
      <c r="H68" s="2653"/>
      <c r="I68" s="2653"/>
      <c r="J68" s="2653"/>
      <c r="K68" s="2653"/>
      <c r="L68" s="2653"/>
      <c r="M68" s="2653"/>
      <c r="N68" s="2653"/>
      <c r="O68" s="2653"/>
      <c r="P68" s="2653"/>
      <c r="Q68" s="2653"/>
      <c r="R68" s="2653"/>
      <c r="S68" s="2653"/>
      <c r="T68" s="2653"/>
      <c r="U68" s="2653"/>
      <c r="V68" s="2653"/>
      <c r="W68" s="2653"/>
    </row>
    <row r="69" spans="1:23" s="2641" customFormat="1" x14ac:dyDescent="0.2">
      <c r="A69" s="2426">
        <v>68</v>
      </c>
      <c r="B69" s="2661" t="s">
        <v>1054</v>
      </c>
      <c r="C69" s="2653"/>
      <c r="D69" s="2653"/>
      <c r="E69" s="2653"/>
      <c r="F69" s="2653"/>
      <c r="G69" s="2653"/>
      <c r="H69" s="2653"/>
      <c r="I69" s="2653"/>
      <c r="J69" s="2653"/>
      <c r="K69" s="2653"/>
      <c r="L69" s="2653"/>
      <c r="M69" s="2653"/>
      <c r="N69" s="2653"/>
      <c r="O69" s="2653"/>
      <c r="P69" s="2653"/>
      <c r="Q69" s="2653"/>
      <c r="R69" s="2653"/>
      <c r="S69" s="2653"/>
      <c r="T69" s="2653"/>
      <c r="U69" s="2653"/>
      <c r="V69" s="2653"/>
      <c r="W69" s="2653"/>
    </row>
    <row r="70" spans="1:23" s="2641" customFormat="1" x14ac:dyDescent="0.2">
      <c r="A70" s="2426">
        <v>69</v>
      </c>
      <c r="B70" s="2641" t="s">
        <v>1057</v>
      </c>
      <c r="C70" s="2662"/>
      <c r="D70" s="2662"/>
      <c r="E70" s="2662"/>
      <c r="F70" s="2662"/>
      <c r="G70" s="2662"/>
      <c r="H70" s="2656">
        <f ca="1">IFERROR((H174+H180+H185+H187+H188+H189+H190+H191+H192+H210+H32)-(H216+H217+H218+H219+H220+H221+H222+H223+H224+H225+H226+H236+H56+H239),0)</f>
        <v>0</v>
      </c>
      <c r="I70" s="2656">
        <f ca="1">IFERROR((I174+I180+I185+I187+I188+I189+I190+I191+I192+I210+I32)-(I216+I217+I218+I219+I220+I221+I222+I223+I224+I225+I226+I236+I56+I239),0)</f>
        <v>0</v>
      </c>
      <c r="J70" s="2656">
        <f t="shared" ref="J70:W70" ca="1" si="24">IFERROR((J174+J180+J185+J187+J188+J189+J190+J191+J192+J210+J32)-(J216+J217+J218+J219+J220+J221+J222+J223+J224+J225+J226+J236+J56+J239),0)</f>
        <v>0</v>
      </c>
      <c r="K70" s="2656">
        <f t="shared" ca="1" si="24"/>
        <v>0</v>
      </c>
      <c r="L70" s="2656">
        <f t="shared" ca="1" si="24"/>
        <v>0</v>
      </c>
      <c r="M70" s="2656">
        <f t="shared" ca="1" si="24"/>
        <v>0</v>
      </c>
      <c r="N70" s="2656">
        <f t="shared" ca="1" si="24"/>
        <v>0</v>
      </c>
      <c r="O70" s="2656">
        <f t="shared" ca="1" si="24"/>
        <v>0</v>
      </c>
      <c r="P70" s="2656">
        <f t="shared" ca="1" si="24"/>
        <v>0</v>
      </c>
      <c r="Q70" s="2656">
        <f t="shared" ca="1" si="24"/>
        <v>0</v>
      </c>
      <c r="R70" s="2656">
        <f t="shared" ca="1" si="24"/>
        <v>0</v>
      </c>
      <c r="S70" s="2656">
        <f t="shared" ca="1" si="24"/>
        <v>0</v>
      </c>
      <c r="T70" s="2656">
        <f t="shared" ca="1" si="24"/>
        <v>0</v>
      </c>
      <c r="U70" s="2656">
        <f t="shared" ca="1" si="24"/>
        <v>0</v>
      </c>
      <c r="V70" s="2656">
        <f t="shared" ca="1" si="24"/>
        <v>0</v>
      </c>
      <c r="W70" s="2656">
        <f t="shared" ca="1" si="24"/>
        <v>0</v>
      </c>
    </row>
    <row r="71" spans="1:23" s="2641" customFormat="1" x14ac:dyDescent="0.2">
      <c r="A71" s="2426">
        <v>70</v>
      </c>
      <c r="B71" s="2641" t="s">
        <v>1058</v>
      </c>
      <c r="C71" s="2662"/>
      <c r="D71" s="2662"/>
      <c r="E71" s="2662"/>
      <c r="F71" s="2662"/>
      <c r="G71" s="2662"/>
      <c r="H71" s="2656">
        <f ca="1">IFERROR(IF(H70&gt;0,H70,0),0)</f>
        <v>0</v>
      </c>
      <c r="I71" s="2656">
        <f ca="1">IFERROR(IF(I70&gt;0,I70,0),0)</f>
        <v>0</v>
      </c>
      <c r="J71" s="2656">
        <f t="shared" ref="J71:W71" ca="1" si="25">IFERROR(IF(J70&gt;0,J70,0),0)</f>
        <v>0</v>
      </c>
      <c r="K71" s="2656">
        <f t="shared" ca="1" si="25"/>
        <v>0</v>
      </c>
      <c r="L71" s="2656">
        <f t="shared" ca="1" si="25"/>
        <v>0</v>
      </c>
      <c r="M71" s="2656">
        <f t="shared" ca="1" si="25"/>
        <v>0</v>
      </c>
      <c r="N71" s="2656">
        <f t="shared" ca="1" si="25"/>
        <v>0</v>
      </c>
      <c r="O71" s="2656">
        <f t="shared" ca="1" si="25"/>
        <v>0</v>
      </c>
      <c r="P71" s="2656">
        <f t="shared" ca="1" si="25"/>
        <v>0</v>
      </c>
      <c r="Q71" s="2656">
        <f t="shared" ca="1" si="25"/>
        <v>0</v>
      </c>
      <c r="R71" s="2656">
        <f t="shared" ca="1" si="25"/>
        <v>0</v>
      </c>
      <c r="S71" s="2656">
        <f t="shared" ca="1" si="25"/>
        <v>0</v>
      </c>
      <c r="T71" s="2656">
        <f t="shared" ca="1" si="25"/>
        <v>0</v>
      </c>
      <c r="U71" s="2656">
        <f t="shared" ca="1" si="25"/>
        <v>0</v>
      </c>
      <c r="V71" s="2656">
        <f t="shared" ca="1" si="25"/>
        <v>0</v>
      </c>
      <c r="W71" s="2656">
        <f t="shared" ca="1" si="25"/>
        <v>0</v>
      </c>
    </row>
    <row r="72" spans="1:23" s="2641" customFormat="1" x14ac:dyDescent="0.2">
      <c r="A72" s="2426">
        <v>71</v>
      </c>
      <c r="B72" s="2641" t="s">
        <v>1055</v>
      </c>
      <c r="C72" s="2662"/>
      <c r="D72" s="2662"/>
      <c r="E72" s="2662"/>
      <c r="F72" s="2662"/>
      <c r="G72" s="2662"/>
      <c r="H72" s="2656">
        <f ca="1">IFERROR((H216+H217+H218+H219+H220+H221+H222+H223+H224+H225+H226+H236+H56+H239)-(H174+H180+H185+H187+H188+H189+H190+H191+H192+H210+H32),0)</f>
        <v>0</v>
      </c>
      <c r="I72" s="2656">
        <f ca="1">IFERROR((I216+I217+I218+I219+I220+I221+I222+I223+I224+I225+I226+I236+I56+I239)-(I174+I180+I185+I187+I188+I189+I190+I191+I192+I210+I32),0)</f>
        <v>0</v>
      </c>
      <c r="J72" s="2656">
        <f t="shared" ref="J72:W72" ca="1" si="26">IFERROR((J216+J217+J218+J219+J220+J221+J222+J223+J224+J225+J226+J236+J56+J239)-(J174+J180+J185+J187+J188+J189+J190+J191+J192+J210+J32),0)</f>
        <v>0</v>
      </c>
      <c r="K72" s="2656">
        <f t="shared" ca="1" si="26"/>
        <v>0</v>
      </c>
      <c r="L72" s="2656">
        <f t="shared" ca="1" si="26"/>
        <v>0</v>
      </c>
      <c r="M72" s="2656">
        <f t="shared" ca="1" si="26"/>
        <v>0</v>
      </c>
      <c r="N72" s="2656">
        <f t="shared" ca="1" si="26"/>
        <v>0</v>
      </c>
      <c r="O72" s="2656">
        <f t="shared" ca="1" si="26"/>
        <v>0</v>
      </c>
      <c r="P72" s="2656">
        <f t="shared" ca="1" si="26"/>
        <v>0</v>
      </c>
      <c r="Q72" s="2656">
        <f t="shared" ca="1" si="26"/>
        <v>0</v>
      </c>
      <c r="R72" s="2656">
        <f t="shared" ca="1" si="26"/>
        <v>0</v>
      </c>
      <c r="S72" s="2656">
        <f t="shared" ca="1" si="26"/>
        <v>0</v>
      </c>
      <c r="T72" s="2656">
        <f t="shared" ca="1" si="26"/>
        <v>0</v>
      </c>
      <c r="U72" s="2656">
        <f t="shared" ca="1" si="26"/>
        <v>0</v>
      </c>
      <c r="V72" s="2656">
        <f t="shared" ca="1" si="26"/>
        <v>0</v>
      </c>
      <c r="W72" s="2656">
        <f t="shared" ca="1" si="26"/>
        <v>0</v>
      </c>
    </row>
    <row r="73" spans="1:23" s="2641" customFormat="1" x14ac:dyDescent="0.2">
      <c r="A73" s="2426">
        <v>72</v>
      </c>
      <c r="B73" s="2641" t="s">
        <v>1056</v>
      </c>
      <c r="C73" s="2662"/>
      <c r="D73" s="2662"/>
      <c r="E73" s="2662"/>
      <c r="F73" s="2662"/>
      <c r="G73" s="2662"/>
      <c r="H73" s="2656">
        <f ca="1">IF(H72&gt;0,H72,0)</f>
        <v>0</v>
      </c>
      <c r="I73" s="2656">
        <f ca="1">IF(I72&gt;0,I72,0)</f>
        <v>0</v>
      </c>
      <c r="J73" s="2656">
        <f t="shared" ref="J73:W73" ca="1" si="27">IF(J72&gt;0,J72,0)</f>
        <v>0</v>
      </c>
      <c r="K73" s="2656">
        <f t="shared" ca="1" si="27"/>
        <v>0</v>
      </c>
      <c r="L73" s="2656">
        <f t="shared" ca="1" si="27"/>
        <v>0</v>
      </c>
      <c r="M73" s="2656">
        <f t="shared" ca="1" si="27"/>
        <v>0</v>
      </c>
      <c r="N73" s="2656">
        <f t="shared" ca="1" si="27"/>
        <v>0</v>
      </c>
      <c r="O73" s="2656">
        <f t="shared" ca="1" si="27"/>
        <v>0</v>
      </c>
      <c r="P73" s="2656">
        <f t="shared" ca="1" si="27"/>
        <v>0</v>
      </c>
      <c r="Q73" s="2656">
        <f t="shared" ca="1" si="27"/>
        <v>0</v>
      </c>
      <c r="R73" s="2656">
        <f t="shared" ca="1" si="27"/>
        <v>0</v>
      </c>
      <c r="S73" s="2656">
        <f t="shared" ca="1" si="27"/>
        <v>0</v>
      </c>
      <c r="T73" s="2656">
        <f t="shared" ca="1" si="27"/>
        <v>0</v>
      </c>
      <c r="U73" s="2656">
        <f t="shared" ca="1" si="27"/>
        <v>0</v>
      </c>
      <c r="V73" s="2656">
        <f t="shared" ca="1" si="27"/>
        <v>0</v>
      </c>
      <c r="W73" s="2656">
        <f t="shared" ca="1" si="27"/>
        <v>0</v>
      </c>
    </row>
    <row r="74" spans="1:23" s="2641" customFormat="1" x14ac:dyDescent="0.2">
      <c r="A74" s="2426">
        <v>73</v>
      </c>
      <c r="B74" s="2640"/>
      <c r="C74" s="2636"/>
      <c r="D74" s="2636"/>
      <c r="E74" s="2636"/>
      <c r="F74" s="2636"/>
      <c r="G74" s="2636"/>
      <c r="H74" s="2636"/>
      <c r="I74" s="2636"/>
      <c r="J74" s="2636"/>
      <c r="K74" s="2636"/>
      <c r="L74" s="2636"/>
      <c r="M74" s="2636"/>
      <c r="N74" s="2636"/>
      <c r="O74" s="2636"/>
      <c r="P74" s="2636"/>
      <c r="Q74" s="2636"/>
      <c r="R74" s="2636"/>
      <c r="S74" s="2636"/>
      <c r="T74" s="2636"/>
      <c r="U74" s="2636"/>
      <c r="V74" s="2636"/>
      <c r="W74" s="2636"/>
    </row>
    <row r="75" spans="1:23" s="2641" customFormat="1" x14ac:dyDescent="0.2">
      <c r="A75" s="2426">
        <v>74</v>
      </c>
      <c r="B75" s="2648" t="s">
        <v>337</v>
      </c>
      <c r="C75" s="2649"/>
      <c r="D75" s="2649"/>
      <c r="E75" s="2649"/>
      <c r="F75" s="2649"/>
      <c r="G75" s="2649"/>
      <c r="H75" s="2650"/>
      <c r="I75" s="2650"/>
      <c r="J75" s="2650"/>
      <c r="K75" s="2650"/>
      <c r="L75" s="2650"/>
      <c r="M75" s="2650"/>
      <c r="N75" s="2650"/>
      <c r="O75" s="2650"/>
      <c r="P75" s="2650"/>
      <c r="Q75" s="2650"/>
      <c r="R75" s="2650"/>
      <c r="S75" s="2650"/>
      <c r="T75" s="2650"/>
      <c r="U75" s="2650"/>
      <c r="V75" s="2650"/>
      <c r="W75" s="2650"/>
    </row>
    <row r="76" spans="1:23" s="2641" customFormat="1" x14ac:dyDescent="0.2">
      <c r="A76" s="2426">
        <v>75</v>
      </c>
      <c r="B76" s="2407"/>
      <c r="D76" s="2636"/>
      <c r="E76" s="2776"/>
      <c r="F76" s="2636"/>
      <c r="G76" s="2636"/>
    </row>
    <row r="77" spans="1:23" s="2665" customFormat="1" x14ac:dyDescent="0.2">
      <c r="A77" s="2426">
        <v>76</v>
      </c>
      <c r="B77" s="2663" t="s">
        <v>338</v>
      </c>
      <c r="C77" s="2664">
        <v>0</v>
      </c>
      <c r="D77" s="2664">
        <v>0</v>
      </c>
      <c r="E77" s="2664">
        <v>0</v>
      </c>
      <c r="F77" s="2664">
        <v>0</v>
      </c>
      <c r="G77" s="2664">
        <v>0</v>
      </c>
      <c r="H77" s="2642">
        <f>IFERROR(H78+H79,0)</f>
        <v>0</v>
      </c>
      <c r="I77" s="2642">
        <f t="shared" ref="I77:W77" si="28">IFERROR(I78+I79,0)</f>
        <v>0</v>
      </c>
      <c r="J77" s="2642">
        <f t="shared" si="28"/>
        <v>0</v>
      </c>
      <c r="K77" s="2642">
        <f t="shared" si="28"/>
        <v>0</v>
      </c>
      <c r="L77" s="2642">
        <f t="shared" si="28"/>
        <v>0</v>
      </c>
      <c r="M77" s="2642">
        <f t="shared" si="28"/>
        <v>0</v>
      </c>
      <c r="N77" s="2642">
        <f t="shared" si="28"/>
        <v>0</v>
      </c>
      <c r="O77" s="2642">
        <f t="shared" si="28"/>
        <v>0</v>
      </c>
      <c r="P77" s="2642">
        <f t="shared" si="28"/>
        <v>0</v>
      </c>
      <c r="Q77" s="2642">
        <f t="shared" si="28"/>
        <v>0</v>
      </c>
      <c r="R77" s="2642">
        <f t="shared" si="28"/>
        <v>0</v>
      </c>
      <c r="S77" s="2642">
        <f t="shared" si="28"/>
        <v>0</v>
      </c>
      <c r="T77" s="2642">
        <f t="shared" si="28"/>
        <v>0</v>
      </c>
      <c r="U77" s="2642">
        <f t="shared" si="28"/>
        <v>0</v>
      </c>
      <c r="V77" s="2642">
        <f t="shared" si="28"/>
        <v>0</v>
      </c>
      <c r="W77" s="2642">
        <f t="shared" si="28"/>
        <v>0</v>
      </c>
    </row>
    <row r="78" spans="1:23" s="2665" customFormat="1" hidden="1" x14ac:dyDescent="0.2">
      <c r="A78" s="2426">
        <v>77</v>
      </c>
      <c r="B78" s="2666" t="s">
        <v>671</v>
      </c>
      <c r="C78" s="2642">
        <v>104197.66899999999</v>
      </c>
      <c r="D78" s="2642">
        <f>D77-D79</f>
        <v>0</v>
      </c>
      <c r="E78" s="2642">
        <f>E77-E79</f>
        <v>0</v>
      </c>
      <c r="F78" s="2642">
        <f>F77-F79</f>
        <v>0</v>
      </c>
      <c r="G78" s="2642">
        <f>G77-G79</f>
        <v>0</v>
      </c>
      <c r="H78" s="2656">
        <f>IFERROR(E78*(1+H81),0)</f>
        <v>0</v>
      </c>
      <c r="I78" s="2656">
        <f>IFERROR(H78*(1+I81),0)</f>
        <v>0</v>
      </c>
      <c r="J78" s="2656">
        <f t="shared" ref="J78:W78" si="29">IFERROR(I78*(1+J81),0)</f>
        <v>0</v>
      </c>
      <c r="K78" s="2656">
        <f t="shared" si="29"/>
        <v>0</v>
      </c>
      <c r="L78" s="2656">
        <f t="shared" si="29"/>
        <v>0</v>
      </c>
      <c r="M78" s="2656">
        <f t="shared" si="29"/>
        <v>0</v>
      </c>
      <c r="N78" s="2656">
        <f t="shared" si="29"/>
        <v>0</v>
      </c>
      <c r="O78" s="2656">
        <f t="shared" si="29"/>
        <v>0</v>
      </c>
      <c r="P78" s="2656">
        <f t="shared" si="29"/>
        <v>0</v>
      </c>
      <c r="Q78" s="2656">
        <f t="shared" si="29"/>
        <v>0</v>
      </c>
      <c r="R78" s="2656">
        <f t="shared" si="29"/>
        <v>0</v>
      </c>
      <c r="S78" s="2656">
        <f t="shared" si="29"/>
        <v>0</v>
      </c>
      <c r="T78" s="2656">
        <f t="shared" si="29"/>
        <v>0</v>
      </c>
      <c r="U78" s="2656">
        <f t="shared" si="29"/>
        <v>0</v>
      </c>
      <c r="V78" s="2656">
        <f t="shared" si="29"/>
        <v>0</v>
      </c>
      <c r="W78" s="2656">
        <f t="shared" si="29"/>
        <v>0</v>
      </c>
    </row>
    <row r="79" spans="1:23" s="2665" customFormat="1" hidden="1" x14ac:dyDescent="0.2">
      <c r="A79" s="2426">
        <v>78</v>
      </c>
      <c r="B79" s="2666" t="s">
        <v>672</v>
      </c>
      <c r="C79" s="2664">
        <v>0</v>
      </c>
      <c r="D79" s="2664">
        <v>0</v>
      </c>
      <c r="E79" s="2664">
        <v>0</v>
      </c>
      <c r="F79" s="2664">
        <v>0</v>
      </c>
      <c r="G79" s="2664">
        <v>0</v>
      </c>
      <c r="H79" s="2656">
        <f>+E79*(1+H82)</f>
        <v>0</v>
      </c>
      <c r="I79" s="2656">
        <f t="shared" ref="I79:W79" si="30">+H79*(1+I82)</f>
        <v>0</v>
      </c>
      <c r="J79" s="2656">
        <f t="shared" si="30"/>
        <v>0</v>
      </c>
      <c r="K79" s="2656">
        <f t="shared" si="30"/>
        <v>0</v>
      </c>
      <c r="L79" s="2656">
        <f t="shared" si="30"/>
        <v>0</v>
      </c>
      <c r="M79" s="2656">
        <f t="shared" si="30"/>
        <v>0</v>
      </c>
      <c r="N79" s="2656">
        <f t="shared" si="30"/>
        <v>0</v>
      </c>
      <c r="O79" s="2656">
        <f t="shared" si="30"/>
        <v>0</v>
      </c>
      <c r="P79" s="2656">
        <f t="shared" si="30"/>
        <v>0</v>
      </c>
      <c r="Q79" s="2656">
        <f t="shared" si="30"/>
        <v>0</v>
      </c>
      <c r="R79" s="2656">
        <f t="shared" si="30"/>
        <v>0</v>
      </c>
      <c r="S79" s="2656">
        <f t="shared" si="30"/>
        <v>0</v>
      </c>
      <c r="T79" s="2656">
        <f t="shared" si="30"/>
        <v>0</v>
      </c>
      <c r="U79" s="2656">
        <f t="shared" si="30"/>
        <v>0</v>
      </c>
      <c r="V79" s="2656">
        <f t="shared" si="30"/>
        <v>0</v>
      </c>
      <c r="W79" s="2656">
        <f t="shared" si="30"/>
        <v>0</v>
      </c>
    </row>
    <row r="80" spans="1:23" s="2665" customFormat="1" hidden="1" x14ac:dyDescent="0.2">
      <c r="A80" s="2426">
        <v>79</v>
      </c>
      <c r="B80" s="2666" t="s">
        <v>673</v>
      </c>
      <c r="C80" s="2642">
        <v>0</v>
      </c>
      <c r="D80" s="2642">
        <f>IFERROR(IF(D7=0,0,D79/D7),0)</f>
        <v>0</v>
      </c>
      <c r="E80" s="2642">
        <f t="shared" ref="E80:G80" si="31">IFERROR(IF(E7=0,0,E79/E7),0)</f>
        <v>0</v>
      </c>
      <c r="F80" s="2642">
        <f t="shared" si="31"/>
        <v>0</v>
      </c>
      <c r="G80" s="2642">
        <f t="shared" si="31"/>
        <v>0</v>
      </c>
      <c r="H80" s="2642">
        <f t="shared" ref="H80" ca="1" si="32">IFERROR(IF(H7=0,0,H79/H7),0)</f>
        <v>0</v>
      </c>
      <c r="I80" s="2642">
        <f t="shared" ref="I80" ca="1" si="33">IFERROR(IF(I7=0,0,I79/I7),0)</f>
        <v>0</v>
      </c>
      <c r="J80" s="2642">
        <f t="shared" ref="J80" ca="1" si="34">IFERROR(IF(J7=0,0,J79/J7),0)</f>
        <v>0</v>
      </c>
      <c r="K80" s="2642">
        <f t="shared" ref="K80" ca="1" si="35">IFERROR(IF(K7=0,0,K79/K7),0)</f>
        <v>0</v>
      </c>
      <c r="L80" s="2642">
        <f t="shared" ref="L80" ca="1" si="36">IFERROR(IF(L7=0,0,L79/L7),0)</f>
        <v>0</v>
      </c>
      <c r="M80" s="2642">
        <f t="shared" ref="M80" ca="1" si="37">IFERROR(IF(M7=0,0,M79/M7),0)</f>
        <v>0</v>
      </c>
      <c r="N80" s="2642">
        <f t="shared" ref="N80" ca="1" si="38">IFERROR(IF(N7=0,0,N79/N7),0)</f>
        <v>0</v>
      </c>
      <c r="O80" s="2642">
        <f t="shared" ref="O80" ca="1" si="39">IFERROR(IF(O7=0,0,O79/O7),0)</f>
        <v>0</v>
      </c>
      <c r="P80" s="2642">
        <f t="shared" ref="P80" ca="1" si="40">IFERROR(IF(P7=0,0,P79/P7),0)</f>
        <v>0</v>
      </c>
      <c r="Q80" s="2642">
        <f t="shared" ref="Q80" ca="1" si="41">IFERROR(IF(Q7=0,0,Q79/Q7),0)</f>
        <v>0</v>
      </c>
      <c r="R80" s="2642">
        <f t="shared" ref="R80" ca="1" si="42">IFERROR(IF(R7=0,0,R79/R7),0)</f>
        <v>0</v>
      </c>
      <c r="S80" s="2642">
        <f t="shared" ref="S80" ca="1" si="43">IFERROR(IF(S7=0,0,S79/S7),0)</f>
        <v>0</v>
      </c>
      <c r="T80" s="2642">
        <f t="shared" ref="T80" ca="1" si="44">IFERROR(IF(T7=0,0,T79/T7),0)</f>
        <v>0</v>
      </c>
      <c r="U80" s="2642">
        <f t="shared" ref="U80" ca="1" si="45">IFERROR(IF(U7=0,0,U79/U7),0)</f>
        <v>0</v>
      </c>
      <c r="V80" s="2642">
        <f t="shared" ref="V80" ca="1" si="46">IFERROR(IF(V7=0,0,V79/V7),0)</f>
        <v>0</v>
      </c>
      <c r="W80" s="2642">
        <f t="shared" ref="W80" ca="1" si="47">IFERROR(IF(W7=0,0,W79/W7),0)</f>
        <v>0</v>
      </c>
    </row>
    <row r="81" spans="1:23" s="2665" customFormat="1" x14ac:dyDescent="0.2">
      <c r="A81" s="2426">
        <v>80</v>
      </c>
      <c r="B81" s="2666" t="s">
        <v>674</v>
      </c>
      <c r="C81" s="2644">
        <v>-0.19887260709254262</v>
      </c>
      <c r="D81" s="2644">
        <f ca="1">IF(OFFSET(inicio,78-ROW(inicio),D5003)=0,0,(D78/OFFSET(inicio,78-ROW(inicio),D5003))-1)</f>
        <v>-1</v>
      </c>
      <c r="E81" s="2644">
        <f ca="1">IF(OFFSET(inicio,78-ROW(inicio),E5003)=0,0,(E78/OFFSET(inicio,78-ROW(inicio),E5003))-1)</f>
        <v>0</v>
      </c>
      <c r="F81" s="2644">
        <f ca="1">IF(OR(MONTH(F1)=0,OFFSET(inicio,78-ROW(inicio),F5003)=0),0, (((F78/MONTH(F1))*12)/OFFSET(inicio,78-ROW(inicio),F5003))-1)</f>
        <v>0</v>
      </c>
      <c r="G81" s="2644">
        <f ca="1">IF(OR(MONTH(G1)=0,OFFSET(inicio,78-ROW(inicio),G5003)=0),0, (((G78/MONTH(G1))*12)/OFFSET(inicio,78-ROW(inicio),G5003))-1)</f>
        <v>0</v>
      </c>
      <c r="H81" s="2667" t="str">
        <f>IFERROR('Bases Proy'!F33,0)</f>
        <v/>
      </c>
      <c r="I81" s="2667" t="str">
        <f>IFERROR('Bases Proy'!G33,0)</f>
        <v/>
      </c>
      <c r="J81" s="2667" t="str">
        <f>IFERROR('Bases Proy'!H33,0)</f>
        <v/>
      </c>
      <c r="K81" s="2667" t="str">
        <f>IFERROR('Bases Proy'!I33,0)</f>
        <v/>
      </c>
      <c r="L81" s="2667" t="str">
        <f>IFERROR('Bases Proy'!J33,0)</f>
        <v/>
      </c>
      <c r="M81" s="2667" t="str">
        <f>IFERROR('Bases Proy'!K33,0)</f>
        <v/>
      </c>
      <c r="N81" s="2667" t="str">
        <f>IFERROR('Bases Proy'!L33,0)</f>
        <v/>
      </c>
      <c r="O81" s="2667">
        <f>IFERROR('Bases Proy'!M33,0)</f>
        <v>0</v>
      </c>
      <c r="P81" s="2667">
        <f>IFERROR('Bases Proy'!N33,0)</f>
        <v>0</v>
      </c>
      <c r="Q81" s="2667">
        <f>IFERROR('Bases Proy'!O33,0)</f>
        <v>0</v>
      </c>
      <c r="R81" s="2667">
        <f>IFERROR('Bases Proy'!P33,0)</f>
        <v>0</v>
      </c>
      <c r="S81" s="2667">
        <f>IFERROR('Bases Proy'!Q33,0)</f>
        <v>0</v>
      </c>
      <c r="T81" s="2667">
        <f>IFERROR('Bases Proy'!R33,0)</f>
        <v>0</v>
      </c>
      <c r="U81" s="2667">
        <f>IFERROR('Bases Proy'!S33,0)</f>
        <v>0</v>
      </c>
      <c r="V81" s="2667">
        <f>IFERROR('Bases Proy'!T33,0)</f>
        <v>0</v>
      </c>
      <c r="W81" s="2667">
        <f>IFERROR('Bases Proy'!U33,0)</f>
        <v>0</v>
      </c>
    </row>
    <row r="82" spans="1:23" s="2665" customFormat="1" x14ac:dyDescent="0.2">
      <c r="A82" s="2426">
        <v>81</v>
      </c>
      <c r="B82" s="2666" t="s">
        <v>675</v>
      </c>
      <c r="C82" s="2644">
        <v>0</v>
      </c>
      <c r="D82" s="2644">
        <f ca="1">IF(OFFSET(inicio,80-ROW(inicio),D5003)=0,0,(D80/OFFSET(inicio,80-ROW(inicio),D5003))-1)</f>
        <v>0</v>
      </c>
      <c r="E82" s="2644">
        <f ca="1">IF(OFFSET(inicio,80-ROW(inicio),E5003)=0,0,(E80/OFFSET(inicio,80-ROW(inicio),E5003))-1)</f>
        <v>0</v>
      </c>
      <c r="F82" s="2644">
        <f ca="1">IF(OR(MONTH(F1)=0,OFFSET(inicio,80-ROW(inicio),F5003)=0),0,(((F80/MONTH(F1))*12)/OFFSET(inicio,80-ROW(inicio),F5003))-1)</f>
        <v>0</v>
      </c>
      <c r="G82" s="2644">
        <f ca="1">IF(OR(MONTH(G1)=0,OFFSET(inicio,80-ROW(inicio),G5003)=0),0,(((G80/MONTH(G1))*12)/OFFSET(inicio,80-ROW(inicio),G5003))-1)</f>
        <v>0</v>
      </c>
      <c r="H82" s="2644"/>
      <c r="I82" s="2644"/>
      <c r="J82" s="2644"/>
      <c r="K82" s="2644"/>
      <c r="L82" s="2644"/>
      <c r="M82" s="2644"/>
      <c r="N82" s="2644"/>
      <c r="O82" s="2644"/>
      <c r="P82" s="2644"/>
      <c r="Q82" s="2644"/>
      <c r="R82" s="2644"/>
      <c r="S82" s="2644"/>
      <c r="T82" s="2644"/>
      <c r="U82" s="2644"/>
      <c r="V82" s="2644"/>
      <c r="W82" s="2644"/>
    </row>
    <row r="83" spans="1:23" s="2665" customFormat="1" x14ac:dyDescent="0.2">
      <c r="A83" s="2426">
        <v>82</v>
      </c>
      <c r="B83" s="2668"/>
      <c r="C83" s="2653"/>
      <c r="D83" s="2653"/>
      <c r="E83" s="2653"/>
      <c r="F83" s="2653"/>
      <c r="G83" s="2653"/>
    </row>
    <row r="84" spans="1:23" s="2665" customFormat="1" x14ac:dyDescent="0.2">
      <c r="A84" s="2426">
        <v>83</v>
      </c>
      <c r="B84" s="2669" t="s">
        <v>1118</v>
      </c>
      <c r="C84" s="2664">
        <v>0</v>
      </c>
      <c r="D84" s="2664">
        <v>0</v>
      </c>
      <c r="E84" s="2664">
        <v>0</v>
      </c>
      <c r="F84" s="2664">
        <v>0</v>
      </c>
      <c r="G84" s="2664">
        <v>0</v>
      </c>
      <c r="H84" s="2656">
        <f>IFERROR(H85+H86+H89,0)</f>
        <v>0</v>
      </c>
      <c r="I84" s="2656">
        <f t="shared" ref="I84:W84" si="48">IFERROR(I85+I86+I89,0)</f>
        <v>0</v>
      </c>
      <c r="J84" s="2656">
        <f t="shared" si="48"/>
        <v>0</v>
      </c>
      <c r="K84" s="2656">
        <f t="shared" si="48"/>
        <v>0</v>
      </c>
      <c r="L84" s="2656">
        <f t="shared" si="48"/>
        <v>0</v>
      </c>
      <c r="M84" s="2656">
        <f t="shared" si="48"/>
        <v>0</v>
      </c>
      <c r="N84" s="2656">
        <f t="shared" si="48"/>
        <v>0</v>
      </c>
      <c r="O84" s="2656">
        <f t="shared" si="48"/>
        <v>0</v>
      </c>
      <c r="P84" s="2656">
        <f t="shared" si="48"/>
        <v>0</v>
      </c>
      <c r="Q84" s="2656">
        <f t="shared" si="48"/>
        <v>0</v>
      </c>
      <c r="R84" s="2656">
        <f t="shared" si="48"/>
        <v>0</v>
      </c>
      <c r="S84" s="2656">
        <f t="shared" si="48"/>
        <v>0</v>
      </c>
      <c r="T84" s="2656">
        <f t="shared" si="48"/>
        <v>0</v>
      </c>
      <c r="U84" s="2656">
        <f t="shared" si="48"/>
        <v>0</v>
      </c>
      <c r="V84" s="2656">
        <f t="shared" si="48"/>
        <v>0</v>
      </c>
      <c r="W84" s="2656">
        <f t="shared" si="48"/>
        <v>0</v>
      </c>
    </row>
    <row r="85" spans="1:23" s="2665" customFormat="1" x14ac:dyDescent="0.2">
      <c r="A85" s="2426">
        <v>84</v>
      </c>
      <c r="B85" s="2666" t="s">
        <v>685</v>
      </c>
      <c r="C85" s="2664">
        <v>0</v>
      </c>
      <c r="D85" s="2664">
        <v>0</v>
      </c>
      <c r="E85" s="2664">
        <v>0</v>
      </c>
      <c r="F85" s="2664">
        <v>0</v>
      </c>
      <c r="G85" s="2664">
        <v>0</v>
      </c>
      <c r="H85" s="2670">
        <f>IFERROR('Bases Proy'!$E$50*'Bases Proy'!F61,0)</f>
        <v>0</v>
      </c>
      <c r="I85" s="2670">
        <f>IFERROR('Bases Proy'!$E$50*'Bases Proy'!G61,0)</f>
        <v>0</v>
      </c>
      <c r="J85" s="2670">
        <f>IFERROR('Bases Proy'!$E$50*'Bases Proy'!H61,0)</f>
        <v>0</v>
      </c>
      <c r="K85" s="2670">
        <f>IFERROR('Bases Proy'!$E$50*'Bases Proy'!I61,0)</f>
        <v>0</v>
      </c>
      <c r="L85" s="2670">
        <f>IFERROR('Bases Proy'!$E$50*'Bases Proy'!J61,0)</f>
        <v>0</v>
      </c>
      <c r="M85" s="2670">
        <f>IFERROR('Bases Proy'!$E$50*'Bases Proy'!K61,0)</f>
        <v>0</v>
      </c>
      <c r="N85" s="2670">
        <f>IFERROR('Bases Proy'!$E$50*'Bases Proy'!L61,0)</f>
        <v>0</v>
      </c>
      <c r="O85" s="2670">
        <f>IFERROR('Bases Proy'!$E$50*'Bases Proy'!M61,0)</f>
        <v>0</v>
      </c>
      <c r="P85" s="2670">
        <f>IFERROR('Bases Proy'!$E$50*'Bases Proy'!N61,0)</f>
        <v>0</v>
      </c>
      <c r="Q85" s="2670">
        <f>IFERROR('Bases Proy'!$E$50*'Bases Proy'!O61,0)</f>
        <v>0</v>
      </c>
      <c r="R85" s="2670">
        <f>IFERROR('Bases Proy'!$E$50*'Bases Proy'!P61,0)</f>
        <v>0</v>
      </c>
      <c r="S85" s="2670">
        <f>IFERROR('Bases Proy'!$E$50*'Bases Proy'!Q61,0)</f>
        <v>0</v>
      </c>
      <c r="T85" s="2670">
        <f>IFERROR('Bases Proy'!$E$50*'Bases Proy'!R61,0)</f>
        <v>0</v>
      </c>
      <c r="U85" s="2670">
        <f>IFERROR('Bases Proy'!$E$50*'Bases Proy'!S61,0)</f>
        <v>0</v>
      </c>
      <c r="V85" s="2670">
        <f>IFERROR('Bases Proy'!$E$50*'Bases Proy'!T61,0)</f>
        <v>0</v>
      </c>
      <c r="W85" s="2670">
        <f>IFERROR('Bases Proy'!$E$50*'Bases Proy'!U61,0)</f>
        <v>0</v>
      </c>
    </row>
    <row r="86" spans="1:23" s="2665" customFormat="1" x14ac:dyDescent="0.2">
      <c r="A86" s="2426">
        <v>85</v>
      </c>
      <c r="B86" s="2666" t="s">
        <v>686</v>
      </c>
      <c r="C86" s="2664">
        <v>0</v>
      </c>
      <c r="D86" s="2664">
        <v>0</v>
      </c>
      <c r="E86" s="2664">
        <v>0</v>
      </c>
      <c r="F86" s="2664">
        <v>0</v>
      </c>
      <c r="G86" s="2664">
        <v>0</v>
      </c>
      <c r="H86" s="2671">
        <f>IFERROR('Bases Proy'!F67*'Bases Proy'!$E$54,0)</f>
        <v>0</v>
      </c>
      <c r="I86" s="2671">
        <f>IFERROR('Bases Proy'!G67*'Bases Proy'!$E$54,0)</f>
        <v>0</v>
      </c>
      <c r="J86" s="2671">
        <f>IFERROR('Bases Proy'!H67*'Bases Proy'!$E$54,0)</f>
        <v>0</v>
      </c>
      <c r="K86" s="2671">
        <f>IFERROR('Bases Proy'!I67*'Bases Proy'!$E$54,0)</f>
        <v>0</v>
      </c>
      <c r="L86" s="2671">
        <f>IFERROR('Bases Proy'!J67*'Bases Proy'!$E$54,0)</f>
        <v>0</v>
      </c>
      <c r="M86" s="2671">
        <f>IFERROR('Bases Proy'!K67*'Bases Proy'!$E$54,0)</f>
        <v>0</v>
      </c>
      <c r="N86" s="2671">
        <f>IFERROR('Bases Proy'!L67*'Bases Proy'!$E$54,0)</f>
        <v>0</v>
      </c>
      <c r="O86" s="2671">
        <f>IFERROR('Bases Proy'!M67*'Bases Proy'!$E$54,0)</f>
        <v>0</v>
      </c>
      <c r="P86" s="2671">
        <f>IFERROR('Bases Proy'!N67*'Bases Proy'!$E$54,0)</f>
        <v>0</v>
      </c>
      <c r="Q86" s="2671">
        <f>IFERROR('Bases Proy'!O67*'Bases Proy'!$E$54,0)</f>
        <v>0</v>
      </c>
      <c r="R86" s="2671">
        <f>IFERROR('Bases Proy'!P67*'Bases Proy'!$E$54,0)</f>
        <v>0</v>
      </c>
      <c r="S86" s="2671">
        <f>IFERROR('Bases Proy'!Q67*'Bases Proy'!$E$54,0)</f>
        <v>0</v>
      </c>
      <c r="T86" s="2671">
        <f>IFERROR('Bases Proy'!R67*'Bases Proy'!$E$54,0)</f>
        <v>0</v>
      </c>
      <c r="U86" s="2671">
        <f>IFERROR('Bases Proy'!S67*'Bases Proy'!$E$54,0)</f>
        <v>0</v>
      </c>
      <c r="V86" s="2671">
        <f>IFERROR('Bases Proy'!T67*'Bases Proy'!$E$54,0)</f>
        <v>0</v>
      </c>
      <c r="W86" s="2671">
        <f>IFERROR('Bases Proy'!U67*'Bases Proy'!$E$54,0)</f>
        <v>0</v>
      </c>
    </row>
    <row r="87" spans="1:23" s="2665" customFormat="1" hidden="1" x14ac:dyDescent="0.2">
      <c r="A87" s="2426">
        <v>86</v>
      </c>
      <c r="B87" s="2666" t="s">
        <v>702</v>
      </c>
      <c r="C87" s="2642">
        <f t="shared" ref="C87:H87" si="49">C84-C85-C86</f>
        <v>0</v>
      </c>
      <c r="D87" s="2642">
        <f t="shared" si="49"/>
        <v>0</v>
      </c>
      <c r="E87" s="2642">
        <f t="shared" si="49"/>
        <v>0</v>
      </c>
      <c r="F87" s="2642">
        <f t="shared" si="49"/>
        <v>0</v>
      </c>
      <c r="G87" s="2642">
        <f t="shared" si="49"/>
        <v>0</v>
      </c>
      <c r="H87" s="2642">
        <f t="shared" si="49"/>
        <v>0</v>
      </c>
      <c r="I87" s="2642">
        <f t="shared" ref="I87:W87" si="50">I84-I85-I86</f>
        <v>0</v>
      </c>
      <c r="J87" s="2642">
        <f t="shared" si="50"/>
        <v>0</v>
      </c>
      <c r="K87" s="2642">
        <f t="shared" si="50"/>
        <v>0</v>
      </c>
      <c r="L87" s="2642">
        <f t="shared" si="50"/>
        <v>0</v>
      </c>
      <c r="M87" s="2642">
        <f t="shared" si="50"/>
        <v>0</v>
      </c>
      <c r="N87" s="2642">
        <f t="shared" si="50"/>
        <v>0</v>
      </c>
      <c r="O87" s="2642">
        <f t="shared" si="50"/>
        <v>0</v>
      </c>
      <c r="P87" s="2642">
        <f t="shared" si="50"/>
        <v>0</v>
      </c>
      <c r="Q87" s="2642">
        <f t="shared" si="50"/>
        <v>0</v>
      </c>
      <c r="R87" s="2642">
        <f t="shared" si="50"/>
        <v>0</v>
      </c>
      <c r="S87" s="2642">
        <f t="shared" si="50"/>
        <v>0</v>
      </c>
      <c r="T87" s="2642">
        <f t="shared" si="50"/>
        <v>0</v>
      </c>
      <c r="U87" s="2642">
        <f t="shared" si="50"/>
        <v>0</v>
      </c>
      <c r="V87" s="2642">
        <f t="shared" si="50"/>
        <v>0</v>
      </c>
      <c r="W87" s="2642">
        <f t="shared" si="50"/>
        <v>0</v>
      </c>
    </row>
    <row r="88" spans="1:23" s="2665" customFormat="1" hidden="1" x14ac:dyDescent="0.2">
      <c r="A88" s="2426">
        <v>87</v>
      </c>
      <c r="B88" s="2672" t="s">
        <v>687</v>
      </c>
      <c r="C88" s="2642">
        <f t="shared" ref="C88:H88" si="51">C410</f>
        <v>0</v>
      </c>
      <c r="D88" s="2642">
        <f t="shared" si="51"/>
        <v>0</v>
      </c>
      <c r="E88" s="2642">
        <f t="shared" si="51"/>
        <v>0</v>
      </c>
      <c r="F88" s="2642">
        <f t="shared" si="51"/>
        <v>0</v>
      </c>
      <c r="G88" s="2642">
        <f t="shared" si="51"/>
        <v>0</v>
      </c>
      <c r="H88" s="2642">
        <f t="shared" si="51"/>
        <v>0</v>
      </c>
      <c r="I88" s="2642">
        <f t="shared" ref="I88:W88" si="52">I410</f>
        <v>0</v>
      </c>
      <c r="J88" s="2642">
        <f t="shared" si="52"/>
        <v>0</v>
      </c>
      <c r="K88" s="2642">
        <f t="shared" si="52"/>
        <v>0</v>
      </c>
      <c r="L88" s="2642">
        <f t="shared" si="52"/>
        <v>0</v>
      </c>
      <c r="M88" s="2642">
        <f t="shared" si="52"/>
        <v>0</v>
      </c>
      <c r="N88" s="2642">
        <f t="shared" si="52"/>
        <v>0</v>
      </c>
      <c r="O88" s="2642">
        <f t="shared" si="52"/>
        <v>0</v>
      </c>
      <c r="P88" s="2642">
        <f t="shared" si="52"/>
        <v>0</v>
      </c>
      <c r="Q88" s="2642">
        <f t="shared" si="52"/>
        <v>0</v>
      </c>
      <c r="R88" s="2642">
        <f t="shared" si="52"/>
        <v>0</v>
      </c>
      <c r="S88" s="2642">
        <f t="shared" si="52"/>
        <v>0</v>
      </c>
      <c r="T88" s="2642">
        <f t="shared" si="52"/>
        <v>0</v>
      </c>
      <c r="U88" s="2642">
        <f t="shared" si="52"/>
        <v>0</v>
      </c>
      <c r="V88" s="2642">
        <f t="shared" si="52"/>
        <v>0</v>
      </c>
      <c r="W88" s="2642">
        <f t="shared" si="52"/>
        <v>0</v>
      </c>
    </row>
    <row r="89" spans="1:23" s="2665" customFormat="1" hidden="1" x14ac:dyDescent="0.2">
      <c r="A89" s="2426">
        <v>88</v>
      </c>
      <c r="B89" s="2666" t="s">
        <v>683</v>
      </c>
      <c r="C89" s="2656">
        <f t="shared" ref="C89:G89" si="53">C87-C88</f>
        <v>0</v>
      </c>
      <c r="D89" s="2656">
        <f t="shared" si="53"/>
        <v>0</v>
      </c>
      <c r="E89" s="2656">
        <f t="shared" si="53"/>
        <v>0</v>
      </c>
      <c r="F89" s="2656">
        <f t="shared" si="53"/>
        <v>0</v>
      </c>
      <c r="G89" s="2656">
        <f t="shared" si="53"/>
        <v>0</v>
      </c>
      <c r="H89" s="2656">
        <f>IFERROR(H77*H90,0)</f>
        <v>0</v>
      </c>
      <c r="I89" s="2656">
        <f t="shared" ref="I89:W89" si="54">IFERROR(I77*I90,0)</f>
        <v>0</v>
      </c>
      <c r="J89" s="2656">
        <f t="shared" si="54"/>
        <v>0</v>
      </c>
      <c r="K89" s="2656">
        <f t="shared" si="54"/>
        <v>0</v>
      </c>
      <c r="L89" s="2656">
        <f t="shared" si="54"/>
        <v>0</v>
      </c>
      <c r="M89" s="2656">
        <f t="shared" si="54"/>
        <v>0</v>
      </c>
      <c r="N89" s="2656">
        <f t="shared" si="54"/>
        <v>0</v>
      </c>
      <c r="O89" s="2656">
        <f t="shared" si="54"/>
        <v>0</v>
      </c>
      <c r="P89" s="2656">
        <f t="shared" si="54"/>
        <v>0</v>
      </c>
      <c r="Q89" s="2656">
        <f t="shared" si="54"/>
        <v>0</v>
      </c>
      <c r="R89" s="2656">
        <f t="shared" si="54"/>
        <v>0</v>
      </c>
      <c r="S89" s="2656">
        <f t="shared" si="54"/>
        <v>0</v>
      </c>
      <c r="T89" s="2656">
        <f t="shared" si="54"/>
        <v>0</v>
      </c>
      <c r="U89" s="2656">
        <f t="shared" si="54"/>
        <v>0</v>
      </c>
      <c r="V89" s="2656">
        <f t="shared" si="54"/>
        <v>0</v>
      </c>
      <c r="W89" s="2656">
        <f t="shared" si="54"/>
        <v>0</v>
      </c>
    </row>
    <row r="90" spans="1:23" s="2665" customFormat="1" x14ac:dyDescent="0.2">
      <c r="A90" s="2426">
        <v>89</v>
      </c>
      <c r="B90" s="2666" t="s">
        <v>684</v>
      </c>
      <c r="C90" s="2673">
        <f>IF(C77=0,0,C89/C77)</f>
        <v>0</v>
      </c>
      <c r="D90" s="2673">
        <f>IF(D77=0,0,D89/D77)</f>
        <v>0</v>
      </c>
      <c r="E90" s="2673">
        <f>IF(E77=0,0,E89/E77)</f>
        <v>0</v>
      </c>
      <c r="F90" s="2673">
        <f>IF(F77=0,0,F89/F77)</f>
        <v>0</v>
      </c>
      <c r="G90" s="2673">
        <f>IF(G77=0,0,G89/G77)</f>
        <v>0</v>
      </c>
      <c r="H90" s="2667" t="str">
        <f>IFERROR('Bases Proy'!F38,0)</f>
        <v/>
      </c>
      <c r="I90" s="2667" t="str">
        <f>IFERROR('Bases Proy'!G38,0)</f>
        <v/>
      </c>
      <c r="J90" s="2667" t="str">
        <f>IFERROR('Bases Proy'!H38,0)</f>
        <v/>
      </c>
      <c r="K90" s="2667" t="str">
        <f>IFERROR('Bases Proy'!I38,0)</f>
        <v/>
      </c>
      <c r="L90" s="2667" t="str">
        <f>IFERROR('Bases Proy'!J38,0)</f>
        <v/>
      </c>
      <c r="M90" s="2667" t="str">
        <f>IFERROR('Bases Proy'!K38,0)</f>
        <v/>
      </c>
      <c r="N90" s="2667" t="str">
        <f>IFERROR('Bases Proy'!L38,0)</f>
        <v/>
      </c>
      <c r="O90" s="2667">
        <f>IFERROR('Bases Proy'!M38,0)</f>
        <v>0</v>
      </c>
      <c r="P90" s="2667">
        <f>IFERROR('Bases Proy'!N38,0)</f>
        <v>0</v>
      </c>
      <c r="Q90" s="2667">
        <f>IFERROR('Bases Proy'!O38,0)</f>
        <v>0</v>
      </c>
      <c r="R90" s="2667">
        <f>IFERROR('Bases Proy'!P38,0)</f>
        <v>0</v>
      </c>
      <c r="S90" s="2667">
        <f>IFERROR('Bases Proy'!Q38,0)</f>
        <v>0</v>
      </c>
      <c r="T90" s="2667">
        <f>IFERROR('Bases Proy'!R38,0)</f>
        <v>0</v>
      </c>
      <c r="U90" s="2667">
        <f>IFERROR('Bases Proy'!S38,0)</f>
        <v>0</v>
      </c>
      <c r="V90" s="2667">
        <f>IFERROR('Bases Proy'!T38,0)</f>
        <v>0</v>
      </c>
      <c r="W90" s="2667">
        <f>IFERROR('Bases Proy'!U38,0)</f>
        <v>0</v>
      </c>
    </row>
    <row r="91" spans="1:23" s="2665" customFormat="1" x14ac:dyDescent="0.2">
      <c r="A91" s="2426">
        <v>90</v>
      </c>
      <c r="B91" s="2674"/>
      <c r="C91" s="2653"/>
      <c r="D91" s="2653"/>
      <c r="E91" s="2653"/>
      <c r="F91" s="2653"/>
      <c r="G91" s="2653"/>
    </row>
    <row r="92" spans="1:23" s="2665" customFormat="1" x14ac:dyDescent="0.2">
      <c r="A92" s="2426">
        <v>91</v>
      </c>
      <c r="B92" s="2675" t="s">
        <v>340</v>
      </c>
      <c r="C92" s="2676">
        <f>C77-C89</f>
        <v>0</v>
      </c>
      <c r="D92" s="2676">
        <f>D77-D89</f>
        <v>0</v>
      </c>
      <c r="E92" s="2676">
        <f t="shared" ref="E92:W92" si="55">E77-E89</f>
        <v>0</v>
      </c>
      <c r="F92" s="2676">
        <f t="shared" si="55"/>
        <v>0</v>
      </c>
      <c r="G92" s="2676">
        <f t="shared" si="55"/>
        <v>0</v>
      </c>
      <c r="H92" s="2677">
        <f t="shared" si="55"/>
        <v>0</v>
      </c>
      <c r="I92" s="2677">
        <f t="shared" si="55"/>
        <v>0</v>
      </c>
      <c r="J92" s="2677">
        <f t="shared" si="55"/>
        <v>0</v>
      </c>
      <c r="K92" s="2677">
        <f t="shared" si="55"/>
        <v>0</v>
      </c>
      <c r="L92" s="2677">
        <f t="shared" si="55"/>
        <v>0</v>
      </c>
      <c r="M92" s="2677">
        <f t="shared" si="55"/>
        <v>0</v>
      </c>
      <c r="N92" s="2677">
        <f t="shared" si="55"/>
        <v>0</v>
      </c>
      <c r="O92" s="2677">
        <f t="shared" si="55"/>
        <v>0</v>
      </c>
      <c r="P92" s="2677">
        <f t="shared" si="55"/>
        <v>0</v>
      </c>
      <c r="Q92" s="2677">
        <f t="shared" si="55"/>
        <v>0</v>
      </c>
      <c r="R92" s="2677">
        <f t="shared" si="55"/>
        <v>0</v>
      </c>
      <c r="S92" s="2677">
        <f t="shared" si="55"/>
        <v>0</v>
      </c>
      <c r="T92" s="2677">
        <f t="shared" si="55"/>
        <v>0</v>
      </c>
      <c r="U92" s="2677">
        <f t="shared" si="55"/>
        <v>0</v>
      </c>
      <c r="V92" s="2677">
        <f t="shared" si="55"/>
        <v>0</v>
      </c>
      <c r="W92" s="2677">
        <f t="shared" si="55"/>
        <v>0</v>
      </c>
    </row>
    <row r="93" spans="1:23" s="2665" customFormat="1" x14ac:dyDescent="0.2">
      <c r="A93" s="2426">
        <v>92</v>
      </c>
      <c r="B93" s="2678"/>
      <c r="C93" s="2679"/>
      <c r="D93" s="2679"/>
      <c r="E93" s="2679"/>
      <c r="F93" s="2679"/>
      <c r="G93" s="2679"/>
    </row>
    <row r="94" spans="1:23" s="2665" customFormat="1" x14ac:dyDescent="0.2">
      <c r="A94" s="2426">
        <v>93</v>
      </c>
      <c r="B94" s="2669" t="s">
        <v>676</v>
      </c>
      <c r="C94" s="2642">
        <f>C96-C97-C98-C99-C100-C101</f>
        <v>0</v>
      </c>
      <c r="D94" s="2642">
        <f>D96-D97-D98-D99-D100-D101</f>
        <v>0</v>
      </c>
      <c r="E94" s="2642">
        <f>E96-E97-E98-E99-E100-E101</f>
        <v>0</v>
      </c>
      <c r="F94" s="2642">
        <f>F96-F97-F98-F99-F100-F101</f>
        <v>0</v>
      </c>
      <c r="G94" s="2642">
        <f>G96-G97-G98-G99-G100-G101</f>
        <v>0</v>
      </c>
      <c r="H94" s="2656">
        <f>IFERROR(H95*H77,0)</f>
        <v>0</v>
      </c>
      <c r="I94" s="2656">
        <f t="shared" ref="I94:W94" si="56">IFERROR(I95*I77,0)</f>
        <v>0</v>
      </c>
      <c r="J94" s="2656">
        <f t="shared" si="56"/>
        <v>0</v>
      </c>
      <c r="K94" s="2656">
        <f t="shared" si="56"/>
        <v>0</v>
      </c>
      <c r="L94" s="2656">
        <f t="shared" si="56"/>
        <v>0</v>
      </c>
      <c r="M94" s="2656">
        <f t="shared" si="56"/>
        <v>0</v>
      </c>
      <c r="N94" s="2656">
        <f t="shared" si="56"/>
        <v>0</v>
      </c>
      <c r="O94" s="2656">
        <f t="shared" si="56"/>
        <v>0</v>
      </c>
      <c r="P94" s="2656">
        <f t="shared" si="56"/>
        <v>0</v>
      </c>
      <c r="Q94" s="2656">
        <f t="shared" si="56"/>
        <v>0</v>
      </c>
      <c r="R94" s="2656">
        <f t="shared" si="56"/>
        <v>0</v>
      </c>
      <c r="S94" s="2656">
        <f t="shared" si="56"/>
        <v>0</v>
      </c>
      <c r="T94" s="2656">
        <f t="shared" si="56"/>
        <v>0</v>
      </c>
      <c r="U94" s="2656">
        <f t="shared" si="56"/>
        <v>0</v>
      </c>
      <c r="V94" s="2656">
        <f t="shared" si="56"/>
        <v>0</v>
      </c>
      <c r="W94" s="2656">
        <f t="shared" si="56"/>
        <v>0</v>
      </c>
    </row>
    <row r="95" spans="1:23" s="2665" customFormat="1" x14ac:dyDescent="0.2">
      <c r="A95" s="2426">
        <v>94</v>
      </c>
      <c r="B95" s="2666" t="s">
        <v>703</v>
      </c>
      <c r="C95" s="2673">
        <f t="shared" ref="C95:G95" si="57">IF(C77=0,0,C94/C77)</f>
        <v>0</v>
      </c>
      <c r="D95" s="2673">
        <f t="shared" si="57"/>
        <v>0</v>
      </c>
      <c r="E95" s="2673">
        <f t="shared" si="57"/>
        <v>0</v>
      </c>
      <c r="F95" s="2673">
        <f t="shared" si="57"/>
        <v>0</v>
      </c>
      <c r="G95" s="2673">
        <f t="shared" si="57"/>
        <v>0</v>
      </c>
      <c r="H95" s="2680" t="str">
        <f>IFERROR('Bases Proy'!F43,0)</f>
        <v/>
      </c>
      <c r="I95" s="2680" t="str">
        <f>IFERROR('Bases Proy'!G43,0)</f>
        <v/>
      </c>
      <c r="J95" s="2680" t="str">
        <f>IFERROR('Bases Proy'!H43,0)</f>
        <v/>
      </c>
      <c r="K95" s="2680" t="str">
        <f>IFERROR('Bases Proy'!I43,0)</f>
        <v/>
      </c>
      <c r="L95" s="2680" t="str">
        <f>IFERROR('Bases Proy'!J43,0)</f>
        <v/>
      </c>
      <c r="M95" s="2680" t="str">
        <f>IFERROR('Bases Proy'!K43,0)</f>
        <v/>
      </c>
      <c r="N95" s="2680" t="str">
        <f>IFERROR('Bases Proy'!L43,0)</f>
        <v/>
      </c>
      <c r="O95" s="2680">
        <f>IFERROR('Bases Proy'!M43,0)</f>
        <v>0</v>
      </c>
      <c r="P95" s="2680">
        <f>IFERROR('Bases Proy'!N43,0)</f>
        <v>0</v>
      </c>
      <c r="Q95" s="2680">
        <f>IFERROR('Bases Proy'!O43,0)</f>
        <v>0</v>
      </c>
      <c r="R95" s="2680">
        <f>IFERROR('Bases Proy'!P43,0)</f>
        <v>0</v>
      </c>
      <c r="S95" s="2680">
        <f>IFERROR('Bases Proy'!Q43,0)</f>
        <v>0</v>
      </c>
      <c r="T95" s="2680">
        <f>IFERROR('Bases Proy'!R43,0)</f>
        <v>0</v>
      </c>
      <c r="U95" s="2680">
        <f>IFERROR('Bases Proy'!S43,0)</f>
        <v>0</v>
      </c>
      <c r="V95" s="2680">
        <f>IFERROR('Bases Proy'!T43,0)</f>
        <v>0</v>
      </c>
      <c r="W95" s="2680">
        <f>IFERROR('Bases Proy'!U43,0)</f>
        <v>0</v>
      </c>
    </row>
    <row r="96" spans="1:23" s="2665" customFormat="1" x14ac:dyDescent="0.2">
      <c r="A96" s="2426">
        <v>95</v>
      </c>
      <c r="B96" s="2666" t="s">
        <v>678</v>
      </c>
      <c r="C96" s="2664">
        <v>0</v>
      </c>
      <c r="D96" s="2664">
        <v>0</v>
      </c>
      <c r="E96" s="2664">
        <v>0</v>
      </c>
      <c r="F96" s="2664">
        <v>0</v>
      </c>
      <c r="G96" s="2664">
        <v>0</v>
      </c>
      <c r="H96" s="2656"/>
      <c r="I96" s="2656"/>
      <c r="J96" s="2656"/>
      <c r="K96" s="2656"/>
      <c r="L96" s="2656"/>
      <c r="M96" s="2656"/>
      <c r="N96" s="2656"/>
      <c r="O96" s="2656"/>
      <c r="P96" s="2656"/>
      <c r="Q96" s="2656"/>
      <c r="R96" s="2656"/>
      <c r="S96" s="2656"/>
      <c r="T96" s="2656"/>
      <c r="U96" s="2656"/>
      <c r="V96" s="2656"/>
      <c r="W96" s="2656"/>
    </row>
    <row r="97" spans="1:27" s="2665" customFormat="1" x14ac:dyDescent="0.2">
      <c r="A97" s="2426">
        <v>96</v>
      </c>
      <c r="B97" s="2666" t="s">
        <v>563</v>
      </c>
      <c r="C97" s="2664">
        <v>0</v>
      </c>
      <c r="D97" s="2664">
        <v>0</v>
      </c>
      <c r="E97" s="2664">
        <v>0</v>
      </c>
      <c r="F97" s="2664">
        <v>0</v>
      </c>
      <c r="G97" s="2664">
        <v>0</v>
      </c>
      <c r="H97" s="2671">
        <f>IFERROR('Bases Proy'!F61-'Info Entrada'!H85,0)</f>
        <v>0</v>
      </c>
      <c r="I97" s="2671">
        <f>IFERROR('Bases Proy'!G61-'Info Entrada'!I85,0)</f>
        <v>0</v>
      </c>
      <c r="J97" s="2671">
        <f>IFERROR('Bases Proy'!H61-'Info Entrada'!J85,0)</f>
        <v>0</v>
      </c>
      <c r="K97" s="2671">
        <f>IFERROR('Bases Proy'!I61-'Info Entrada'!K85,0)</f>
        <v>0</v>
      </c>
      <c r="L97" s="2671">
        <f>IFERROR('Bases Proy'!J61-'Info Entrada'!L85,0)</f>
        <v>0</v>
      </c>
      <c r="M97" s="2671">
        <f>IFERROR('Bases Proy'!K61-'Info Entrada'!M85,0)</f>
        <v>0</v>
      </c>
      <c r="N97" s="2671">
        <f>IFERROR('Bases Proy'!L61-'Info Entrada'!N85,0)</f>
        <v>0</v>
      </c>
      <c r="O97" s="2671">
        <f>IFERROR('Bases Proy'!M61-'Info Entrada'!O85,0)</f>
        <v>0</v>
      </c>
      <c r="P97" s="2671">
        <f>IFERROR('Bases Proy'!N61-'Info Entrada'!P85,0)</f>
        <v>0</v>
      </c>
      <c r="Q97" s="2671">
        <f>IFERROR('Bases Proy'!O61-'Info Entrada'!Q85,0)</f>
        <v>0</v>
      </c>
      <c r="R97" s="2671">
        <f>IFERROR('Bases Proy'!P61-'Info Entrada'!R85,0)</f>
        <v>0</v>
      </c>
      <c r="S97" s="2671">
        <f>IFERROR('Bases Proy'!Q61-'Info Entrada'!S85,0)</f>
        <v>0</v>
      </c>
      <c r="T97" s="2671">
        <f>IFERROR('Bases Proy'!R61-'Info Entrada'!T85,0)</f>
        <v>0</v>
      </c>
      <c r="U97" s="2671">
        <f>IFERROR('Bases Proy'!S61-'Info Entrada'!U85,0)</f>
        <v>0</v>
      </c>
      <c r="V97" s="2671">
        <f>IFERROR('Bases Proy'!T61-'Info Entrada'!V85,0)</f>
        <v>0</v>
      </c>
      <c r="W97" s="2671">
        <f>IFERROR('Bases Proy'!U61-'Info Entrada'!W85,0)</f>
        <v>0</v>
      </c>
    </row>
    <row r="98" spans="1:27" s="2665" customFormat="1" x14ac:dyDescent="0.2">
      <c r="A98" s="2426">
        <v>97</v>
      </c>
      <c r="B98" s="2666" t="s">
        <v>619</v>
      </c>
      <c r="C98" s="2664">
        <v>0</v>
      </c>
      <c r="D98" s="2664">
        <v>0</v>
      </c>
      <c r="E98" s="2664">
        <v>0</v>
      </c>
      <c r="F98" s="2664">
        <v>0</v>
      </c>
      <c r="G98" s="2664">
        <v>0</v>
      </c>
      <c r="H98" s="2658"/>
      <c r="I98" s="2658"/>
      <c r="J98" s="2658"/>
      <c r="K98" s="2658"/>
      <c r="L98" s="2658"/>
      <c r="M98" s="2658"/>
      <c r="N98" s="2658"/>
      <c r="O98" s="2658"/>
      <c r="P98" s="2658"/>
      <c r="Q98" s="2658"/>
      <c r="R98" s="2658"/>
      <c r="S98" s="2658"/>
      <c r="T98" s="2658"/>
      <c r="U98" s="2658"/>
      <c r="V98" s="2658"/>
      <c r="W98" s="2658"/>
      <c r="Z98" s="2681"/>
      <c r="AA98" s="2681"/>
    </row>
    <row r="99" spans="1:27" s="2665" customFormat="1" x14ac:dyDescent="0.2">
      <c r="A99" s="2426"/>
      <c r="B99" s="2666" t="s">
        <v>620</v>
      </c>
      <c r="C99" s="2664">
        <v>0</v>
      </c>
      <c r="D99" s="2664">
        <v>0</v>
      </c>
      <c r="E99" s="2664">
        <v>0</v>
      </c>
      <c r="F99" s="2664">
        <v>0</v>
      </c>
      <c r="G99" s="2664">
        <v>0</v>
      </c>
      <c r="H99" s="2671">
        <f>IFERROR('Bases Proy'!F67-'Info Entrada'!H86,0)</f>
        <v>0</v>
      </c>
      <c r="I99" s="2671">
        <f>IFERROR('Bases Proy'!G67-'Info Entrada'!I86,0)</f>
        <v>0</v>
      </c>
      <c r="J99" s="2671">
        <f>IFERROR('Bases Proy'!H67-'Info Entrada'!J86,0)</f>
        <v>0</v>
      </c>
      <c r="K99" s="2671">
        <f>IFERROR('Bases Proy'!I67-'Info Entrada'!K86,0)</f>
        <v>0</v>
      </c>
      <c r="L99" s="2671">
        <f>IFERROR('Bases Proy'!J67-'Info Entrada'!L86,0)</f>
        <v>0</v>
      </c>
      <c r="M99" s="2671">
        <f>IFERROR('Bases Proy'!K67-'Info Entrada'!M86,0)</f>
        <v>0</v>
      </c>
      <c r="N99" s="2671">
        <f>IFERROR('Bases Proy'!L67-'Info Entrada'!N86,0)</f>
        <v>0</v>
      </c>
      <c r="O99" s="2671">
        <f>IFERROR('Bases Proy'!M67-'Info Entrada'!O86,0)</f>
        <v>0</v>
      </c>
      <c r="P99" s="2671">
        <f>IFERROR('Bases Proy'!N67-'Info Entrada'!P86,0)</f>
        <v>0</v>
      </c>
      <c r="Q99" s="2671">
        <f>IFERROR('Bases Proy'!O67-'Info Entrada'!Q86,0)</f>
        <v>0</v>
      </c>
      <c r="R99" s="2671">
        <f>IFERROR('Bases Proy'!P67-'Info Entrada'!R86,0)</f>
        <v>0</v>
      </c>
      <c r="S99" s="2671">
        <f>IFERROR('Bases Proy'!Q67-'Info Entrada'!S86,0)</f>
        <v>0</v>
      </c>
      <c r="T99" s="2671">
        <f>IFERROR('Bases Proy'!R67-'Info Entrada'!T86,0)</f>
        <v>0</v>
      </c>
      <c r="U99" s="2671">
        <f>IFERROR('Bases Proy'!S67-'Info Entrada'!U86,0)</f>
        <v>0</v>
      </c>
      <c r="V99" s="2671">
        <f>IFERROR('Bases Proy'!T67-'Info Entrada'!V86,0)</f>
        <v>0</v>
      </c>
      <c r="W99" s="2671">
        <f>IFERROR('Bases Proy'!U67-'Info Entrada'!W86,0)</f>
        <v>0</v>
      </c>
    </row>
    <row r="100" spans="1:27" s="2665" customFormat="1" hidden="1" x14ac:dyDescent="0.2">
      <c r="A100" s="2426">
        <v>98</v>
      </c>
      <c r="B100" s="2682" t="s">
        <v>680</v>
      </c>
      <c r="C100" s="2664">
        <v>0</v>
      </c>
      <c r="D100" s="2664">
        <v>0</v>
      </c>
      <c r="E100" s="2664">
        <v>0</v>
      </c>
      <c r="F100" s="2664">
        <v>0</v>
      </c>
      <c r="G100" s="2664">
        <v>0</v>
      </c>
      <c r="H100" s="2683">
        <v>0</v>
      </c>
      <c r="I100" s="2683">
        <v>0</v>
      </c>
      <c r="J100" s="2683">
        <v>0</v>
      </c>
      <c r="K100" s="2683">
        <v>0</v>
      </c>
      <c r="L100" s="2683">
        <v>0</v>
      </c>
      <c r="M100" s="2683">
        <v>0</v>
      </c>
      <c r="N100" s="2683">
        <v>0</v>
      </c>
      <c r="O100" s="2683">
        <v>0</v>
      </c>
      <c r="P100" s="2683">
        <v>0</v>
      </c>
      <c r="Q100" s="2683">
        <v>0</v>
      </c>
      <c r="R100" s="2683">
        <v>0</v>
      </c>
      <c r="S100" s="2683">
        <v>0</v>
      </c>
      <c r="T100" s="2683">
        <v>0</v>
      </c>
      <c r="U100" s="2683">
        <v>0</v>
      </c>
      <c r="V100" s="2683">
        <v>0</v>
      </c>
      <c r="W100" s="2683">
        <v>0</v>
      </c>
    </row>
    <row r="101" spans="1:27" s="2665" customFormat="1" x14ac:dyDescent="0.2">
      <c r="A101" s="2426">
        <v>99</v>
      </c>
      <c r="B101" s="2684" t="s">
        <v>682</v>
      </c>
      <c r="C101" s="2664">
        <v>0</v>
      </c>
      <c r="D101" s="2664">
        <v>0</v>
      </c>
      <c r="E101" s="2664">
        <v>0</v>
      </c>
      <c r="F101" s="2664">
        <v>0</v>
      </c>
      <c r="G101" s="2664">
        <v>0</v>
      </c>
      <c r="H101" s="2656">
        <f>E101</f>
        <v>0</v>
      </c>
      <c r="I101" s="2656">
        <f>H101</f>
        <v>0</v>
      </c>
      <c r="J101" s="2656">
        <f t="shared" ref="J101:W101" si="58">I101</f>
        <v>0</v>
      </c>
      <c r="K101" s="2656">
        <f t="shared" si="58"/>
        <v>0</v>
      </c>
      <c r="L101" s="2656">
        <f t="shared" si="58"/>
        <v>0</v>
      </c>
      <c r="M101" s="2656">
        <f t="shared" si="58"/>
        <v>0</v>
      </c>
      <c r="N101" s="2656">
        <f t="shared" si="58"/>
        <v>0</v>
      </c>
      <c r="O101" s="2656">
        <f t="shared" si="58"/>
        <v>0</v>
      </c>
      <c r="P101" s="2656">
        <f t="shared" si="58"/>
        <v>0</v>
      </c>
      <c r="Q101" s="2656">
        <f t="shared" si="58"/>
        <v>0</v>
      </c>
      <c r="R101" s="2656">
        <f t="shared" si="58"/>
        <v>0</v>
      </c>
      <c r="S101" s="2656">
        <f t="shared" si="58"/>
        <v>0</v>
      </c>
      <c r="T101" s="2656">
        <f t="shared" si="58"/>
        <v>0</v>
      </c>
      <c r="U101" s="2656">
        <f t="shared" si="58"/>
        <v>0</v>
      </c>
      <c r="V101" s="2656">
        <f t="shared" si="58"/>
        <v>0</v>
      </c>
      <c r="W101" s="2656">
        <f t="shared" si="58"/>
        <v>0</v>
      </c>
    </row>
    <row r="102" spans="1:27" s="2665" customFormat="1" hidden="1" x14ac:dyDescent="0.2">
      <c r="A102" s="2426">
        <v>100</v>
      </c>
      <c r="B102" s="2674"/>
      <c r="C102" s="2653"/>
      <c r="D102" s="2653"/>
      <c r="E102" s="2653"/>
      <c r="F102" s="2653"/>
      <c r="G102" s="2653"/>
    </row>
    <row r="103" spans="1:27" s="2665" customFormat="1" hidden="1" x14ac:dyDescent="0.2">
      <c r="A103" s="2426">
        <v>101</v>
      </c>
      <c r="B103" s="2669" t="s">
        <v>677</v>
      </c>
      <c r="C103" s="2642">
        <f>C105-C106-C107-C108</f>
        <v>0</v>
      </c>
      <c r="D103" s="2642">
        <f>D105-D106-D107-D108</f>
        <v>0</v>
      </c>
      <c r="E103" s="2642">
        <f>E105-E106-E107-E108</f>
        <v>0</v>
      </c>
      <c r="F103" s="2642">
        <f>F105-F106-F107-F108</f>
        <v>0</v>
      </c>
      <c r="G103" s="2642">
        <f>G105-G106-G107-G108</f>
        <v>0</v>
      </c>
      <c r="H103" s="2656">
        <f>+E103*(1+H267)</f>
        <v>0</v>
      </c>
      <c r="I103" s="2656">
        <f>+H103*(1+I267)</f>
        <v>0</v>
      </c>
      <c r="J103" s="2656">
        <f t="shared" ref="J103:W103" si="59">+I103*(1+J267)</f>
        <v>0</v>
      </c>
      <c r="K103" s="2656">
        <f t="shared" si="59"/>
        <v>0</v>
      </c>
      <c r="L103" s="2656">
        <f t="shared" si="59"/>
        <v>0</v>
      </c>
      <c r="M103" s="2656">
        <f t="shared" si="59"/>
        <v>0</v>
      </c>
      <c r="N103" s="2656">
        <f t="shared" si="59"/>
        <v>0</v>
      </c>
      <c r="O103" s="2656">
        <f t="shared" si="59"/>
        <v>0</v>
      </c>
      <c r="P103" s="2656">
        <f t="shared" si="59"/>
        <v>0</v>
      </c>
      <c r="Q103" s="2656">
        <f t="shared" si="59"/>
        <v>0</v>
      </c>
      <c r="R103" s="2656">
        <f t="shared" si="59"/>
        <v>0</v>
      </c>
      <c r="S103" s="2656">
        <f t="shared" si="59"/>
        <v>0</v>
      </c>
      <c r="T103" s="2656">
        <f t="shared" si="59"/>
        <v>0</v>
      </c>
      <c r="U103" s="2656">
        <f t="shared" si="59"/>
        <v>0</v>
      </c>
      <c r="V103" s="2656">
        <f t="shared" si="59"/>
        <v>0</v>
      </c>
      <c r="W103" s="2656">
        <f t="shared" si="59"/>
        <v>0</v>
      </c>
    </row>
    <row r="104" spans="1:27" s="2665" customFormat="1" hidden="1" x14ac:dyDescent="0.2">
      <c r="A104" s="2426">
        <v>102</v>
      </c>
      <c r="B104" s="2666" t="s">
        <v>704</v>
      </c>
      <c r="C104" s="2673">
        <f t="shared" ref="C104:G104" si="60">IF(C77=0,0,C103/C77)</f>
        <v>0</v>
      </c>
      <c r="D104" s="2673">
        <f t="shared" si="60"/>
        <v>0</v>
      </c>
      <c r="E104" s="2673">
        <f t="shared" si="60"/>
        <v>0</v>
      </c>
      <c r="F104" s="2673">
        <f t="shared" si="60"/>
        <v>0</v>
      </c>
      <c r="G104" s="2673">
        <f t="shared" si="60"/>
        <v>0</v>
      </c>
      <c r="H104" s="2673"/>
      <c r="I104" s="2673"/>
      <c r="J104" s="2673"/>
      <c r="K104" s="2673"/>
      <c r="L104" s="2673"/>
      <c r="M104" s="2673"/>
      <c r="N104" s="2673"/>
      <c r="O104" s="2673"/>
      <c r="P104" s="2673"/>
      <c r="Q104" s="2673"/>
      <c r="R104" s="2673"/>
      <c r="S104" s="2673"/>
      <c r="T104" s="2673"/>
      <c r="U104" s="2673"/>
      <c r="V104" s="2673"/>
      <c r="W104" s="2673"/>
    </row>
    <row r="105" spans="1:27" s="2665" customFormat="1" hidden="1" x14ac:dyDescent="0.2">
      <c r="A105" s="2426">
        <v>103</v>
      </c>
      <c r="B105" s="2666" t="s">
        <v>681</v>
      </c>
      <c r="C105" s="2664">
        <v>0</v>
      </c>
      <c r="D105" s="2664">
        <v>0</v>
      </c>
      <c r="E105" s="2664">
        <v>0</v>
      </c>
      <c r="F105" s="2664">
        <v>0</v>
      </c>
      <c r="G105" s="2664"/>
      <c r="H105" s="2685"/>
      <c r="I105" s="2685"/>
      <c r="J105" s="2685"/>
      <c r="K105" s="2685"/>
      <c r="L105" s="2685"/>
      <c r="M105" s="2685"/>
      <c r="N105" s="2685"/>
      <c r="O105" s="2685"/>
      <c r="P105" s="2685"/>
      <c r="Q105" s="2685"/>
      <c r="R105" s="2685"/>
      <c r="S105" s="2685"/>
      <c r="T105" s="2685"/>
      <c r="U105" s="2685"/>
      <c r="V105" s="2685"/>
      <c r="W105" s="2685"/>
    </row>
    <row r="106" spans="1:27" s="2665" customFormat="1" hidden="1" x14ac:dyDescent="0.2">
      <c r="A106" s="2426">
        <v>104</v>
      </c>
      <c r="B106" s="2666" t="s">
        <v>563</v>
      </c>
      <c r="C106" s="2664">
        <v>0</v>
      </c>
      <c r="D106" s="2664">
        <v>0</v>
      </c>
      <c r="E106" s="2664">
        <v>0</v>
      </c>
      <c r="F106" s="2664">
        <v>0</v>
      </c>
      <c r="G106" s="2664">
        <v>0</v>
      </c>
      <c r="H106" s="2656"/>
      <c r="I106" s="2656"/>
      <c r="J106" s="2656"/>
      <c r="K106" s="2656"/>
      <c r="L106" s="2656"/>
      <c r="M106" s="2656"/>
      <c r="N106" s="2656"/>
      <c r="O106" s="2656"/>
      <c r="P106" s="2656"/>
      <c r="Q106" s="2656"/>
      <c r="R106" s="2656"/>
      <c r="S106" s="2656"/>
      <c r="T106" s="2656"/>
      <c r="U106" s="2656"/>
      <c r="V106" s="2656"/>
      <c r="W106" s="2656"/>
      <c r="Y106" s="2681"/>
    </row>
    <row r="107" spans="1:27" s="2665" customFormat="1" hidden="1" x14ac:dyDescent="0.2">
      <c r="A107" s="2426">
        <v>105</v>
      </c>
      <c r="B107" s="2666" t="s">
        <v>679</v>
      </c>
      <c r="C107" s="2664">
        <v>0</v>
      </c>
      <c r="D107" s="2664">
        <v>0</v>
      </c>
      <c r="E107" s="2664">
        <v>0</v>
      </c>
      <c r="F107" s="2664">
        <v>0</v>
      </c>
      <c r="G107" s="2664">
        <v>0</v>
      </c>
      <c r="H107" s="2656"/>
      <c r="I107" s="2656"/>
      <c r="J107" s="2656"/>
      <c r="K107" s="2656"/>
      <c r="L107" s="2656"/>
      <c r="M107" s="2656"/>
      <c r="N107" s="2656"/>
      <c r="O107" s="2656"/>
      <c r="P107" s="2656"/>
      <c r="Q107" s="2656"/>
      <c r="R107" s="2656"/>
      <c r="S107" s="2656"/>
      <c r="T107" s="2656"/>
      <c r="U107" s="2656"/>
      <c r="V107" s="2656"/>
      <c r="W107" s="2656"/>
    </row>
    <row r="108" spans="1:27" s="2665" customFormat="1" hidden="1" x14ac:dyDescent="0.2">
      <c r="A108" s="2426">
        <v>106</v>
      </c>
      <c r="B108" s="2684" t="s">
        <v>682</v>
      </c>
      <c r="C108" s="2664">
        <v>0</v>
      </c>
      <c r="D108" s="2664">
        <v>0</v>
      </c>
      <c r="E108" s="2664">
        <v>0</v>
      </c>
      <c r="F108" s="2664">
        <v>0</v>
      </c>
      <c r="G108" s="2664">
        <v>0</v>
      </c>
      <c r="H108" s="2656"/>
      <c r="I108" s="2656"/>
      <c r="J108" s="2656"/>
      <c r="K108" s="2656"/>
      <c r="L108" s="2656"/>
      <c r="M108" s="2656"/>
      <c r="N108" s="2656"/>
      <c r="O108" s="2656"/>
      <c r="P108" s="2656"/>
      <c r="Q108" s="2656"/>
      <c r="R108" s="2656"/>
      <c r="S108" s="2656"/>
      <c r="T108" s="2656"/>
      <c r="U108" s="2656"/>
      <c r="V108" s="2656"/>
      <c r="W108" s="2656"/>
    </row>
    <row r="109" spans="1:27" s="2665" customFormat="1" x14ac:dyDescent="0.2">
      <c r="A109" s="2426">
        <v>107</v>
      </c>
      <c r="B109" s="2686"/>
      <c r="C109" s="2653"/>
      <c r="D109" s="2653"/>
      <c r="E109" s="2653"/>
      <c r="F109" s="2653"/>
      <c r="G109" s="2653"/>
    </row>
    <row r="110" spans="1:27" s="2665" customFormat="1" x14ac:dyDescent="0.2">
      <c r="A110" s="2426">
        <v>108</v>
      </c>
      <c r="B110" s="2687" t="s">
        <v>347</v>
      </c>
      <c r="C110" s="2642">
        <f t="shared" ref="C110:G110" si="61">C101+C108</f>
        <v>0</v>
      </c>
      <c r="D110" s="2642">
        <f t="shared" si="61"/>
        <v>0</v>
      </c>
      <c r="E110" s="2642">
        <f t="shared" si="61"/>
        <v>0</v>
      </c>
      <c r="F110" s="2642">
        <f t="shared" si="61"/>
        <v>0</v>
      </c>
      <c r="G110" s="2642">
        <f t="shared" si="61"/>
        <v>0</v>
      </c>
      <c r="H110" s="2642">
        <f>H101+H108</f>
        <v>0</v>
      </c>
      <c r="I110" s="2642">
        <f t="shared" ref="I110:W110" si="62">I101+I108</f>
        <v>0</v>
      </c>
      <c r="J110" s="2642">
        <f t="shared" si="62"/>
        <v>0</v>
      </c>
      <c r="K110" s="2642">
        <f t="shared" si="62"/>
        <v>0</v>
      </c>
      <c r="L110" s="2642">
        <f t="shared" si="62"/>
        <v>0</v>
      </c>
      <c r="M110" s="2642">
        <f t="shared" si="62"/>
        <v>0</v>
      </c>
      <c r="N110" s="2642">
        <f t="shared" si="62"/>
        <v>0</v>
      </c>
      <c r="O110" s="2642">
        <f t="shared" si="62"/>
        <v>0</v>
      </c>
      <c r="P110" s="2642">
        <f t="shared" si="62"/>
        <v>0</v>
      </c>
      <c r="Q110" s="2642">
        <f t="shared" si="62"/>
        <v>0</v>
      </c>
      <c r="R110" s="2642">
        <f t="shared" si="62"/>
        <v>0</v>
      </c>
      <c r="S110" s="2642">
        <f t="shared" si="62"/>
        <v>0</v>
      </c>
      <c r="T110" s="2642">
        <f t="shared" si="62"/>
        <v>0</v>
      </c>
      <c r="U110" s="2642">
        <f t="shared" si="62"/>
        <v>0</v>
      </c>
      <c r="V110" s="2642">
        <f t="shared" si="62"/>
        <v>0</v>
      </c>
      <c r="W110" s="2642">
        <f t="shared" si="62"/>
        <v>0</v>
      </c>
    </row>
    <row r="111" spans="1:27" s="2665" customFormat="1" x14ac:dyDescent="0.2">
      <c r="A111" s="2426">
        <v>109</v>
      </c>
      <c r="B111" s="2669" t="s">
        <v>1031</v>
      </c>
      <c r="C111" s="2664">
        <v>0</v>
      </c>
      <c r="D111" s="2664">
        <v>0</v>
      </c>
      <c r="E111" s="2664">
        <v>0</v>
      </c>
      <c r="F111" s="2664">
        <v>0</v>
      </c>
      <c r="G111" s="2664">
        <v>0</v>
      </c>
      <c r="H111" s="2671">
        <f>IFERROR('Bases Proy'!F46,0)</f>
        <v>0</v>
      </c>
      <c r="I111" s="2671">
        <f>IFERROR('Bases Proy'!G46,0)</f>
        <v>0</v>
      </c>
      <c r="J111" s="2671">
        <f>IFERROR('Bases Proy'!H46,0)</f>
        <v>0</v>
      </c>
      <c r="K111" s="2671">
        <f>IFERROR('Bases Proy'!I46,0)</f>
        <v>0</v>
      </c>
      <c r="L111" s="2671">
        <f>IFERROR('Bases Proy'!J46,0)</f>
        <v>0</v>
      </c>
      <c r="M111" s="2671">
        <f>IFERROR('Bases Proy'!K46,0)</f>
        <v>0</v>
      </c>
      <c r="N111" s="2671">
        <f>IFERROR('Bases Proy'!L46,0)</f>
        <v>0</v>
      </c>
      <c r="O111" s="2671">
        <f>IFERROR('Bases Proy'!M46,0)</f>
        <v>0</v>
      </c>
      <c r="P111" s="2671">
        <f>IFERROR('Bases Proy'!N46,0)</f>
        <v>0</v>
      </c>
      <c r="Q111" s="2671">
        <f>IFERROR('Bases Proy'!O46,0)</f>
        <v>0</v>
      </c>
      <c r="R111" s="2671">
        <f>IFERROR('Bases Proy'!P46,0)</f>
        <v>0</v>
      </c>
      <c r="S111" s="2671">
        <f>IFERROR('Bases Proy'!Q46,0)</f>
        <v>0</v>
      </c>
      <c r="T111" s="2671">
        <f>IFERROR('Bases Proy'!R46,0)</f>
        <v>0</v>
      </c>
      <c r="U111" s="2671">
        <f>IFERROR('Bases Proy'!S46,0)</f>
        <v>0</v>
      </c>
      <c r="V111" s="2671">
        <f>IFERROR('Bases Proy'!T46,0)</f>
        <v>0</v>
      </c>
      <c r="W111" s="2671">
        <f>IFERROR('Bases Proy'!U46,0)</f>
        <v>0</v>
      </c>
    </row>
    <row r="112" spans="1:27" s="2665" customFormat="1" x14ac:dyDescent="0.2">
      <c r="A112" s="2426">
        <v>110</v>
      </c>
      <c r="B112" s="2674"/>
      <c r="C112" s="2653"/>
      <c r="D112" s="2653"/>
      <c r="E112" s="2653"/>
      <c r="F112" s="2653"/>
      <c r="G112" s="2653"/>
    </row>
    <row r="113" spans="1:23" s="2665" customFormat="1" x14ac:dyDescent="0.2">
      <c r="A113" s="2426">
        <v>111</v>
      </c>
      <c r="B113" s="2675" t="s">
        <v>689</v>
      </c>
      <c r="C113" s="2676">
        <f>C92-C94-C103-C110+C111</f>
        <v>0</v>
      </c>
      <c r="D113" s="2676">
        <f>D92-D94-D103-D110+D111</f>
        <v>0</v>
      </c>
      <c r="E113" s="2676">
        <f>E92-E94-E103-E110+E111</f>
        <v>0</v>
      </c>
      <c r="F113" s="2676">
        <f>F92-F94-F103-F110+F111</f>
        <v>0</v>
      </c>
      <c r="G113" s="2676">
        <f>G92-G94-G103-G110+G111</f>
        <v>0</v>
      </c>
      <c r="H113" s="2677">
        <f t="shared" ref="H113:W113" si="63">H92-H94-H103-H110+H111</f>
        <v>0</v>
      </c>
      <c r="I113" s="2677">
        <f t="shared" si="63"/>
        <v>0</v>
      </c>
      <c r="J113" s="2677">
        <f t="shared" si="63"/>
        <v>0</v>
      </c>
      <c r="K113" s="2677">
        <f t="shared" si="63"/>
        <v>0</v>
      </c>
      <c r="L113" s="2677">
        <f t="shared" si="63"/>
        <v>0</v>
      </c>
      <c r="M113" s="2677">
        <f t="shared" si="63"/>
        <v>0</v>
      </c>
      <c r="N113" s="2677">
        <f t="shared" si="63"/>
        <v>0</v>
      </c>
      <c r="O113" s="2677">
        <f t="shared" si="63"/>
        <v>0</v>
      </c>
      <c r="P113" s="2677">
        <f t="shared" si="63"/>
        <v>0</v>
      </c>
      <c r="Q113" s="2677">
        <f t="shared" si="63"/>
        <v>0</v>
      </c>
      <c r="R113" s="2677">
        <f t="shared" si="63"/>
        <v>0</v>
      </c>
      <c r="S113" s="2677">
        <f t="shared" si="63"/>
        <v>0</v>
      </c>
      <c r="T113" s="2677">
        <f t="shared" si="63"/>
        <v>0</v>
      </c>
      <c r="U113" s="2677">
        <f t="shared" si="63"/>
        <v>0</v>
      </c>
      <c r="V113" s="2677">
        <f t="shared" si="63"/>
        <v>0</v>
      </c>
      <c r="W113" s="2677">
        <f t="shared" si="63"/>
        <v>0</v>
      </c>
    </row>
    <row r="114" spans="1:23" s="2665" customFormat="1" x14ac:dyDescent="0.2">
      <c r="A114" s="2426">
        <v>112</v>
      </c>
      <c r="B114" s="2675" t="s">
        <v>688</v>
      </c>
      <c r="C114" s="2688">
        <f t="shared" ref="C114:W114" si="64">IF(C77=0,0,C113/C77)</f>
        <v>0</v>
      </c>
      <c r="D114" s="2688">
        <f t="shared" si="64"/>
        <v>0</v>
      </c>
      <c r="E114" s="2688">
        <f t="shared" si="64"/>
        <v>0</v>
      </c>
      <c r="F114" s="2688">
        <f t="shared" si="64"/>
        <v>0</v>
      </c>
      <c r="G114" s="2688">
        <f t="shared" si="64"/>
        <v>0</v>
      </c>
      <c r="H114" s="2688">
        <f t="shared" si="64"/>
        <v>0</v>
      </c>
      <c r="I114" s="2688">
        <f t="shared" si="64"/>
        <v>0</v>
      </c>
      <c r="J114" s="2688">
        <f t="shared" si="64"/>
        <v>0</v>
      </c>
      <c r="K114" s="2688">
        <f t="shared" si="64"/>
        <v>0</v>
      </c>
      <c r="L114" s="2688">
        <f t="shared" si="64"/>
        <v>0</v>
      </c>
      <c r="M114" s="2688">
        <f t="shared" si="64"/>
        <v>0</v>
      </c>
      <c r="N114" s="2688">
        <f t="shared" si="64"/>
        <v>0</v>
      </c>
      <c r="O114" s="2688">
        <f t="shared" si="64"/>
        <v>0</v>
      </c>
      <c r="P114" s="2688">
        <f t="shared" si="64"/>
        <v>0</v>
      </c>
      <c r="Q114" s="2688">
        <f t="shared" si="64"/>
        <v>0</v>
      </c>
      <c r="R114" s="2688">
        <f t="shared" si="64"/>
        <v>0</v>
      </c>
      <c r="S114" s="2688">
        <f t="shared" si="64"/>
        <v>0</v>
      </c>
      <c r="T114" s="2688">
        <f t="shared" si="64"/>
        <v>0</v>
      </c>
      <c r="U114" s="2688">
        <f t="shared" si="64"/>
        <v>0</v>
      </c>
      <c r="V114" s="2688">
        <f t="shared" si="64"/>
        <v>0</v>
      </c>
      <c r="W114" s="2688">
        <f t="shared" si="64"/>
        <v>0</v>
      </c>
    </row>
    <row r="115" spans="1:23" s="2665" customFormat="1" x14ac:dyDescent="0.2">
      <c r="A115" s="2426">
        <v>113</v>
      </c>
      <c r="B115" s="2686"/>
      <c r="C115" s="2653"/>
      <c r="D115" s="2653"/>
      <c r="E115" s="2653"/>
      <c r="F115" s="2653"/>
      <c r="G115" s="2653"/>
    </row>
    <row r="116" spans="1:23" s="2665" customFormat="1" x14ac:dyDescent="0.2">
      <c r="A116" s="2426">
        <v>114</v>
      </c>
      <c r="B116" s="2669" t="s">
        <v>343</v>
      </c>
      <c r="C116" s="2642">
        <f t="shared" ref="C116:H116" si="65">+C106+C97+C85</f>
        <v>0</v>
      </c>
      <c r="D116" s="2642">
        <f t="shared" si="65"/>
        <v>0</v>
      </c>
      <c r="E116" s="2642">
        <f t="shared" si="65"/>
        <v>0</v>
      </c>
      <c r="F116" s="2642">
        <f t="shared" si="65"/>
        <v>0</v>
      </c>
      <c r="G116" s="2642">
        <f t="shared" si="65"/>
        <v>0</v>
      </c>
      <c r="H116" s="2642">
        <f t="shared" si="65"/>
        <v>0</v>
      </c>
      <c r="I116" s="2642">
        <f t="shared" ref="I116:W116" si="66">+I106+I97+I85</f>
        <v>0</v>
      </c>
      <c r="J116" s="2642">
        <f t="shared" si="66"/>
        <v>0</v>
      </c>
      <c r="K116" s="2642">
        <f t="shared" si="66"/>
        <v>0</v>
      </c>
      <c r="L116" s="2642">
        <f t="shared" si="66"/>
        <v>0</v>
      </c>
      <c r="M116" s="2642">
        <f t="shared" si="66"/>
        <v>0</v>
      </c>
      <c r="N116" s="2642">
        <f t="shared" si="66"/>
        <v>0</v>
      </c>
      <c r="O116" s="2642">
        <f t="shared" si="66"/>
        <v>0</v>
      </c>
      <c r="P116" s="2642">
        <f t="shared" si="66"/>
        <v>0</v>
      </c>
      <c r="Q116" s="2642">
        <f t="shared" si="66"/>
        <v>0</v>
      </c>
      <c r="R116" s="2642">
        <f t="shared" si="66"/>
        <v>0</v>
      </c>
      <c r="S116" s="2642">
        <f t="shared" si="66"/>
        <v>0</v>
      </c>
      <c r="T116" s="2642">
        <f t="shared" si="66"/>
        <v>0</v>
      </c>
      <c r="U116" s="2642">
        <f t="shared" si="66"/>
        <v>0</v>
      </c>
      <c r="V116" s="2642">
        <f t="shared" si="66"/>
        <v>0</v>
      </c>
      <c r="W116" s="2642">
        <f t="shared" si="66"/>
        <v>0</v>
      </c>
    </row>
    <row r="117" spans="1:23" s="2665" customFormat="1" x14ac:dyDescent="0.2">
      <c r="A117" s="2426">
        <v>115</v>
      </c>
      <c r="B117" s="2669" t="s">
        <v>344</v>
      </c>
      <c r="C117" s="2642">
        <f t="shared" ref="C117:H117" si="67">+C99+C98+C86+C107</f>
        <v>0</v>
      </c>
      <c r="D117" s="2642">
        <f t="shared" si="67"/>
        <v>0</v>
      </c>
      <c r="E117" s="2642">
        <f t="shared" si="67"/>
        <v>0</v>
      </c>
      <c r="F117" s="2642">
        <f t="shared" si="67"/>
        <v>0</v>
      </c>
      <c r="G117" s="2642">
        <f t="shared" si="67"/>
        <v>0</v>
      </c>
      <c r="H117" s="2642">
        <f t="shared" si="67"/>
        <v>0</v>
      </c>
      <c r="I117" s="2642">
        <f t="shared" ref="I117:W117" si="68">+I99+I98+I86+I107</f>
        <v>0</v>
      </c>
      <c r="J117" s="2642">
        <f t="shared" si="68"/>
        <v>0</v>
      </c>
      <c r="K117" s="2642">
        <f t="shared" si="68"/>
        <v>0</v>
      </c>
      <c r="L117" s="2642">
        <f t="shared" si="68"/>
        <v>0</v>
      </c>
      <c r="M117" s="2642">
        <f t="shared" si="68"/>
        <v>0</v>
      </c>
      <c r="N117" s="2642">
        <f t="shared" si="68"/>
        <v>0</v>
      </c>
      <c r="O117" s="2642">
        <f t="shared" si="68"/>
        <v>0</v>
      </c>
      <c r="P117" s="2642">
        <f t="shared" si="68"/>
        <v>0</v>
      </c>
      <c r="Q117" s="2642">
        <f t="shared" si="68"/>
        <v>0</v>
      </c>
      <c r="R117" s="2642">
        <f t="shared" si="68"/>
        <v>0</v>
      </c>
      <c r="S117" s="2642">
        <f t="shared" si="68"/>
        <v>0</v>
      </c>
      <c r="T117" s="2642">
        <f t="shared" si="68"/>
        <v>0</v>
      </c>
      <c r="U117" s="2642">
        <f t="shared" si="68"/>
        <v>0</v>
      </c>
      <c r="V117" s="2642">
        <f t="shared" si="68"/>
        <v>0</v>
      </c>
      <c r="W117" s="2642">
        <f t="shared" si="68"/>
        <v>0</v>
      </c>
    </row>
    <row r="118" spans="1:23" s="2665" customFormat="1" x14ac:dyDescent="0.2">
      <c r="A118" s="2426">
        <v>116</v>
      </c>
      <c r="B118" s="2674"/>
      <c r="C118" s="2689"/>
      <c r="D118" s="2689"/>
      <c r="E118" s="2689"/>
      <c r="F118" s="2689"/>
      <c r="G118" s="2689"/>
      <c r="I118" s="2690"/>
    </row>
    <row r="119" spans="1:23" s="2665" customFormat="1" x14ac:dyDescent="0.2">
      <c r="A119" s="2426">
        <v>117</v>
      </c>
      <c r="B119" s="2675" t="s">
        <v>1125</v>
      </c>
      <c r="C119" s="2676">
        <f t="shared" ref="C119:H119" si="69">C113-C116-C117</f>
        <v>0</v>
      </c>
      <c r="D119" s="2676">
        <f t="shared" si="69"/>
        <v>0</v>
      </c>
      <c r="E119" s="2676">
        <f t="shared" si="69"/>
        <v>0</v>
      </c>
      <c r="F119" s="2676">
        <f t="shared" si="69"/>
        <v>0</v>
      </c>
      <c r="G119" s="2676">
        <f t="shared" si="69"/>
        <v>0</v>
      </c>
      <c r="H119" s="2677">
        <f t="shared" si="69"/>
        <v>0</v>
      </c>
      <c r="I119" s="2677">
        <f t="shared" ref="I119:W119" si="70">I113-I116-I117</f>
        <v>0</v>
      </c>
      <c r="J119" s="2677">
        <f t="shared" si="70"/>
        <v>0</v>
      </c>
      <c r="K119" s="2677">
        <f t="shared" si="70"/>
        <v>0</v>
      </c>
      <c r="L119" s="2677">
        <f t="shared" si="70"/>
        <v>0</v>
      </c>
      <c r="M119" s="2677">
        <f t="shared" si="70"/>
        <v>0</v>
      </c>
      <c r="N119" s="2677">
        <f t="shared" si="70"/>
        <v>0</v>
      </c>
      <c r="O119" s="2677">
        <f t="shared" si="70"/>
        <v>0</v>
      </c>
      <c r="P119" s="2677">
        <f t="shared" si="70"/>
        <v>0</v>
      </c>
      <c r="Q119" s="2677">
        <f t="shared" si="70"/>
        <v>0</v>
      </c>
      <c r="R119" s="2677">
        <f t="shared" si="70"/>
        <v>0</v>
      </c>
      <c r="S119" s="2677">
        <f t="shared" si="70"/>
        <v>0</v>
      </c>
      <c r="T119" s="2677">
        <f t="shared" si="70"/>
        <v>0</v>
      </c>
      <c r="U119" s="2677">
        <f t="shared" si="70"/>
        <v>0</v>
      </c>
      <c r="V119" s="2677">
        <f t="shared" si="70"/>
        <v>0</v>
      </c>
      <c r="W119" s="2677">
        <f t="shared" si="70"/>
        <v>0</v>
      </c>
    </row>
    <row r="120" spans="1:23" s="2665" customFormat="1" x14ac:dyDescent="0.2">
      <c r="A120" s="2426">
        <v>118</v>
      </c>
      <c r="B120" s="2675" t="s">
        <v>690</v>
      </c>
      <c r="C120" s="2688">
        <f t="shared" ref="C120:W120" si="71">IF(C77=0,0,C119/C77)</f>
        <v>0</v>
      </c>
      <c r="D120" s="2688">
        <f t="shared" si="71"/>
        <v>0</v>
      </c>
      <c r="E120" s="2688">
        <f t="shared" si="71"/>
        <v>0</v>
      </c>
      <c r="F120" s="2688">
        <f t="shared" si="71"/>
        <v>0</v>
      </c>
      <c r="G120" s="2688">
        <f t="shared" si="71"/>
        <v>0</v>
      </c>
      <c r="H120" s="2688">
        <f t="shared" si="71"/>
        <v>0</v>
      </c>
      <c r="I120" s="2688">
        <f t="shared" si="71"/>
        <v>0</v>
      </c>
      <c r="J120" s="2688">
        <f t="shared" si="71"/>
        <v>0</v>
      </c>
      <c r="K120" s="2688">
        <f t="shared" si="71"/>
        <v>0</v>
      </c>
      <c r="L120" s="2688">
        <f t="shared" si="71"/>
        <v>0</v>
      </c>
      <c r="M120" s="2688">
        <f t="shared" si="71"/>
        <v>0</v>
      </c>
      <c r="N120" s="2688">
        <f t="shared" si="71"/>
        <v>0</v>
      </c>
      <c r="O120" s="2688">
        <f t="shared" si="71"/>
        <v>0</v>
      </c>
      <c r="P120" s="2688">
        <f t="shared" si="71"/>
        <v>0</v>
      </c>
      <c r="Q120" s="2688">
        <f t="shared" si="71"/>
        <v>0</v>
      </c>
      <c r="R120" s="2688">
        <f t="shared" si="71"/>
        <v>0</v>
      </c>
      <c r="S120" s="2688">
        <f t="shared" si="71"/>
        <v>0</v>
      </c>
      <c r="T120" s="2688">
        <f t="shared" si="71"/>
        <v>0</v>
      </c>
      <c r="U120" s="2688">
        <f t="shared" si="71"/>
        <v>0</v>
      </c>
      <c r="V120" s="2688">
        <f t="shared" si="71"/>
        <v>0</v>
      </c>
      <c r="W120" s="2688">
        <f t="shared" si="71"/>
        <v>0</v>
      </c>
    </row>
    <row r="121" spans="1:23" s="2665" customFormat="1" x14ac:dyDescent="0.2">
      <c r="A121" s="2426">
        <v>119</v>
      </c>
      <c r="B121" s="2678"/>
      <c r="C121" s="2679"/>
      <c r="D121" s="2679"/>
      <c r="E121" s="2679"/>
      <c r="F121" s="2679"/>
      <c r="G121" s="2679"/>
    </row>
    <row r="122" spans="1:23" s="2665" customFormat="1" x14ac:dyDescent="0.2">
      <c r="A122" s="2426">
        <v>120</v>
      </c>
      <c r="B122" s="2669" t="s">
        <v>1032</v>
      </c>
      <c r="C122" s="2664">
        <v>0</v>
      </c>
      <c r="D122" s="2664">
        <v>0</v>
      </c>
      <c r="E122" s="2664">
        <v>0</v>
      </c>
      <c r="F122" s="2664">
        <v>0</v>
      </c>
      <c r="G122" s="2664">
        <v>0</v>
      </c>
      <c r="H122" s="2769">
        <v>0</v>
      </c>
      <c r="I122" s="2769">
        <v>0</v>
      </c>
      <c r="J122" s="2769">
        <v>0</v>
      </c>
      <c r="K122" s="2769">
        <v>0</v>
      </c>
      <c r="L122" s="2769">
        <v>0</v>
      </c>
      <c r="M122" s="2769">
        <v>0</v>
      </c>
      <c r="N122" s="2769">
        <v>0</v>
      </c>
      <c r="O122" s="2769">
        <v>0</v>
      </c>
      <c r="P122" s="2769">
        <v>0</v>
      </c>
      <c r="Q122" s="2769">
        <v>0</v>
      </c>
      <c r="R122" s="2769">
        <v>0</v>
      </c>
      <c r="S122" s="2769">
        <v>0</v>
      </c>
      <c r="T122" s="2769">
        <v>0</v>
      </c>
      <c r="U122" s="2769">
        <v>0</v>
      </c>
      <c r="V122" s="2769">
        <v>0</v>
      </c>
      <c r="W122" s="2769">
        <v>0</v>
      </c>
    </row>
    <row r="123" spans="1:23" s="2665" customFormat="1" x14ac:dyDescent="0.2">
      <c r="A123" s="2426">
        <v>121</v>
      </c>
      <c r="B123" s="2669" t="s">
        <v>349</v>
      </c>
      <c r="C123" s="2664">
        <v>0</v>
      </c>
      <c r="D123" s="2664">
        <v>0</v>
      </c>
      <c r="E123" s="2664">
        <v>0</v>
      </c>
      <c r="F123" s="2664">
        <v>0</v>
      </c>
      <c r="G123" s="2664">
        <v>0</v>
      </c>
      <c r="H123" s="2656">
        <f ca="1">IFERROR((((H174+H175)+(E174+E175))/2)*H14,0)</f>
        <v>0</v>
      </c>
      <c r="I123" s="2656">
        <f ca="1">IFERROR((((I174+I175)+(H174+H175))/2)*I14,0)</f>
        <v>0</v>
      </c>
      <c r="J123" s="2656">
        <f t="shared" ref="J123:W123" ca="1" si="72">IFERROR((((J174+J175)+(I174+I175))/2)*J14,0)</f>
        <v>0</v>
      </c>
      <c r="K123" s="2656">
        <f t="shared" ca="1" si="72"/>
        <v>0</v>
      </c>
      <c r="L123" s="2656">
        <f t="shared" ca="1" si="72"/>
        <v>0</v>
      </c>
      <c r="M123" s="2656">
        <f t="shared" ca="1" si="72"/>
        <v>0</v>
      </c>
      <c r="N123" s="2656">
        <f t="shared" ca="1" si="72"/>
        <v>0</v>
      </c>
      <c r="O123" s="2656">
        <f t="shared" ca="1" si="72"/>
        <v>0</v>
      </c>
      <c r="P123" s="2656">
        <f t="shared" ca="1" si="72"/>
        <v>0</v>
      </c>
      <c r="Q123" s="2656">
        <f t="shared" ca="1" si="72"/>
        <v>0</v>
      </c>
      <c r="R123" s="2656">
        <f t="shared" ca="1" si="72"/>
        <v>0</v>
      </c>
      <c r="S123" s="2656">
        <f t="shared" ca="1" si="72"/>
        <v>0</v>
      </c>
      <c r="T123" s="2656">
        <f t="shared" ca="1" si="72"/>
        <v>0</v>
      </c>
      <c r="U123" s="2656">
        <f t="shared" ca="1" si="72"/>
        <v>0</v>
      </c>
      <c r="V123" s="2656">
        <f t="shared" ca="1" si="72"/>
        <v>0</v>
      </c>
      <c r="W123" s="2656">
        <f t="shared" ca="1" si="72"/>
        <v>0</v>
      </c>
    </row>
    <row r="124" spans="1:23" s="2665" customFormat="1" x14ac:dyDescent="0.2">
      <c r="A124" s="2426">
        <v>122</v>
      </c>
      <c r="B124" s="2669" t="s">
        <v>350</v>
      </c>
      <c r="C124" s="2664">
        <v>0</v>
      </c>
      <c r="D124" s="2664">
        <v>0</v>
      </c>
      <c r="E124" s="2664">
        <v>0</v>
      </c>
      <c r="F124" s="2664">
        <v>0</v>
      </c>
      <c r="G124" s="2664">
        <v>0</v>
      </c>
      <c r="H124" s="2656">
        <f ca="1">IFERROR(H66,0)</f>
        <v>0</v>
      </c>
      <c r="I124" s="2656">
        <f ca="1">IFERROR(I66,0)</f>
        <v>0</v>
      </c>
      <c r="J124" s="2656">
        <f t="shared" ref="J124:W124" ca="1" si="73">IFERROR(J66,0)</f>
        <v>0</v>
      </c>
      <c r="K124" s="2656">
        <f t="shared" ca="1" si="73"/>
        <v>0</v>
      </c>
      <c r="L124" s="2656">
        <f t="shared" ca="1" si="73"/>
        <v>0</v>
      </c>
      <c r="M124" s="2656">
        <f t="shared" ca="1" si="73"/>
        <v>0</v>
      </c>
      <c r="N124" s="2656">
        <f t="shared" ca="1" si="73"/>
        <v>0</v>
      </c>
      <c r="O124" s="2656">
        <f t="shared" ca="1" si="73"/>
        <v>0</v>
      </c>
      <c r="P124" s="2656">
        <f t="shared" ca="1" si="73"/>
        <v>0</v>
      </c>
      <c r="Q124" s="2656">
        <f t="shared" ca="1" si="73"/>
        <v>0</v>
      </c>
      <c r="R124" s="2656">
        <f t="shared" ca="1" si="73"/>
        <v>0</v>
      </c>
      <c r="S124" s="2656">
        <f t="shared" ca="1" si="73"/>
        <v>0</v>
      </c>
      <c r="T124" s="2656">
        <f t="shared" ca="1" si="73"/>
        <v>0</v>
      </c>
      <c r="U124" s="2656">
        <f t="shared" ca="1" si="73"/>
        <v>0</v>
      </c>
      <c r="V124" s="2656">
        <f t="shared" ca="1" si="73"/>
        <v>0</v>
      </c>
      <c r="W124" s="2656">
        <f t="shared" ca="1" si="73"/>
        <v>0</v>
      </c>
    </row>
    <row r="125" spans="1:23" s="2665" customFormat="1" x14ac:dyDescent="0.2">
      <c r="A125" s="2426">
        <v>123</v>
      </c>
      <c r="B125" s="2691" t="s">
        <v>1147</v>
      </c>
      <c r="C125" s="2692">
        <f t="shared" ref="C125:W125" si="74">C122+C123-C124</f>
        <v>0</v>
      </c>
      <c r="D125" s="2692">
        <f t="shared" si="74"/>
        <v>0</v>
      </c>
      <c r="E125" s="2692">
        <f t="shared" si="74"/>
        <v>0</v>
      </c>
      <c r="F125" s="2692">
        <f t="shared" si="74"/>
        <v>0</v>
      </c>
      <c r="G125" s="2692">
        <f t="shared" si="74"/>
        <v>0</v>
      </c>
      <c r="H125" s="2692">
        <f t="shared" ca="1" si="74"/>
        <v>0</v>
      </c>
      <c r="I125" s="2692">
        <f t="shared" ca="1" si="74"/>
        <v>0</v>
      </c>
      <c r="J125" s="2692">
        <f t="shared" ca="1" si="74"/>
        <v>0</v>
      </c>
      <c r="K125" s="2692">
        <f t="shared" ca="1" si="74"/>
        <v>0</v>
      </c>
      <c r="L125" s="2692">
        <f t="shared" ca="1" si="74"/>
        <v>0</v>
      </c>
      <c r="M125" s="2692">
        <f t="shared" ca="1" si="74"/>
        <v>0</v>
      </c>
      <c r="N125" s="2692">
        <f t="shared" ca="1" si="74"/>
        <v>0</v>
      </c>
      <c r="O125" s="2692">
        <f t="shared" ca="1" si="74"/>
        <v>0</v>
      </c>
      <c r="P125" s="2692">
        <f t="shared" ca="1" si="74"/>
        <v>0</v>
      </c>
      <c r="Q125" s="2692">
        <f t="shared" ca="1" si="74"/>
        <v>0</v>
      </c>
      <c r="R125" s="2692">
        <f t="shared" ca="1" si="74"/>
        <v>0</v>
      </c>
      <c r="S125" s="2692">
        <f t="shared" ca="1" si="74"/>
        <v>0</v>
      </c>
      <c r="T125" s="2692">
        <f t="shared" ca="1" si="74"/>
        <v>0</v>
      </c>
      <c r="U125" s="2692">
        <f t="shared" ca="1" si="74"/>
        <v>0</v>
      </c>
      <c r="V125" s="2692">
        <f t="shared" ca="1" si="74"/>
        <v>0</v>
      </c>
      <c r="W125" s="2692">
        <f t="shared" ca="1" si="74"/>
        <v>0</v>
      </c>
    </row>
    <row r="126" spans="1:23" s="2665" customFormat="1" x14ac:dyDescent="0.2">
      <c r="A126" s="2426">
        <v>124</v>
      </c>
      <c r="B126" s="2651"/>
    </row>
    <row r="127" spans="1:23" s="2665" customFormat="1" x14ac:dyDescent="0.2">
      <c r="A127" s="2426">
        <v>125</v>
      </c>
      <c r="B127" s="2691" t="s">
        <v>352</v>
      </c>
      <c r="C127" s="2642">
        <f>C128+C129</f>
        <v>0</v>
      </c>
      <c r="D127" s="2642">
        <f>D128+D129</f>
        <v>0</v>
      </c>
      <c r="E127" s="2642">
        <f>E128+E129</f>
        <v>0</v>
      </c>
      <c r="F127" s="2642">
        <f>F128+F129</f>
        <v>0</v>
      </c>
      <c r="G127" s="2642">
        <f>G128+G129</f>
        <v>0</v>
      </c>
      <c r="H127" s="2642">
        <f t="shared" ref="H127:W127" si="75">H128+H129</f>
        <v>0</v>
      </c>
      <c r="I127" s="2642">
        <f t="shared" si="75"/>
        <v>0</v>
      </c>
      <c r="J127" s="2642">
        <f t="shared" si="75"/>
        <v>0</v>
      </c>
      <c r="K127" s="2642">
        <f t="shared" si="75"/>
        <v>0</v>
      </c>
      <c r="L127" s="2642">
        <f t="shared" si="75"/>
        <v>0</v>
      </c>
      <c r="M127" s="2642">
        <f t="shared" si="75"/>
        <v>0</v>
      </c>
      <c r="N127" s="2642">
        <f t="shared" si="75"/>
        <v>0</v>
      </c>
      <c r="O127" s="2642">
        <f t="shared" si="75"/>
        <v>0</v>
      </c>
      <c r="P127" s="2642">
        <f t="shared" si="75"/>
        <v>0</v>
      </c>
      <c r="Q127" s="2642">
        <f t="shared" si="75"/>
        <v>0</v>
      </c>
      <c r="R127" s="2642">
        <f t="shared" si="75"/>
        <v>0</v>
      </c>
      <c r="S127" s="2642">
        <f t="shared" si="75"/>
        <v>0</v>
      </c>
      <c r="T127" s="2642">
        <f t="shared" si="75"/>
        <v>0</v>
      </c>
      <c r="U127" s="2642">
        <f t="shared" si="75"/>
        <v>0</v>
      </c>
      <c r="V127" s="2642">
        <f t="shared" si="75"/>
        <v>0</v>
      </c>
      <c r="W127" s="2642">
        <f t="shared" si="75"/>
        <v>0</v>
      </c>
    </row>
    <row r="128" spans="1:23" s="2665" customFormat="1" x14ac:dyDescent="0.2">
      <c r="A128" s="2426">
        <v>126</v>
      </c>
      <c r="B128" s="2666" t="s">
        <v>49</v>
      </c>
      <c r="C128" s="2664">
        <v>0</v>
      </c>
      <c r="D128" s="2664">
        <v>0</v>
      </c>
      <c r="E128" s="2664">
        <v>0</v>
      </c>
      <c r="F128" s="2664">
        <v>0</v>
      </c>
      <c r="G128" s="2664">
        <v>0</v>
      </c>
      <c r="H128" s="2670">
        <f>IFERROR(AVERAGE($C$128:$E$128)/AVERAGE($C$77:$E$77)*H77,0)</f>
        <v>0</v>
      </c>
      <c r="I128" s="2670">
        <f t="shared" ref="I128:W128" si="76">IFERROR(AVERAGE($C$128:$E$128)/AVERAGE($C$77:$E$77)*I77,0)</f>
        <v>0</v>
      </c>
      <c r="J128" s="2670">
        <f t="shared" si="76"/>
        <v>0</v>
      </c>
      <c r="K128" s="2670">
        <f t="shared" si="76"/>
        <v>0</v>
      </c>
      <c r="L128" s="2670">
        <f t="shared" si="76"/>
        <v>0</v>
      </c>
      <c r="M128" s="2670">
        <f t="shared" si="76"/>
        <v>0</v>
      </c>
      <c r="N128" s="2670">
        <f t="shared" si="76"/>
        <v>0</v>
      </c>
      <c r="O128" s="2670">
        <f t="shared" si="76"/>
        <v>0</v>
      </c>
      <c r="P128" s="2670">
        <f t="shared" si="76"/>
        <v>0</v>
      </c>
      <c r="Q128" s="2670">
        <f t="shared" si="76"/>
        <v>0</v>
      </c>
      <c r="R128" s="2670">
        <f t="shared" si="76"/>
        <v>0</v>
      </c>
      <c r="S128" s="2670">
        <f t="shared" si="76"/>
        <v>0</v>
      </c>
      <c r="T128" s="2670">
        <f t="shared" si="76"/>
        <v>0</v>
      </c>
      <c r="U128" s="2670">
        <f t="shared" si="76"/>
        <v>0</v>
      </c>
      <c r="V128" s="2670">
        <f t="shared" si="76"/>
        <v>0</v>
      </c>
      <c r="W128" s="2670">
        <f t="shared" si="76"/>
        <v>0</v>
      </c>
    </row>
    <row r="129" spans="1:23" s="2665" customFormat="1" x14ac:dyDescent="0.2">
      <c r="A129" s="2426">
        <v>127</v>
      </c>
      <c r="B129" s="2666" t="s">
        <v>50</v>
      </c>
      <c r="C129" s="2664">
        <v>0</v>
      </c>
      <c r="D129" s="2664">
        <v>0</v>
      </c>
      <c r="E129" s="2664">
        <v>0</v>
      </c>
      <c r="F129" s="2664">
        <v>0</v>
      </c>
      <c r="G129" s="2664">
        <v>0</v>
      </c>
      <c r="H129" s="2670">
        <f>IFERROR(AVERAGE($C$129:$E$129)/AVERAGE($C$77:$E$77)*H77,0)</f>
        <v>0</v>
      </c>
      <c r="I129" s="2670">
        <f t="shared" ref="I129:W129" si="77">IFERROR(AVERAGE($C$129:$E$129)/AVERAGE($C$77:$E$77)*I77,0)</f>
        <v>0</v>
      </c>
      <c r="J129" s="2670">
        <f t="shared" si="77"/>
        <v>0</v>
      </c>
      <c r="K129" s="2670">
        <f t="shared" si="77"/>
        <v>0</v>
      </c>
      <c r="L129" s="2670">
        <f t="shared" si="77"/>
        <v>0</v>
      </c>
      <c r="M129" s="2670">
        <f t="shared" si="77"/>
        <v>0</v>
      </c>
      <c r="N129" s="2670">
        <f t="shared" si="77"/>
        <v>0</v>
      </c>
      <c r="O129" s="2670">
        <f t="shared" si="77"/>
        <v>0</v>
      </c>
      <c r="P129" s="2670">
        <f t="shared" si="77"/>
        <v>0</v>
      </c>
      <c r="Q129" s="2670">
        <f t="shared" si="77"/>
        <v>0</v>
      </c>
      <c r="R129" s="2670">
        <f t="shared" si="77"/>
        <v>0</v>
      </c>
      <c r="S129" s="2670">
        <f t="shared" si="77"/>
        <v>0</v>
      </c>
      <c r="T129" s="2670">
        <f t="shared" si="77"/>
        <v>0</v>
      </c>
      <c r="U129" s="2670">
        <f t="shared" si="77"/>
        <v>0</v>
      </c>
      <c r="V129" s="2670">
        <f t="shared" si="77"/>
        <v>0</v>
      </c>
      <c r="W129" s="2670">
        <f t="shared" si="77"/>
        <v>0</v>
      </c>
    </row>
    <row r="130" spans="1:23" s="2665" customFormat="1" hidden="1" x14ac:dyDescent="0.2">
      <c r="A130" s="2426">
        <v>128</v>
      </c>
      <c r="B130" s="2693"/>
      <c r="C130" s="2694"/>
      <c r="D130" s="2694"/>
      <c r="E130" s="2694"/>
      <c r="F130" s="2694"/>
      <c r="G130" s="2694"/>
    </row>
    <row r="131" spans="1:23" s="2665" customFormat="1" hidden="1" x14ac:dyDescent="0.2">
      <c r="A131" s="2426">
        <v>129</v>
      </c>
      <c r="B131" s="2693" t="s">
        <v>360</v>
      </c>
      <c r="C131" s="2695">
        <f>C141-C410</f>
        <v>0</v>
      </c>
      <c r="D131" s="2695">
        <f>D141-D410</f>
        <v>0</v>
      </c>
      <c r="E131" s="2695">
        <f>E141-E410</f>
        <v>0</v>
      </c>
      <c r="F131" s="2695">
        <f>F141-F410</f>
        <v>0</v>
      </c>
      <c r="G131" s="2695">
        <f>G141-G410</f>
        <v>0</v>
      </c>
      <c r="H131" s="2696"/>
      <c r="I131" s="2696"/>
      <c r="J131" s="2696"/>
      <c r="K131" s="2696"/>
      <c r="L131" s="2696"/>
      <c r="M131" s="2696"/>
      <c r="N131" s="2696"/>
      <c r="O131" s="2696"/>
      <c r="P131" s="2696"/>
      <c r="Q131" s="2696"/>
      <c r="R131" s="2696"/>
      <c r="S131" s="2696"/>
      <c r="T131" s="2696"/>
      <c r="U131" s="2696"/>
      <c r="V131" s="2696"/>
      <c r="W131" s="2696"/>
    </row>
    <row r="132" spans="1:23" s="2665" customFormat="1" hidden="1" x14ac:dyDescent="0.2">
      <c r="A132" s="2426">
        <v>130</v>
      </c>
      <c r="B132" s="2686" t="s">
        <v>560</v>
      </c>
      <c r="C132" s="2647">
        <v>0</v>
      </c>
      <c r="D132" s="2647">
        <v>0</v>
      </c>
      <c r="E132" s="2647">
        <v>0</v>
      </c>
      <c r="F132" s="2647">
        <v>0</v>
      </c>
      <c r="G132" s="2647">
        <v>0</v>
      </c>
      <c r="H132" s="2662"/>
      <c r="I132" s="2662"/>
      <c r="J132" s="2662"/>
      <c r="K132" s="2662"/>
      <c r="L132" s="2662"/>
      <c r="M132" s="2662"/>
      <c r="N132" s="2662"/>
      <c r="O132" s="2662"/>
      <c r="P132" s="2662"/>
      <c r="Q132" s="2662"/>
      <c r="R132" s="2662"/>
      <c r="S132" s="2662"/>
      <c r="T132" s="2662"/>
      <c r="U132" s="2662"/>
      <c r="V132" s="2662"/>
      <c r="W132" s="2662"/>
    </row>
    <row r="133" spans="1:23" s="2665" customFormat="1" hidden="1" x14ac:dyDescent="0.2">
      <c r="A133" s="2426">
        <v>131</v>
      </c>
      <c r="B133" s="2686" t="s">
        <v>505</v>
      </c>
      <c r="C133" s="2647">
        <v>0</v>
      </c>
      <c r="D133" s="2647">
        <v>0</v>
      </c>
      <c r="E133" s="2647">
        <v>0</v>
      </c>
      <c r="F133" s="2647">
        <v>0</v>
      </c>
      <c r="G133" s="2647">
        <v>0</v>
      </c>
      <c r="H133" s="2662"/>
      <c r="I133" s="2662"/>
      <c r="J133" s="2662"/>
      <c r="K133" s="2662"/>
      <c r="L133" s="2662"/>
      <c r="M133" s="2662"/>
      <c r="N133" s="2662"/>
      <c r="O133" s="2662"/>
      <c r="P133" s="2662"/>
      <c r="Q133" s="2662"/>
      <c r="R133" s="2662"/>
      <c r="S133" s="2662"/>
      <c r="T133" s="2662"/>
      <c r="U133" s="2662"/>
      <c r="V133" s="2662"/>
      <c r="W133" s="2662"/>
    </row>
    <row r="134" spans="1:23" s="2665" customFormat="1" hidden="1" x14ac:dyDescent="0.2">
      <c r="A134" s="2426">
        <v>132</v>
      </c>
      <c r="B134" s="2686" t="s">
        <v>561</v>
      </c>
      <c r="C134" s="2647">
        <v>0</v>
      </c>
      <c r="D134" s="2647">
        <v>0</v>
      </c>
      <c r="E134" s="2647">
        <v>0</v>
      </c>
      <c r="F134" s="2647">
        <v>0</v>
      </c>
      <c r="G134" s="2647">
        <v>0</v>
      </c>
      <c r="H134" s="2662"/>
      <c r="I134" s="2662"/>
      <c r="J134" s="2662"/>
      <c r="K134" s="2662"/>
      <c r="L134" s="2662"/>
      <c r="M134" s="2662"/>
      <c r="N134" s="2662"/>
      <c r="O134" s="2662"/>
      <c r="P134" s="2662"/>
      <c r="Q134" s="2662"/>
      <c r="R134" s="2662"/>
      <c r="S134" s="2662"/>
      <c r="T134" s="2662"/>
      <c r="U134" s="2662"/>
      <c r="V134" s="2662"/>
      <c r="W134" s="2662"/>
    </row>
    <row r="135" spans="1:23" s="2665" customFormat="1" hidden="1" x14ac:dyDescent="0.2">
      <c r="A135" s="2426">
        <v>133</v>
      </c>
      <c r="B135" s="2697" t="s">
        <v>624</v>
      </c>
      <c r="C135" s="2647">
        <v>0</v>
      </c>
      <c r="D135" s="2647">
        <v>0</v>
      </c>
      <c r="E135" s="2647">
        <v>0</v>
      </c>
      <c r="F135" s="2647">
        <v>0</v>
      </c>
      <c r="G135" s="2647">
        <v>0</v>
      </c>
      <c r="H135" s="2662"/>
      <c r="I135" s="2662"/>
      <c r="J135" s="2662"/>
      <c r="K135" s="2662"/>
      <c r="L135" s="2662"/>
      <c r="M135" s="2662"/>
      <c r="N135" s="2662"/>
      <c r="O135" s="2662"/>
      <c r="P135" s="2662"/>
      <c r="Q135" s="2662"/>
      <c r="R135" s="2662"/>
      <c r="S135" s="2662"/>
      <c r="T135" s="2662"/>
      <c r="U135" s="2662"/>
      <c r="V135" s="2662"/>
      <c r="W135" s="2662"/>
    </row>
    <row r="136" spans="1:23" s="2665" customFormat="1" hidden="1" x14ac:dyDescent="0.2">
      <c r="A136" s="2426">
        <v>134</v>
      </c>
      <c r="B136" s="2697" t="s">
        <v>625</v>
      </c>
      <c r="C136" s="2647">
        <v>0</v>
      </c>
      <c r="D136" s="2647">
        <v>0</v>
      </c>
      <c r="E136" s="2647">
        <v>0</v>
      </c>
      <c r="F136" s="2647">
        <v>0</v>
      </c>
      <c r="G136" s="2647">
        <v>0</v>
      </c>
      <c r="H136" s="2662"/>
      <c r="I136" s="2662"/>
      <c r="J136" s="2662"/>
      <c r="K136" s="2662"/>
      <c r="L136" s="2662"/>
      <c r="M136" s="2662"/>
      <c r="N136" s="2662"/>
      <c r="O136" s="2662"/>
      <c r="P136" s="2662"/>
      <c r="Q136" s="2662"/>
      <c r="R136" s="2662"/>
      <c r="S136" s="2662"/>
      <c r="T136" s="2662"/>
      <c r="U136" s="2662"/>
      <c r="V136" s="2662"/>
      <c r="W136" s="2662"/>
    </row>
    <row r="137" spans="1:23" s="2665" customFormat="1" hidden="1" x14ac:dyDescent="0.2">
      <c r="A137" s="2426">
        <v>135</v>
      </c>
      <c r="B137" s="2686" t="s">
        <v>562</v>
      </c>
      <c r="C137" s="2647">
        <v>0</v>
      </c>
      <c r="D137" s="2647">
        <v>0</v>
      </c>
      <c r="E137" s="2647">
        <v>0</v>
      </c>
      <c r="F137" s="2647">
        <v>0</v>
      </c>
      <c r="G137" s="2647">
        <v>0</v>
      </c>
      <c r="H137" s="2662"/>
      <c r="I137" s="2662"/>
      <c r="J137" s="2662"/>
      <c r="K137" s="2662"/>
      <c r="L137" s="2662"/>
      <c r="M137" s="2662"/>
      <c r="N137" s="2662"/>
      <c r="O137" s="2662"/>
      <c r="P137" s="2662"/>
      <c r="Q137" s="2662"/>
      <c r="R137" s="2662"/>
      <c r="S137" s="2662"/>
      <c r="T137" s="2662"/>
      <c r="U137" s="2662"/>
      <c r="V137" s="2662"/>
      <c r="W137" s="2662"/>
    </row>
    <row r="138" spans="1:23" s="2665" customFormat="1" hidden="1" x14ac:dyDescent="0.2">
      <c r="A138" s="2426">
        <v>136</v>
      </c>
      <c r="B138" s="2686" t="s">
        <v>391</v>
      </c>
      <c r="C138" s="2647">
        <v>0</v>
      </c>
      <c r="D138" s="2647">
        <v>0</v>
      </c>
      <c r="E138" s="2647">
        <v>0</v>
      </c>
      <c r="F138" s="2647">
        <v>0</v>
      </c>
      <c r="G138" s="2647">
        <v>0</v>
      </c>
      <c r="H138" s="2662"/>
      <c r="I138" s="2662"/>
      <c r="J138" s="2662"/>
      <c r="K138" s="2662"/>
      <c r="L138" s="2662"/>
      <c r="M138" s="2662"/>
      <c r="N138" s="2662"/>
      <c r="O138" s="2662"/>
      <c r="P138" s="2662"/>
      <c r="Q138" s="2662"/>
      <c r="R138" s="2662"/>
      <c r="S138" s="2662"/>
      <c r="T138" s="2662"/>
      <c r="U138" s="2662"/>
      <c r="V138" s="2662"/>
      <c r="W138" s="2662"/>
    </row>
    <row r="139" spans="1:23" s="2665" customFormat="1" hidden="1" x14ac:dyDescent="0.2">
      <c r="A139" s="2426">
        <v>137</v>
      </c>
      <c r="B139" s="2698" t="s">
        <v>563</v>
      </c>
      <c r="C139" s="2647">
        <v>0</v>
      </c>
      <c r="D139" s="2647">
        <v>0</v>
      </c>
      <c r="E139" s="2647">
        <v>0</v>
      </c>
      <c r="F139" s="2647">
        <v>0</v>
      </c>
      <c r="G139" s="2647">
        <v>0</v>
      </c>
      <c r="H139" s="2662"/>
      <c r="I139" s="2662"/>
      <c r="J139" s="2662"/>
      <c r="K139" s="2662"/>
      <c r="L139" s="2662"/>
      <c r="M139" s="2662"/>
      <c r="N139" s="2662"/>
      <c r="O139" s="2662"/>
      <c r="P139" s="2662"/>
      <c r="Q139" s="2662"/>
      <c r="R139" s="2662"/>
      <c r="S139" s="2662"/>
      <c r="T139" s="2662"/>
      <c r="U139" s="2662"/>
      <c r="V139" s="2662"/>
      <c r="W139" s="2662"/>
    </row>
    <row r="140" spans="1:23" s="2665" customFormat="1" hidden="1" x14ac:dyDescent="0.2">
      <c r="A140" s="2426">
        <v>138</v>
      </c>
      <c r="B140" s="2698" t="s">
        <v>564</v>
      </c>
      <c r="C140" s="2657">
        <f t="shared" ref="C140:G140" si="78">C131-C141+C410</f>
        <v>0</v>
      </c>
      <c r="D140" s="2657">
        <f t="shared" si="78"/>
        <v>0</v>
      </c>
      <c r="E140" s="2657">
        <f t="shared" si="78"/>
        <v>0</v>
      </c>
      <c r="F140" s="2657">
        <f t="shared" si="78"/>
        <v>0</v>
      </c>
      <c r="G140" s="2657">
        <f t="shared" si="78"/>
        <v>0</v>
      </c>
      <c r="H140" s="2657"/>
      <c r="I140" s="2657"/>
      <c r="J140" s="2657"/>
      <c r="K140" s="2657"/>
      <c r="L140" s="2657"/>
      <c r="M140" s="2657"/>
      <c r="N140" s="2657"/>
      <c r="O140" s="2657"/>
      <c r="P140" s="2657"/>
      <c r="Q140" s="2657"/>
      <c r="R140" s="2657"/>
      <c r="S140" s="2657"/>
      <c r="T140" s="2657"/>
      <c r="U140" s="2657"/>
      <c r="V140" s="2657"/>
      <c r="W140" s="2657"/>
    </row>
    <row r="141" spans="1:23" s="2665" customFormat="1" hidden="1" x14ac:dyDescent="0.2">
      <c r="A141" s="2426">
        <v>139</v>
      </c>
      <c r="B141" s="2698" t="s">
        <v>691</v>
      </c>
      <c r="C141" s="2657">
        <f t="shared" ref="C141:G141" si="79">C132+C133+C134+C135+C136-C137-C138-C139</f>
        <v>0</v>
      </c>
      <c r="D141" s="2657">
        <f t="shared" si="79"/>
        <v>0</v>
      </c>
      <c r="E141" s="2657">
        <f t="shared" si="79"/>
        <v>0</v>
      </c>
      <c r="F141" s="2657">
        <f t="shared" si="79"/>
        <v>0</v>
      </c>
      <c r="G141" s="2657">
        <f t="shared" si="79"/>
        <v>0</v>
      </c>
      <c r="H141" s="2657"/>
      <c r="I141" s="2657"/>
      <c r="J141" s="2657"/>
      <c r="K141" s="2657"/>
      <c r="L141" s="2657"/>
      <c r="M141" s="2657"/>
      <c r="N141" s="2657"/>
      <c r="O141" s="2657"/>
      <c r="P141" s="2657"/>
      <c r="Q141" s="2657"/>
      <c r="R141" s="2657"/>
      <c r="S141" s="2657"/>
      <c r="T141" s="2657"/>
      <c r="U141" s="2657"/>
      <c r="V141" s="2657"/>
      <c r="W141" s="2657"/>
    </row>
    <row r="142" spans="1:23" s="2665" customFormat="1" x14ac:dyDescent="0.2">
      <c r="A142" s="2426">
        <v>140</v>
      </c>
      <c r="B142" s="2699"/>
      <c r="C142" s="2700">
        <f>IF(C141=0,C140,C141)</f>
        <v>0</v>
      </c>
      <c r="D142" s="2700">
        <f>IF(D141=0,D140,D141)</f>
        <v>0</v>
      </c>
      <c r="E142" s="2700">
        <f>IF(E141=0,E140,E141)</f>
        <v>0</v>
      </c>
      <c r="F142" s="2700">
        <f>IF(F141=0,F140,F141)</f>
        <v>0</v>
      </c>
      <c r="G142" s="2700">
        <f>IF(G141=0,G140,G141)</f>
        <v>0</v>
      </c>
      <c r="H142" s="2701"/>
    </row>
    <row r="143" spans="1:23" s="2665" customFormat="1" x14ac:dyDescent="0.2">
      <c r="A143" s="2426">
        <v>141</v>
      </c>
      <c r="B143" s="2675" t="s">
        <v>1131</v>
      </c>
      <c r="C143" s="2677">
        <f>C119+C125+C127+C131</f>
        <v>0</v>
      </c>
      <c r="D143" s="2677">
        <f>D119+D125+D127+D131</f>
        <v>0</v>
      </c>
      <c r="E143" s="2677">
        <f>E119+E125+E127+E131</f>
        <v>0</v>
      </c>
      <c r="F143" s="2677">
        <f>F119+F125+F127+F131</f>
        <v>0</v>
      </c>
      <c r="G143" s="2677">
        <f>G119+G125+G127+G131</f>
        <v>0</v>
      </c>
      <c r="H143" s="2677">
        <f t="shared" ref="H143:W143" ca="1" si="80">H119+H125+H127+H131</f>
        <v>0</v>
      </c>
      <c r="I143" s="2677">
        <f t="shared" ca="1" si="80"/>
        <v>0</v>
      </c>
      <c r="J143" s="2677">
        <f t="shared" ca="1" si="80"/>
        <v>0</v>
      </c>
      <c r="K143" s="2677">
        <f t="shared" ca="1" si="80"/>
        <v>0</v>
      </c>
      <c r="L143" s="2677">
        <f t="shared" ca="1" si="80"/>
        <v>0</v>
      </c>
      <c r="M143" s="2677">
        <f t="shared" ca="1" si="80"/>
        <v>0</v>
      </c>
      <c r="N143" s="2677">
        <f t="shared" ca="1" si="80"/>
        <v>0</v>
      </c>
      <c r="O143" s="2677">
        <f t="shared" ca="1" si="80"/>
        <v>0</v>
      </c>
      <c r="P143" s="2677">
        <f t="shared" ca="1" si="80"/>
        <v>0</v>
      </c>
      <c r="Q143" s="2677">
        <f t="shared" ca="1" si="80"/>
        <v>0</v>
      </c>
      <c r="R143" s="2677">
        <f t="shared" ca="1" si="80"/>
        <v>0</v>
      </c>
      <c r="S143" s="2677">
        <f t="shared" ca="1" si="80"/>
        <v>0</v>
      </c>
      <c r="T143" s="2677">
        <f t="shared" ca="1" si="80"/>
        <v>0</v>
      </c>
      <c r="U143" s="2677">
        <f t="shared" ca="1" si="80"/>
        <v>0</v>
      </c>
      <c r="V143" s="2677">
        <f t="shared" ca="1" si="80"/>
        <v>0</v>
      </c>
      <c r="W143" s="2677">
        <f t="shared" ca="1" si="80"/>
        <v>0</v>
      </c>
    </row>
    <row r="144" spans="1:23" s="2665" customFormat="1" x14ac:dyDescent="0.2">
      <c r="A144" s="2426">
        <v>142</v>
      </c>
    </row>
    <row r="145" spans="1:23" s="2665" customFormat="1" x14ac:dyDescent="0.2">
      <c r="A145" s="2426">
        <v>143</v>
      </c>
      <c r="B145" s="2691" t="s">
        <v>501</v>
      </c>
      <c r="C145" s="2642">
        <f>SUM(C146:C148)</f>
        <v>0</v>
      </c>
      <c r="D145" s="2642">
        <f>SUM(D146:D148)</f>
        <v>0</v>
      </c>
      <c r="E145" s="2642">
        <f>SUM(E146:E148)</f>
        <v>0</v>
      </c>
      <c r="F145" s="2642">
        <f>SUM(F146:F148)</f>
        <v>0</v>
      </c>
      <c r="G145" s="2642">
        <f>SUM(G146:G148)</f>
        <v>0</v>
      </c>
      <c r="H145" s="2702">
        <f>IFERROR(H290*H77,0)</f>
        <v>0</v>
      </c>
      <c r="I145" s="2702">
        <f t="shared" ref="I145:W145" si="81">IFERROR(I290*I77,0)</f>
        <v>0</v>
      </c>
      <c r="J145" s="2702">
        <f t="shared" si="81"/>
        <v>0</v>
      </c>
      <c r="K145" s="2702">
        <f t="shared" si="81"/>
        <v>0</v>
      </c>
      <c r="L145" s="2702">
        <f t="shared" si="81"/>
        <v>0</v>
      </c>
      <c r="M145" s="2702">
        <f t="shared" si="81"/>
        <v>0</v>
      </c>
      <c r="N145" s="2702">
        <f t="shared" si="81"/>
        <v>0</v>
      </c>
      <c r="O145" s="2702">
        <f t="shared" si="81"/>
        <v>0</v>
      </c>
      <c r="P145" s="2702">
        <f t="shared" si="81"/>
        <v>0</v>
      </c>
      <c r="Q145" s="2702">
        <f t="shared" si="81"/>
        <v>0</v>
      </c>
      <c r="R145" s="2702">
        <f t="shared" si="81"/>
        <v>0</v>
      </c>
      <c r="S145" s="2702">
        <f t="shared" si="81"/>
        <v>0</v>
      </c>
      <c r="T145" s="2702">
        <f t="shared" si="81"/>
        <v>0</v>
      </c>
      <c r="U145" s="2702">
        <f t="shared" si="81"/>
        <v>0</v>
      </c>
      <c r="V145" s="2702">
        <f t="shared" si="81"/>
        <v>0</v>
      </c>
      <c r="W145" s="2702">
        <f t="shared" si="81"/>
        <v>0</v>
      </c>
    </row>
    <row r="146" spans="1:23" s="2665" customFormat="1" x14ac:dyDescent="0.2">
      <c r="A146" s="2426">
        <v>144</v>
      </c>
      <c r="B146" s="2703" t="s">
        <v>692</v>
      </c>
      <c r="C146" s="2664">
        <v>0</v>
      </c>
      <c r="D146" s="2664">
        <v>0</v>
      </c>
      <c r="E146" s="2664">
        <v>0</v>
      </c>
      <c r="F146" s="2664">
        <v>0</v>
      </c>
      <c r="G146" s="2664">
        <v>0</v>
      </c>
      <c r="H146" s="2656"/>
      <c r="I146" s="2656"/>
      <c r="J146" s="2656"/>
      <c r="K146" s="2656"/>
      <c r="L146" s="2656"/>
      <c r="M146" s="2656"/>
      <c r="N146" s="2656"/>
      <c r="O146" s="2656"/>
      <c r="P146" s="2656"/>
      <c r="Q146" s="2656"/>
      <c r="R146" s="2656"/>
      <c r="S146" s="2656"/>
      <c r="T146" s="2656"/>
      <c r="U146" s="2656"/>
      <c r="V146" s="2656"/>
      <c r="W146" s="2656"/>
    </row>
    <row r="147" spans="1:23" s="2665" customFormat="1" hidden="1" x14ac:dyDescent="0.2">
      <c r="A147" s="2426">
        <v>145</v>
      </c>
      <c r="B147" s="2703" t="s">
        <v>692</v>
      </c>
      <c r="C147" s="2664">
        <v>0</v>
      </c>
      <c r="D147" s="2664">
        <v>0</v>
      </c>
      <c r="E147" s="2664">
        <v>0</v>
      </c>
      <c r="F147" s="2664">
        <v>0</v>
      </c>
      <c r="G147" s="2664">
        <v>0</v>
      </c>
      <c r="H147" s="2656"/>
      <c r="I147" s="2656"/>
      <c r="J147" s="2656"/>
      <c r="K147" s="2656"/>
      <c r="L147" s="2656"/>
      <c r="M147" s="2656"/>
      <c r="N147" s="2656"/>
      <c r="O147" s="2656"/>
      <c r="P147" s="2656"/>
      <c r="Q147" s="2656"/>
      <c r="R147" s="2656"/>
      <c r="S147" s="2656"/>
      <c r="T147" s="2656"/>
      <c r="U147" s="2656"/>
      <c r="V147" s="2656"/>
      <c r="W147" s="2656"/>
    </row>
    <row r="148" spans="1:23" s="2665" customFormat="1" hidden="1" x14ac:dyDescent="0.2">
      <c r="A148" s="2426">
        <v>146</v>
      </c>
      <c r="B148" s="2703" t="s">
        <v>692</v>
      </c>
      <c r="C148" s="2664">
        <v>0</v>
      </c>
      <c r="D148" s="2664">
        <v>0</v>
      </c>
      <c r="E148" s="2664">
        <v>0</v>
      </c>
      <c r="F148" s="2664">
        <v>0</v>
      </c>
      <c r="G148" s="2664">
        <v>0</v>
      </c>
      <c r="H148" s="2656"/>
      <c r="I148" s="2656"/>
      <c r="J148" s="2656"/>
      <c r="K148" s="2656"/>
      <c r="L148" s="2656"/>
      <c r="M148" s="2656"/>
      <c r="N148" s="2656"/>
      <c r="O148" s="2656"/>
      <c r="P148" s="2656"/>
      <c r="Q148" s="2656"/>
      <c r="R148" s="2656"/>
      <c r="S148" s="2656"/>
      <c r="T148" s="2656"/>
      <c r="U148" s="2656"/>
      <c r="V148" s="2656"/>
      <c r="W148" s="2656"/>
    </row>
    <row r="149" spans="1:23" s="2665" customFormat="1" x14ac:dyDescent="0.2">
      <c r="A149" s="2426">
        <v>147</v>
      </c>
      <c r="B149" s="2691" t="s">
        <v>354</v>
      </c>
      <c r="C149" s="2642">
        <f>SUM(C150:C152)</f>
        <v>0</v>
      </c>
      <c r="D149" s="2642">
        <f>SUM(D150:D152)</f>
        <v>0</v>
      </c>
      <c r="E149" s="2642">
        <f>SUM(E150:E152)</f>
        <v>0</v>
      </c>
      <c r="F149" s="2642">
        <f>SUM(F150:F152)</f>
        <v>0</v>
      </c>
      <c r="G149" s="2642">
        <f>SUM(G150:G152)</f>
        <v>0</v>
      </c>
      <c r="H149" s="2656">
        <f>+H275*H77</f>
        <v>0</v>
      </c>
      <c r="I149" s="2656">
        <f t="shared" ref="I149:W149" si="82">+I275*I77</f>
        <v>0</v>
      </c>
      <c r="J149" s="2656">
        <f t="shared" si="82"/>
        <v>0</v>
      </c>
      <c r="K149" s="2656">
        <f t="shared" si="82"/>
        <v>0</v>
      </c>
      <c r="L149" s="2656">
        <f t="shared" si="82"/>
        <v>0</v>
      </c>
      <c r="M149" s="2656">
        <f t="shared" si="82"/>
        <v>0</v>
      </c>
      <c r="N149" s="2656">
        <f t="shared" si="82"/>
        <v>0</v>
      </c>
      <c r="O149" s="2656">
        <f t="shared" si="82"/>
        <v>0</v>
      </c>
      <c r="P149" s="2656">
        <f t="shared" si="82"/>
        <v>0</v>
      </c>
      <c r="Q149" s="2656">
        <f t="shared" si="82"/>
        <v>0</v>
      </c>
      <c r="R149" s="2656">
        <f t="shared" si="82"/>
        <v>0</v>
      </c>
      <c r="S149" s="2656">
        <f t="shared" si="82"/>
        <v>0</v>
      </c>
      <c r="T149" s="2656">
        <f t="shared" si="82"/>
        <v>0</v>
      </c>
      <c r="U149" s="2656">
        <f t="shared" si="82"/>
        <v>0</v>
      </c>
      <c r="V149" s="2656">
        <f t="shared" si="82"/>
        <v>0</v>
      </c>
      <c r="W149" s="2656">
        <f t="shared" si="82"/>
        <v>0</v>
      </c>
    </row>
    <row r="150" spans="1:23" s="2665" customFormat="1" x14ac:dyDescent="0.2">
      <c r="A150" s="2426">
        <v>148</v>
      </c>
      <c r="B150" s="2703" t="s">
        <v>692</v>
      </c>
      <c r="C150" s="2664">
        <v>0</v>
      </c>
      <c r="D150" s="2664">
        <v>0</v>
      </c>
      <c r="E150" s="2664">
        <v>0</v>
      </c>
      <c r="F150" s="2664">
        <v>0</v>
      </c>
      <c r="G150" s="2664">
        <v>0</v>
      </c>
      <c r="H150" s="2656"/>
      <c r="I150" s="2656"/>
      <c r="J150" s="2656"/>
      <c r="K150" s="2656"/>
      <c r="L150" s="2656"/>
      <c r="M150" s="2656"/>
      <c r="N150" s="2656"/>
      <c r="O150" s="2656"/>
      <c r="P150" s="2656"/>
      <c r="Q150" s="2656"/>
      <c r="R150" s="2656"/>
      <c r="S150" s="2656"/>
      <c r="T150" s="2656"/>
      <c r="U150" s="2656"/>
      <c r="V150" s="2656"/>
      <c r="W150" s="2656"/>
    </row>
    <row r="151" spans="1:23" s="2665" customFormat="1" hidden="1" x14ac:dyDescent="0.2">
      <c r="A151" s="2426">
        <v>149</v>
      </c>
      <c r="B151" s="2703" t="s">
        <v>692</v>
      </c>
      <c r="C151" s="2664">
        <v>0</v>
      </c>
      <c r="D151" s="2664">
        <v>0</v>
      </c>
      <c r="E151" s="2664">
        <v>0</v>
      </c>
      <c r="F151" s="2664">
        <v>0</v>
      </c>
      <c r="G151" s="2664">
        <v>0</v>
      </c>
      <c r="H151" s="2656"/>
      <c r="I151" s="2656"/>
      <c r="J151" s="2656"/>
      <c r="K151" s="2656"/>
      <c r="L151" s="2656"/>
      <c r="M151" s="2656"/>
      <c r="N151" s="2656"/>
      <c r="O151" s="2656"/>
      <c r="P151" s="2656"/>
      <c r="Q151" s="2656"/>
      <c r="R151" s="2656"/>
      <c r="S151" s="2656"/>
      <c r="T151" s="2656"/>
      <c r="U151" s="2656"/>
      <c r="V151" s="2656"/>
      <c r="W151" s="2656"/>
    </row>
    <row r="152" spans="1:23" s="2665" customFormat="1" hidden="1" x14ac:dyDescent="0.2">
      <c r="A152" s="2426">
        <v>150</v>
      </c>
      <c r="B152" s="2703" t="s">
        <v>692</v>
      </c>
      <c r="C152" s="2664">
        <v>0</v>
      </c>
      <c r="D152" s="2664">
        <v>0</v>
      </c>
      <c r="E152" s="2664">
        <v>0</v>
      </c>
      <c r="F152" s="2664">
        <v>0</v>
      </c>
      <c r="G152" s="2664">
        <v>0</v>
      </c>
      <c r="H152" s="2656"/>
      <c r="I152" s="2656"/>
      <c r="J152" s="2656"/>
      <c r="K152" s="2656"/>
      <c r="L152" s="2656"/>
      <c r="M152" s="2656"/>
      <c r="N152" s="2656"/>
      <c r="O152" s="2656"/>
      <c r="P152" s="2656"/>
      <c r="Q152" s="2656"/>
      <c r="R152" s="2656"/>
      <c r="S152" s="2656"/>
      <c r="T152" s="2656"/>
      <c r="U152" s="2656"/>
      <c r="V152" s="2656"/>
      <c r="W152" s="2656"/>
    </row>
    <row r="153" spans="1:23" s="2665" customFormat="1" x14ac:dyDescent="0.2">
      <c r="A153" s="2426">
        <v>151</v>
      </c>
      <c r="B153" s="2691" t="s">
        <v>359</v>
      </c>
      <c r="C153" s="2642">
        <f>SUM(C154:C156)</f>
        <v>0</v>
      </c>
      <c r="D153" s="2642">
        <f>SUM(D154:D156)</f>
        <v>0</v>
      </c>
      <c r="E153" s="2642">
        <f>SUM(E154:E156)</f>
        <v>0</v>
      </c>
      <c r="F153" s="2642">
        <f>SUM(F154:F156)</f>
        <v>0</v>
      </c>
      <c r="G153" s="2642">
        <f>SUM(G154:G156)</f>
        <v>0</v>
      </c>
      <c r="H153" s="2656"/>
      <c r="I153" s="2656"/>
      <c r="J153" s="2656"/>
      <c r="K153" s="2656"/>
      <c r="L153" s="2656"/>
      <c r="M153" s="2656"/>
      <c r="N153" s="2656"/>
      <c r="O153" s="2656"/>
      <c r="P153" s="2656"/>
      <c r="Q153" s="2656"/>
      <c r="R153" s="2656"/>
      <c r="S153" s="2656"/>
      <c r="T153" s="2656"/>
      <c r="U153" s="2656"/>
      <c r="V153" s="2656"/>
      <c r="W153" s="2656"/>
    </row>
    <row r="154" spans="1:23" s="2665" customFormat="1" x14ac:dyDescent="0.2">
      <c r="A154" s="2426">
        <v>152</v>
      </c>
      <c r="B154" s="2703" t="s">
        <v>692</v>
      </c>
      <c r="C154" s="2664">
        <v>0</v>
      </c>
      <c r="D154" s="2664">
        <v>0</v>
      </c>
      <c r="E154" s="2664">
        <v>0</v>
      </c>
      <c r="F154" s="2664">
        <v>0</v>
      </c>
      <c r="G154" s="2664">
        <v>0</v>
      </c>
      <c r="H154" s="2656"/>
      <c r="I154" s="2656"/>
      <c r="J154" s="2656"/>
      <c r="K154" s="2656"/>
      <c r="L154" s="2656"/>
      <c r="M154" s="2656"/>
      <c r="N154" s="2656"/>
      <c r="O154" s="2656"/>
      <c r="P154" s="2656"/>
      <c r="Q154" s="2656"/>
      <c r="R154" s="2656"/>
      <c r="S154" s="2656"/>
      <c r="T154" s="2656"/>
      <c r="U154" s="2656"/>
      <c r="V154" s="2656"/>
      <c r="W154" s="2656"/>
    </row>
    <row r="155" spans="1:23" s="2665" customFormat="1" hidden="1" x14ac:dyDescent="0.2">
      <c r="A155" s="2426">
        <v>153</v>
      </c>
      <c r="B155" s="2703" t="s">
        <v>692</v>
      </c>
      <c r="C155" s="2664">
        <v>0</v>
      </c>
      <c r="D155" s="2664">
        <v>0</v>
      </c>
      <c r="E155" s="2664">
        <v>0</v>
      </c>
      <c r="F155" s="2664">
        <v>0</v>
      </c>
      <c r="G155" s="2664">
        <v>0</v>
      </c>
      <c r="H155" s="2656"/>
      <c r="I155" s="2656"/>
      <c r="J155" s="2656"/>
      <c r="K155" s="2656"/>
      <c r="L155" s="2656"/>
      <c r="M155" s="2656"/>
      <c r="N155" s="2656"/>
      <c r="O155" s="2656"/>
      <c r="P155" s="2656"/>
      <c r="Q155" s="2656"/>
      <c r="R155" s="2656"/>
      <c r="S155" s="2656"/>
      <c r="T155" s="2656"/>
      <c r="U155" s="2656"/>
      <c r="V155" s="2656"/>
      <c r="W155" s="2656"/>
    </row>
    <row r="156" spans="1:23" s="2665" customFormat="1" hidden="1" x14ac:dyDescent="0.2">
      <c r="A156" s="2426">
        <v>154</v>
      </c>
      <c r="B156" s="2703" t="s">
        <v>692</v>
      </c>
      <c r="C156" s="2664">
        <v>0</v>
      </c>
      <c r="D156" s="2664">
        <v>0</v>
      </c>
      <c r="E156" s="2664">
        <v>0</v>
      </c>
      <c r="F156" s="2664">
        <v>0</v>
      </c>
      <c r="G156" s="2664">
        <v>0</v>
      </c>
      <c r="H156" s="2656"/>
      <c r="I156" s="2656"/>
      <c r="J156" s="2656"/>
      <c r="K156" s="2656"/>
      <c r="L156" s="2656"/>
      <c r="M156" s="2656"/>
      <c r="N156" s="2656"/>
      <c r="O156" s="2656"/>
      <c r="P156" s="2656"/>
      <c r="Q156" s="2656"/>
      <c r="R156" s="2656"/>
      <c r="S156" s="2656"/>
      <c r="T156" s="2656"/>
      <c r="U156" s="2656"/>
      <c r="V156" s="2656"/>
      <c r="W156" s="2656"/>
    </row>
    <row r="157" spans="1:23" s="2665" customFormat="1" x14ac:dyDescent="0.2">
      <c r="A157" s="2426">
        <v>155</v>
      </c>
      <c r="B157" s="2691" t="s">
        <v>356</v>
      </c>
      <c r="C157" s="2642">
        <f>SUM(C158:C160)</f>
        <v>0</v>
      </c>
      <c r="D157" s="2642">
        <f>SUM(D158:D160)</f>
        <v>0</v>
      </c>
      <c r="E157" s="2642">
        <f>SUM(E158:E160)</f>
        <v>0</v>
      </c>
      <c r="F157" s="2642">
        <f>SUM(F158:F160)</f>
        <v>0</v>
      </c>
      <c r="G157" s="2642">
        <f>SUM(G158:G160)</f>
        <v>0</v>
      </c>
      <c r="H157" s="2656"/>
      <c r="I157" s="2656"/>
      <c r="J157" s="2656"/>
      <c r="K157" s="2656"/>
      <c r="L157" s="2656"/>
      <c r="M157" s="2656"/>
      <c r="N157" s="2656"/>
      <c r="O157" s="2656"/>
      <c r="P157" s="2656"/>
      <c r="Q157" s="2656"/>
      <c r="R157" s="2656"/>
      <c r="S157" s="2656"/>
      <c r="T157" s="2656"/>
      <c r="U157" s="2656"/>
      <c r="V157" s="2656"/>
      <c r="W157" s="2656"/>
    </row>
    <row r="158" spans="1:23" s="2665" customFormat="1" x14ac:dyDescent="0.2">
      <c r="A158" s="2426">
        <v>156</v>
      </c>
      <c r="B158" s="2703" t="s">
        <v>692</v>
      </c>
      <c r="C158" s="2664">
        <v>0</v>
      </c>
      <c r="D158" s="2664">
        <v>0</v>
      </c>
      <c r="E158" s="2664">
        <v>0</v>
      </c>
      <c r="F158" s="2664">
        <v>0</v>
      </c>
      <c r="G158" s="2664">
        <v>0</v>
      </c>
      <c r="H158" s="2656"/>
      <c r="I158" s="2656"/>
      <c r="J158" s="2656"/>
      <c r="K158" s="2656"/>
      <c r="L158" s="2656"/>
      <c r="M158" s="2656"/>
      <c r="N158" s="2656"/>
      <c r="O158" s="2656"/>
      <c r="P158" s="2656"/>
      <c r="Q158" s="2656"/>
      <c r="R158" s="2656"/>
      <c r="S158" s="2656"/>
      <c r="T158" s="2656"/>
      <c r="U158" s="2656"/>
      <c r="V158" s="2656"/>
      <c r="W158" s="2656"/>
    </row>
    <row r="159" spans="1:23" s="2665" customFormat="1" hidden="1" x14ac:dyDescent="0.2">
      <c r="A159" s="2426">
        <v>157</v>
      </c>
      <c r="B159" s="2703" t="s">
        <v>692</v>
      </c>
      <c r="C159" s="2664">
        <v>0</v>
      </c>
      <c r="D159" s="2664">
        <v>0</v>
      </c>
      <c r="E159" s="2664">
        <v>0</v>
      </c>
      <c r="F159" s="2664">
        <v>0</v>
      </c>
      <c r="G159" s="2664">
        <v>0</v>
      </c>
      <c r="H159" s="2656"/>
      <c r="I159" s="2656"/>
      <c r="J159" s="2656"/>
      <c r="K159" s="2656"/>
      <c r="L159" s="2656"/>
      <c r="M159" s="2656"/>
      <c r="N159" s="2656"/>
      <c r="O159" s="2656"/>
      <c r="P159" s="2656"/>
      <c r="Q159" s="2656"/>
      <c r="R159" s="2656"/>
      <c r="S159" s="2656"/>
      <c r="T159" s="2656"/>
      <c r="U159" s="2656"/>
      <c r="V159" s="2656"/>
      <c r="W159" s="2656"/>
    </row>
    <row r="160" spans="1:23" s="2665" customFormat="1" hidden="1" x14ac:dyDescent="0.2">
      <c r="A160" s="2426">
        <v>158</v>
      </c>
      <c r="B160" s="2703" t="s">
        <v>692</v>
      </c>
      <c r="C160" s="2664">
        <v>0</v>
      </c>
      <c r="D160" s="2664">
        <v>0</v>
      </c>
      <c r="E160" s="2664">
        <v>0</v>
      </c>
      <c r="F160" s="2664">
        <v>0</v>
      </c>
      <c r="G160" s="2664">
        <v>0</v>
      </c>
      <c r="H160" s="2656"/>
      <c r="I160" s="2656"/>
      <c r="J160" s="2656"/>
      <c r="K160" s="2656"/>
      <c r="L160" s="2656"/>
      <c r="M160" s="2656"/>
      <c r="N160" s="2656"/>
      <c r="O160" s="2656"/>
      <c r="P160" s="2656"/>
      <c r="Q160" s="2656"/>
      <c r="R160" s="2656"/>
      <c r="S160" s="2656"/>
      <c r="T160" s="2656"/>
      <c r="U160" s="2656"/>
      <c r="V160" s="2656"/>
      <c r="W160" s="2656"/>
    </row>
    <row r="161" spans="1:24" s="2665" customFormat="1" x14ac:dyDescent="0.2">
      <c r="A161" s="2426">
        <v>159</v>
      </c>
      <c r="B161" s="2691" t="s">
        <v>1132</v>
      </c>
      <c r="C161" s="2656">
        <f t="shared" ref="C161:H161" si="83">C145-C149+C153-C157</f>
        <v>0</v>
      </c>
      <c r="D161" s="2656">
        <f t="shared" si="83"/>
        <v>0</v>
      </c>
      <c r="E161" s="2656">
        <f t="shared" si="83"/>
        <v>0</v>
      </c>
      <c r="F161" s="2656">
        <f t="shared" si="83"/>
        <v>0</v>
      </c>
      <c r="G161" s="2656">
        <f t="shared" si="83"/>
        <v>0</v>
      </c>
      <c r="H161" s="2656">
        <f t="shared" si="83"/>
        <v>0</v>
      </c>
      <c r="I161" s="2656">
        <f t="shared" ref="I161:W161" si="84">I145-I149+I153-I157</f>
        <v>0</v>
      </c>
      <c r="J161" s="2656">
        <f t="shared" si="84"/>
        <v>0</v>
      </c>
      <c r="K161" s="2656">
        <f t="shared" si="84"/>
        <v>0</v>
      </c>
      <c r="L161" s="2656">
        <f t="shared" si="84"/>
        <v>0</v>
      </c>
      <c r="M161" s="2656">
        <f t="shared" si="84"/>
        <v>0</v>
      </c>
      <c r="N161" s="2656">
        <f t="shared" si="84"/>
        <v>0</v>
      </c>
      <c r="O161" s="2656">
        <f t="shared" si="84"/>
        <v>0</v>
      </c>
      <c r="P161" s="2656">
        <f t="shared" si="84"/>
        <v>0</v>
      </c>
      <c r="Q161" s="2656">
        <f t="shared" si="84"/>
        <v>0</v>
      </c>
      <c r="R161" s="2656">
        <f t="shared" si="84"/>
        <v>0</v>
      </c>
      <c r="S161" s="2656">
        <f t="shared" si="84"/>
        <v>0</v>
      </c>
      <c r="T161" s="2656">
        <f t="shared" si="84"/>
        <v>0</v>
      </c>
      <c r="U161" s="2656">
        <f t="shared" si="84"/>
        <v>0</v>
      </c>
      <c r="V161" s="2656">
        <f t="shared" si="84"/>
        <v>0</v>
      </c>
      <c r="W161" s="2656">
        <f t="shared" si="84"/>
        <v>0</v>
      </c>
    </row>
    <row r="162" spans="1:24" s="2665" customFormat="1" x14ac:dyDescent="0.2">
      <c r="A162" s="2426">
        <v>160</v>
      </c>
    </row>
    <row r="163" spans="1:24" s="2665" customFormat="1" x14ac:dyDescent="0.2">
      <c r="A163" s="2426">
        <v>161</v>
      </c>
      <c r="B163" s="2675" t="s">
        <v>693</v>
      </c>
      <c r="C163" s="2676">
        <f>C143+C161</f>
        <v>0</v>
      </c>
      <c r="D163" s="2676">
        <f t="shared" ref="D163:W163" si="85">D143+D161</f>
        <v>0</v>
      </c>
      <c r="E163" s="2676">
        <f t="shared" si="85"/>
        <v>0</v>
      </c>
      <c r="F163" s="2676">
        <f t="shared" si="85"/>
        <v>0</v>
      </c>
      <c r="G163" s="2676">
        <f t="shared" si="85"/>
        <v>0</v>
      </c>
      <c r="H163" s="2677">
        <f t="shared" ca="1" si="85"/>
        <v>0</v>
      </c>
      <c r="I163" s="2677">
        <f t="shared" ca="1" si="85"/>
        <v>0</v>
      </c>
      <c r="J163" s="2677">
        <f t="shared" ca="1" si="85"/>
        <v>0</v>
      </c>
      <c r="K163" s="2677">
        <f t="shared" ca="1" si="85"/>
        <v>0</v>
      </c>
      <c r="L163" s="2677">
        <f t="shared" ca="1" si="85"/>
        <v>0</v>
      </c>
      <c r="M163" s="2677">
        <f t="shared" ca="1" si="85"/>
        <v>0</v>
      </c>
      <c r="N163" s="2677">
        <f t="shared" ca="1" si="85"/>
        <v>0</v>
      </c>
      <c r="O163" s="2677">
        <f t="shared" ca="1" si="85"/>
        <v>0</v>
      </c>
      <c r="P163" s="2677">
        <f t="shared" ca="1" si="85"/>
        <v>0</v>
      </c>
      <c r="Q163" s="2677">
        <f t="shared" ca="1" si="85"/>
        <v>0</v>
      </c>
      <c r="R163" s="2677">
        <f t="shared" ca="1" si="85"/>
        <v>0</v>
      </c>
      <c r="S163" s="2677">
        <f t="shared" ca="1" si="85"/>
        <v>0</v>
      </c>
      <c r="T163" s="2677">
        <f t="shared" ca="1" si="85"/>
        <v>0</v>
      </c>
      <c r="U163" s="2677">
        <f t="shared" ca="1" si="85"/>
        <v>0</v>
      </c>
      <c r="V163" s="2677">
        <f t="shared" ca="1" si="85"/>
        <v>0</v>
      </c>
      <c r="W163" s="2677">
        <f t="shared" ca="1" si="85"/>
        <v>0</v>
      </c>
    </row>
    <row r="164" spans="1:24" s="2665" customFormat="1" x14ac:dyDescent="0.2">
      <c r="A164" s="2426">
        <v>162</v>
      </c>
      <c r="B164" s="2669" t="s">
        <v>362</v>
      </c>
      <c r="C164" s="2664">
        <v>0</v>
      </c>
      <c r="D164" s="2664">
        <v>0</v>
      </c>
      <c r="E164" s="2664">
        <v>0</v>
      </c>
      <c r="F164" s="2664">
        <v>0</v>
      </c>
      <c r="G164" s="2664">
        <v>0</v>
      </c>
      <c r="H164" s="2656">
        <f ca="1">IFERROR(IF((H240)*H30*H31&gt;H163*H30,(H240)*H30*H31,H163*H30),0)</f>
        <v>0</v>
      </c>
      <c r="I164" s="2656">
        <f ca="1">IFERROR(IF((I240)*I30*I31&gt;I163*I30,(I240)*I30*I31,I163*I30),0)</f>
        <v>0</v>
      </c>
      <c r="J164" s="2656">
        <f t="shared" ref="J164:W164" ca="1" si="86">IFERROR(IF((J240)*J30*J31&gt;J163*J30,(J240)*J30*J31,J163*J30),0)</f>
        <v>0</v>
      </c>
      <c r="K164" s="2656">
        <f t="shared" ca="1" si="86"/>
        <v>0</v>
      </c>
      <c r="L164" s="2656">
        <f t="shared" ca="1" si="86"/>
        <v>0</v>
      </c>
      <c r="M164" s="2656">
        <f t="shared" ca="1" si="86"/>
        <v>0</v>
      </c>
      <c r="N164" s="2656">
        <f t="shared" ca="1" si="86"/>
        <v>0</v>
      </c>
      <c r="O164" s="2656">
        <f t="shared" ca="1" si="86"/>
        <v>0</v>
      </c>
      <c r="P164" s="2656">
        <f t="shared" ca="1" si="86"/>
        <v>0</v>
      </c>
      <c r="Q164" s="2656">
        <f t="shared" ca="1" si="86"/>
        <v>0</v>
      </c>
      <c r="R164" s="2656">
        <f t="shared" ca="1" si="86"/>
        <v>0</v>
      </c>
      <c r="S164" s="2656">
        <f t="shared" ca="1" si="86"/>
        <v>0</v>
      </c>
      <c r="T164" s="2656">
        <f t="shared" ca="1" si="86"/>
        <v>0</v>
      </c>
      <c r="U164" s="2656">
        <f t="shared" ca="1" si="86"/>
        <v>0</v>
      </c>
      <c r="V164" s="2656">
        <f t="shared" ca="1" si="86"/>
        <v>0</v>
      </c>
      <c r="W164" s="2656">
        <f t="shared" ca="1" si="86"/>
        <v>0</v>
      </c>
    </row>
    <row r="165" spans="1:24" s="2665" customFormat="1" x14ac:dyDescent="0.2">
      <c r="A165" s="2426">
        <v>163</v>
      </c>
      <c r="B165" s="2675" t="s">
        <v>363</v>
      </c>
      <c r="C165" s="2677">
        <f t="shared" ref="C165:W165" si="87">C163-C164</f>
        <v>0</v>
      </c>
      <c r="D165" s="2677">
        <f t="shared" si="87"/>
        <v>0</v>
      </c>
      <c r="E165" s="2677">
        <f t="shared" si="87"/>
        <v>0</v>
      </c>
      <c r="F165" s="2677">
        <f t="shared" si="87"/>
        <v>0</v>
      </c>
      <c r="G165" s="2677">
        <f t="shared" si="87"/>
        <v>0</v>
      </c>
      <c r="H165" s="2677">
        <f t="shared" ca="1" si="87"/>
        <v>0</v>
      </c>
      <c r="I165" s="2677">
        <f t="shared" ca="1" si="87"/>
        <v>0</v>
      </c>
      <c r="J165" s="2677">
        <f t="shared" ca="1" si="87"/>
        <v>0</v>
      </c>
      <c r="K165" s="2677">
        <f t="shared" ca="1" si="87"/>
        <v>0</v>
      </c>
      <c r="L165" s="2677">
        <f t="shared" ca="1" si="87"/>
        <v>0</v>
      </c>
      <c r="M165" s="2677">
        <f t="shared" ca="1" si="87"/>
        <v>0</v>
      </c>
      <c r="N165" s="2677">
        <f t="shared" ca="1" si="87"/>
        <v>0</v>
      </c>
      <c r="O165" s="2677">
        <f t="shared" ca="1" si="87"/>
        <v>0</v>
      </c>
      <c r="P165" s="2677">
        <f t="shared" ca="1" si="87"/>
        <v>0</v>
      </c>
      <c r="Q165" s="2677">
        <f t="shared" ca="1" si="87"/>
        <v>0</v>
      </c>
      <c r="R165" s="2677">
        <f t="shared" ca="1" si="87"/>
        <v>0</v>
      </c>
      <c r="S165" s="2677">
        <f t="shared" ca="1" si="87"/>
        <v>0</v>
      </c>
      <c r="T165" s="2677">
        <f t="shared" ca="1" si="87"/>
        <v>0</v>
      </c>
      <c r="U165" s="2677">
        <f t="shared" ca="1" si="87"/>
        <v>0</v>
      </c>
      <c r="V165" s="2677">
        <f t="shared" ca="1" si="87"/>
        <v>0</v>
      </c>
      <c r="W165" s="2677">
        <f t="shared" ca="1" si="87"/>
        <v>0</v>
      </c>
    </row>
    <row r="166" spans="1:24" s="2665" customFormat="1" x14ac:dyDescent="0.2">
      <c r="A166" s="2426">
        <v>164</v>
      </c>
      <c r="B166" s="2663" t="s">
        <v>1196</v>
      </c>
      <c r="C166" s="2664">
        <v>0</v>
      </c>
      <c r="D166" s="2664">
        <v>0</v>
      </c>
      <c r="E166" s="2664">
        <v>0</v>
      </c>
      <c r="F166" s="2664">
        <v>0</v>
      </c>
      <c r="G166" s="2664">
        <v>0</v>
      </c>
      <c r="H166" s="2670">
        <f>IFERROR(AVERAGE($C$166:$G$166)/AVERAGE($C$77:$G$77)*H77,0)</f>
        <v>0</v>
      </c>
      <c r="I166" s="2670">
        <f t="shared" ref="I166:W166" si="88">IFERROR(AVERAGE($C$166:$G$166)/AVERAGE($C$77:$G$77)*I77,0)</f>
        <v>0</v>
      </c>
      <c r="J166" s="2670">
        <f t="shared" si="88"/>
        <v>0</v>
      </c>
      <c r="K166" s="2670">
        <f t="shared" si="88"/>
        <v>0</v>
      </c>
      <c r="L166" s="2670">
        <f t="shared" si="88"/>
        <v>0</v>
      </c>
      <c r="M166" s="2670">
        <f t="shared" si="88"/>
        <v>0</v>
      </c>
      <c r="N166" s="2670">
        <f t="shared" si="88"/>
        <v>0</v>
      </c>
      <c r="O166" s="2670">
        <f t="shared" si="88"/>
        <v>0</v>
      </c>
      <c r="P166" s="2670">
        <f t="shared" si="88"/>
        <v>0</v>
      </c>
      <c r="Q166" s="2670">
        <f t="shared" si="88"/>
        <v>0</v>
      </c>
      <c r="R166" s="2670">
        <f t="shared" si="88"/>
        <v>0</v>
      </c>
      <c r="S166" s="2670">
        <f t="shared" si="88"/>
        <v>0</v>
      </c>
      <c r="T166" s="2670">
        <f t="shared" si="88"/>
        <v>0</v>
      </c>
      <c r="U166" s="2670">
        <f t="shared" si="88"/>
        <v>0</v>
      </c>
      <c r="V166" s="2670">
        <f t="shared" si="88"/>
        <v>0</v>
      </c>
      <c r="W166" s="2670">
        <f t="shared" si="88"/>
        <v>0</v>
      </c>
    </row>
    <row r="167" spans="1:24" s="2665" customFormat="1" x14ac:dyDescent="0.2">
      <c r="A167" s="2426">
        <v>165</v>
      </c>
      <c r="B167" s="2663" t="s">
        <v>482</v>
      </c>
      <c r="C167" s="2664">
        <v>0</v>
      </c>
      <c r="D167" s="2664">
        <v>0</v>
      </c>
      <c r="E167" s="2664">
        <v>0</v>
      </c>
      <c r="F167" s="2664">
        <v>0</v>
      </c>
      <c r="G167" s="2664">
        <v>0</v>
      </c>
      <c r="H167" s="2658">
        <v>0</v>
      </c>
      <c r="I167" s="2658">
        <v>0</v>
      </c>
      <c r="J167" s="2658">
        <v>0</v>
      </c>
      <c r="K167" s="2658">
        <v>0</v>
      </c>
      <c r="L167" s="2658">
        <v>0</v>
      </c>
      <c r="M167" s="2658">
        <v>0</v>
      </c>
      <c r="N167" s="2658">
        <v>0</v>
      </c>
      <c r="O167" s="2658">
        <v>0</v>
      </c>
      <c r="P167" s="2658">
        <v>0</v>
      </c>
      <c r="Q167" s="2658">
        <v>0</v>
      </c>
      <c r="R167" s="2658">
        <v>0</v>
      </c>
      <c r="S167" s="2658">
        <v>0</v>
      </c>
      <c r="T167" s="2658">
        <v>0</v>
      </c>
      <c r="U167" s="2658">
        <v>0</v>
      </c>
      <c r="V167" s="2658">
        <v>0</v>
      </c>
      <c r="W167" s="2658">
        <v>0</v>
      </c>
    </row>
    <row r="168" spans="1:24" s="2665" customFormat="1" x14ac:dyDescent="0.2">
      <c r="A168" s="2426">
        <v>166</v>
      </c>
      <c r="B168" s="2675" t="s">
        <v>364</v>
      </c>
      <c r="C168" s="2676">
        <f t="shared" ref="C168:W168" si="89">C165-C166-C167</f>
        <v>0</v>
      </c>
      <c r="D168" s="2676">
        <f t="shared" si="89"/>
        <v>0</v>
      </c>
      <c r="E168" s="2676">
        <f t="shared" si="89"/>
        <v>0</v>
      </c>
      <c r="F168" s="2676">
        <f t="shared" si="89"/>
        <v>0</v>
      </c>
      <c r="G168" s="2676">
        <f t="shared" si="89"/>
        <v>0</v>
      </c>
      <c r="H168" s="2677">
        <f t="shared" ca="1" si="89"/>
        <v>0</v>
      </c>
      <c r="I168" s="2677">
        <f t="shared" ca="1" si="89"/>
        <v>0</v>
      </c>
      <c r="J168" s="2677">
        <f t="shared" ca="1" si="89"/>
        <v>0</v>
      </c>
      <c r="K168" s="2677">
        <f t="shared" ca="1" si="89"/>
        <v>0</v>
      </c>
      <c r="L168" s="2677">
        <f t="shared" ca="1" si="89"/>
        <v>0</v>
      </c>
      <c r="M168" s="2677">
        <f t="shared" ca="1" si="89"/>
        <v>0</v>
      </c>
      <c r="N168" s="2677">
        <f t="shared" ca="1" si="89"/>
        <v>0</v>
      </c>
      <c r="O168" s="2677">
        <f t="shared" ca="1" si="89"/>
        <v>0</v>
      </c>
      <c r="P168" s="2677">
        <f t="shared" ca="1" si="89"/>
        <v>0</v>
      </c>
      <c r="Q168" s="2677">
        <f t="shared" ca="1" si="89"/>
        <v>0</v>
      </c>
      <c r="R168" s="2677">
        <f t="shared" ca="1" si="89"/>
        <v>0</v>
      </c>
      <c r="S168" s="2677">
        <f t="shared" ca="1" si="89"/>
        <v>0</v>
      </c>
      <c r="T168" s="2677">
        <f t="shared" ca="1" si="89"/>
        <v>0</v>
      </c>
      <c r="U168" s="2677">
        <f t="shared" ca="1" si="89"/>
        <v>0</v>
      </c>
      <c r="V168" s="2677">
        <f t="shared" ca="1" si="89"/>
        <v>0</v>
      </c>
      <c r="W168" s="2677">
        <f t="shared" ca="1" si="89"/>
        <v>0</v>
      </c>
      <c r="X168" s="2704"/>
    </row>
    <row r="169" spans="1:24" s="2665" customFormat="1" x14ac:dyDescent="0.2">
      <c r="A169" s="2426">
        <v>167</v>
      </c>
      <c r="B169" s="2675" t="s">
        <v>697</v>
      </c>
      <c r="C169" s="2688">
        <f t="shared" ref="C169:W169" si="90">IF(C77=0,0,C168/C77)</f>
        <v>0</v>
      </c>
      <c r="D169" s="2688">
        <f t="shared" si="90"/>
        <v>0</v>
      </c>
      <c r="E169" s="2688">
        <f t="shared" si="90"/>
        <v>0</v>
      </c>
      <c r="F169" s="2688">
        <f t="shared" si="90"/>
        <v>0</v>
      </c>
      <c r="G169" s="2688">
        <f t="shared" si="90"/>
        <v>0</v>
      </c>
      <c r="H169" s="2688">
        <f t="shared" si="90"/>
        <v>0</v>
      </c>
      <c r="I169" s="2688">
        <f t="shared" si="90"/>
        <v>0</v>
      </c>
      <c r="J169" s="2688">
        <f t="shared" si="90"/>
        <v>0</v>
      </c>
      <c r="K169" s="2688">
        <f t="shared" si="90"/>
        <v>0</v>
      </c>
      <c r="L169" s="2688">
        <f t="shared" si="90"/>
        <v>0</v>
      </c>
      <c r="M169" s="2688">
        <f t="shared" si="90"/>
        <v>0</v>
      </c>
      <c r="N169" s="2688">
        <f t="shared" si="90"/>
        <v>0</v>
      </c>
      <c r="O169" s="2688">
        <f t="shared" si="90"/>
        <v>0</v>
      </c>
      <c r="P169" s="2688">
        <f t="shared" si="90"/>
        <v>0</v>
      </c>
      <c r="Q169" s="2688">
        <f t="shared" si="90"/>
        <v>0</v>
      </c>
      <c r="R169" s="2688">
        <f t="shared" si="90"/>
        <v>0</v>
      </c>
      <c r="S169" s="2688">
        <f t="shared" si="90"/>
        <v>0</v>
      </c>
      <c r="T169" s="2688">
        <f t="shared" si="90"/>
        <v>0</v>
      </c>
      <c r="U169" s="2688">
        <f t="shared" si="90"/>
        <v>0</v>
      </c>
      <c r="V169" s="2688">
        <f t="shared" si="90"/>
        <v>0</v>
      </c>
      <c r="W169" s="2688">
        <f t="shared" si="90"/>
        <v>0</v>
      </c>
    </row>
    <row r="170" spans="1:24" s="2665" customFormat="1" hidden="1" x14ac:dyDescent="0.2">
      <c r="A170" s="2426">
        <v>168</v>
      </c>
      <c r="B170" s="2426"/>
      <c r="C170" s="2681"/>
      <c r="D170" s="2681"/>
      <c r="E170" s="2681"/>
      <c r="F170" s="2681"/>
      <c r="G170" s="2681"/>
    </row>
    <row r="171" spans="1:24" s="2665" customFormat="1" x14ac:dyDescent="0.2">
      <c r="A171" s="2426">
        <v>169</v>
      </c>
      <c r="B171" s="2426"/>
      <c r="C171" s="2705"/>
      <c r="E171" s="2704"/>
    </row>
    <row r="172" spans="1:24" s="2665" customFormat="1" x14ac:dyDescent="0.2">
      <c r="A172" s="2426">
        <v>170</v>
      </c>
      <c r="B172" s="2706" t="s">
        <v>276</v>
      </c>
      <c r="C172" s="2707">
        <f>(C210+C193)</f>
        <v>0</v>
      </c>
      <c r="D172" s="2707">
        <f>(D210+D193)</f>
        <v>0</v>
      </c>
      <c r="E172" s="2707">
        <f>(E210+E193)</f>
        <v>0</v>
      </c>
      <c r="F172" s="2707">
        <f t="shared" ref="F172:W172" si="91">(F210+F193)</f>
        <v>0</v>
      </c>
      <c r="G172" s="2707">
        <f t="shared" si="91"/>
        <v>0</v>
      </c>
      <c r="H172" s="2708">
        <f t="shared" ca="1" si="91"/>
        <v>0</v>
      </c>
      <c r="I172" s="2708">
        <f t="shared" ca="1" si="91"/>
        <v>0</v>
      </c>
      <c r="J172" s="2708">
        <f t="shared" ca="1" si="91"/>
        <v>0</v>
      </c>
      <c r="K172" s="2708">
        <f t="shared" ca="1" si="91"/>
        <v>0</v>
      </c>
      <c r="L172" s="2708">
        <f t="shared" ca="1" si="91"/>
        <v>0</v>
      </c>
      <c r="M172" s="2708">
        <f t="shared" ca="1" si="91"/>
        <v>0</v>
      </c>
      <c r="N172" s="2708">
        <f t="shared" ca="1" si="91"/>
        <v>0</v>
      </c>
      <c r="O172" s="2708">
        <f t="shared" ca="1" si="91"/>
        <v>0</v>
      </c>
      <c r="P172" s="2708">
        <f t="shared" ca="1" si="91"/>
        <v>0</v>
      </c>
      <c r="Q172" s="2708">
        <f t="shared" ca="1" si="91"/>
        <v>0</v>
      </c>
      <c r="R172" s="2708">
        <f t="shared" ca="1" si="91"/>
        <v>0</v>
      </c>
      <c r="S172" s="2708">
        <f t="shared" ca="1" si="91"/>
        <v>0</v>
      </c>
      <c r="T172" s="2708">
        <f t="shared" ca="1" si="91"/>
        <v>0</v>
      </c>
      <c r="U172" s="2708">
        <f t="shared" ca="1" si="91"/>
        <v>0</v>
      </c>
      <c r="V172" s="2708">
        <f t="shared" ca="1" si="91"/>
        <v>0</v>
      </c>
      <c r="W172" s="2708">
        <f t="shared" ca="1" si="91"/>
        <v>0</v>
      </c>
    </row>
    <row r="173" spans="1:24" x14ac:dyDescent="0.2">
      <c r="A173" s="2426">
        <v>171</v>
      </c>
      <c r="C173" s="2651"/>
      <c r="D173" s="2709"/>
      <c r="E173" s="2709"/>
      <c r="F173" s="2709"/>
      <c r="G173" s="2709"/>
    </row>
    <row r="174" spans="1:24" x14ac:dyDescent="0.2">
      <c r="A174" s="2426">
        <v>172</v>
      </c>
      <c r="B174" s="2663" t="s">
        <v>277</v>
      </c>
      <c r="C174" s="2664">
        <v>0</v>
      </c>
      <c r="D174" s="2664">
        <v>0</v>
      </c>
      <c r="E174" s="2664">
        <v>0</v>
      </c>
      <c r="F174" s="2664">
        <v>0</v>
      </c>
      <c r="G174" s="2664">
        <v>0</v>
      </c>
      <c r="H174" s="2710">
        <f>H77*(H29/360)</f>
        <v>0</v>
      </c>
      <c r="I174" s="2710">
        <f t="shared" ref="I174:W174" si="92">I77*(I29/360)</f>
        <v>0</v>
      </c>
      <c r="J174" s="2710">
        <f t="shared" si="92"/>
        <v>0</v>
      </c>
      <c r="K174" s="2710">
        <f t="shared" si="92"/>
        <v>0</v>
      </c>
      <c r="L174" s="2710">
        <f t="shared" si="92"/>
        <v>0</v>
      </c>
      <c r="M174" s="2710">
        <f t="shared" si="92"/>
        <v>0</v>
      </c>
      <c r="N174" s="2710">
        <f t="shared" si="92"/>
        <v>0</v>
      </c>
      <c r="O174" s="2710">
        <f t="shared" si="92"/>
        <v>0</v>
      </c>
      <c r="P174" s="2710">
        <f t="shared" si="92"/>
        <v>0</v>
      </c>
      <c r="Q174" s="2710">
        <f t="shared" si="92"/>
        <v>0</v>
      </c>
      <c r="R174" s="2710">
        <f t="shared" si="92"/>
        <v>0</v>
      </c>
      <c r="S174" s="2710">
        <f t="shared" si="92"/>
        <v>0</v>
      </c>
      <c r="T174" s="2710">
        <f t="shared" si="92"/>
        <v>0</v>
      </c>
      <c r="U174" s="2710">
        <f t="shared" si="92"/>
        <v>0</v>
      </c>
      <c r="V174" s="2710">
        <f t="shared" si="92"/>
        <v>0</v>
      </c>
      <c r="W174" s="2710">
        <f t="shared" si="92"/>
        <v>0</v>
      </c>
    </row>
    <row r="175" spans="1:24" x14ac:dyDescent="0.2">
      <c r="A175" s="2426">
        <v>173</v>
      </c>
      <c r="B175" s="2663" t="s">
        <v>278</v>
      </c>
      <c r="C175" s="2664">
        <v>0</v>
      </c>
      <c r="D175" s="2664">
        <v>0</v>
      </c>
      <c r="E175" s="2664">
        <v>0</v>
      </c>
      <c r="F175" s="2664">
        <v>0</v>
      </c>
      <c r="G175" s="2664">
        <v>0</v>
      </c>
      <c r="H175" s="2710">
        <f ca="1">H32+H73</f>
        <v>0</v>
      </c>
      <c r="I175" s="2710">
        <f t="shared" ref="I175:W175" ca="1" si="93">I32+I73</f>
        <v>0</v>
      </c>
      <c r="J175" s="2710">
        <f t="shared" ca="1" si="93"/>
        <v>0</v>
      </c>
      <c r="K175" s="2710">
        <f t="shared" ca="1" si="93"/>
        <v>0</v>
      </c>
      <c r="L175" s="2710">
        <f t="shared" ca="1" si="93"/>
        <v>0</v>
      </c>
      <c r="M175" s="2710">
        <f t="shared" ca="1" si="93"/>
        <v>0</v>
      </c>
      <c r="N175" s="2710">
        <f t="shared" ca="1" si="93"/>
        <v>0</v>
      </c>
      <c r="O175" s="2710">
        <f t="shared" ca="1" si="93"/>
        <v>0</v>
      </c>
      <c r="P175" s="2710">
        <f t="shared" ca="1" si="93"/>
        <v>0</v>
      </c>
      <c r="Q175" s="2710">
        <f t="shared" ca="1" si="93"/>
        <v>0</v>
      </c>
      <c r="R175" s="2710">
        <f t="shared" ca="1" si="93"/>
        <v>0</v>
      </c>
      <c r="S175" s="2710">
        <f t="shared" ca="1" si="93"/>
        <v>0</v>
      </c>
      <c r="T175" s="2710">
        <f t="shared" ca="1" si="93"/>
        <v>0</v>
      </c>
      <c r="U175" s="2710">
        <f t="shared" ca="1" si="93"/>
        <v>0</v>
      </c>
      <c r="V175" s="2710">
        <f t="shared" ca="1" si="93"/>
        <v>0</v>
      </c>
      <c r="W175" s="2710">
        <f t="shared" ca="1" si="93"/>
        <v>0</v>
      </c>
    </row>
    <row r="176" spans="1:24" x14ac:dyDescent="0.2">
      <c r="A176" s="2426">
        <v>174</v>
      </c>
      <c r="B176" s="2668"/>
      <c r="C176" s="2711"/>
      <c r="D176" s="2711"/>
      <c r="E176" s="2711"/>
      <c r="F176" s="2711"/>
      <c r="G176" s="2711"/>
    </row>
    <row r="177" spans="1:23" x14ac:dyDescent="0.2">
      <c r="A177" s="2426">
        <v>175</v>
      </c>
      <c r="B177" s="2663" t="s">
        <v>279</v>
      </c>
      <c r="C177" s="2664">
        <v>0</v>
      </c>
      <c r="D177" s="2664">
        <v>0</v>
      </c>
      <c r="E177" s="2664">
        <v>0</v>
      </c>
      <c r="F177" s="2664">
        <v>0</v>
      </c>
      <c r="G177" s="2664">
        <v>0</v>
      </c>
      <c r="H177" s="2712">
        <f>IFERROR('Bases Proy'!F75,0)</f>
        <v>0</v>
      </c>
      <c r="I177" s="2712">
        <f>IFERROR('Bases Proy'!G75,0)</f>
        <v>0</v>
      </c>
      <c r="J177" s="2712">
        <f>IFERROR('Bases Proy'!H75,0)</f>
        <v>0</v>
      </c>
      <c r="K177" s="2712">
        <f>IFERROR('Bases Proy'!I75,0)</f>
        <v>0</v>
      </c>
      <c r="L177" s="2712">
        <f>IFERROR('Bases Proy'!J75,0)</f>
        <v>0</v>
      </c>
      <c r="M177" s="2712">
        <f>IFERROR('Bases Proy'!K75,0)</f>
        <v>0</v>
      </c>
      <c r="N177" s="2712">
        <f>IFERROR('Bases Proy'!L75,0)</f>
        <v>0</v>
      </c>
      <c r="O177" s="2712">
        <f>IFERROR('Bases Proy'!M75,0)</f>
        <v>0</v>
      </c>
      <c r="P177" s="2712">
        <f>IFERROR('Bases Proy'!N75,0)</f>
        <v>0</v>
      </c>
      <c r="Q177" s="2712">
        <f>IFERROR('Bases Proy'!O75,0)</f>
        <v>0</v>
      </c>
      <c r="R177" s="2712">
        <f>IFERROR('Bases Proy'!P75,0)</f>
        <v>0</v>
      </c>
      <c r="S177" s="2712">
        <f>IFERROR('Bases Proy'!Q75,0)</f>
        <v>0</v>
      </c>
      <c r="T177" s="2712">
        <f>IFERROR('Bases Proy'!R75,0)</f>
        <v>0</v>
      </c>
      <c r="U177" s="2712">
        <f>IFERROR('Bases Proy'!S75,0)</f>
        <v>0</v>
      </c>
      <c r="V177" s="2712">
        <f>IFERROR('Bases Proy'!T75,0)</f>
        <v>0</v>
      </c>
      <c r="W177" s="2712">
        <f>IFERROR('Bases Proy'!U75,0)</f>
        <v>0</v>
      </c>
    </row>
    <row r="178" spans="1:23" x14ac:dyDescent="0.2">
      <c r="A178" s="2426">
        <v>176</v>
      </c>
      <c r="B178" s="2663" t="s">
        <v>1029</v>
      </c>
      <c r="C178" s="2664">
        <v>0</v>
      </c>
      <c r="D178" s="2664">
        <v>0</v>
      </c>
      <c r="E178" s="2664">
        <v>0</v>
      </c>
      <c r="F178" s="2664">
        <v>0</v>
      </c>
      <c r="G178" s="2664">
        <v>0</v>
      </c>
      <c r="H178" s="2658">
        <f>H263</f>
        <v>0</v>
      </c>
      <c r="I178" s="2658">
        <f t="shared" ref="I178:W178" si="94">I263</f>
        <v>0</v>
      </c>
      <c r="J178" s="2658">
        <f t="shared" si="94"/>
        <v>0</v>
      </c>
      <c r="K178" s="2658">
        <f t="shared" si="94"/>
        <v>0</v>
      </c>
      <c r="L178" s="2658">
        <f t="shared" si="94"/>
        <v>0</v>
      </c>
      <c r="M178" s="2658">
        <f t="shared" si="94"/>
        <v>0</v>
      </c>
      <c r="N178" s="2658">
        <f t="shared" si="94"/>
        <v>0</v>
      </c>
      <c r="O178" s="2658">
        <f t="shared" si="94"/>
        <v>0</v>
      </c>
      <c r="P178" s="2658">
        <f t="shared" si="94"/>
        <v>0</v>
      </c>
      <c r="Q178" s="2658">
        <f t="shared" si="94"/>
        <v>0</v>
      </c>
      <c r="R178" s="2658">
        <f t="shared" si="94"/>
        <v>0</v>
      </c>
      <c r="S178" s="2658">
        <f t="shared" si="94"/>
        <v>0</v>
      </c>
      <c r="T178" s="2658">
        <f t="shared" si="94"/>
        <v>0</v>
      </c>
      <c r="U178" s="2658">
        <f t="shared" si="94"/>
        <v>0</v>
      </c>
      <c r="V178" s="2658">
        <f t="shared" si="94"/>
        <v>0</v>
      </c>
      <c r="W178" s="2658">
        <f t="shared" si="94"/>
        <v>0</v>
      </c>
    </row>
    <row r="179" spans="1:23" x14ac:dyDescent="0.2">
      <c r="A179" s="2426">
        <v>177</v>
      </c>
      <c r="B179" s="2713" t="s">
        <v>280</v>
      </c>
      <c r="C179" s="2664">
        <v>0</v>
      </c>
      <c r="D179" s="2664">
        <v>0</v>
      </c>
      <c r="E179" s="2664">
        <v>0</v>
      </c>
      <c r="F179" s="2664">
        <v>0</v>
      </c>
      <c r="G179" s="2664">
        <v>0</v>
      </c>
      <c r="H179" s="2658">
        <f>+E179</f>
        <v>0</v>
      </c>
      <c r="I179" s="2658">
        <f>H179+I110</f>
        <v>0</v>
      </c>
      <c r="J179" s="2658">
        <f t="shared" ref="J179:W179" si="95">I179+J110</f>
        <v>0</v>
      </c>
      <c r="K179" s="2658">
        <f t="shared" si="95"/>
        <v>0</v>
      </c>
      <c r="L179" s="2658">
        <f t="shared" si="95"/>
        <v>0</v>
      </c>
      <c r="M179" s="2658">
        <f t="shared" si="95"/>
        <v>0</v>
      </c>
      <c r="N179" s="2658">
        <f t="shared" si="95"/>
        <v>0</v>
      </c>
      <c r="O179" s="2658">
        <f t="shared" si="95"/>
        <v>0</v>
      </c>
      <c r="P179" s="2658">
        <f t="shared" si="95"/>
        <v>0</v>
      </c>
      <c r="Q179" s="2658">
        <f t="shared" si="95"/>
        <v>0</v>
      </c>
      <c r="R179" s="2658">
        <f t="shared" si="95"/>
        <v>0</v>
      </c>
      <c r="S179" s="2658">
        <f t="shared" si="95"/>
        <v>0</v>
      </c>
      <c r="T179" s="2658">
        <f t="shared" si="95"/>
        <v>0</v>
      </c>
      <c r="U179" s="2658">
        <f t="shared" si="95"/>
        <v>0</v>
      </c>
      <c r="V179" s="2658">
        <f t="shared" si="95"/>
        <v>0</v>
      </c>
      <c r="W179" s="2658">
        <f t="shared" si="95"/>
        <v>0</v>
      </c>
    </row>
    <row r="180" spans="1:23" x14ac:dyDescent="0.2">
      <c r="A180" s="2426">
        <v>178</v>
      </c>
      <c r="B180" s="2714" t="s">
        <v>281</v>
      </c>
      <c r="C180" s="2692">
        <f t="shared" ref="C180:D180" si="96">C177+C178-C179</f>
        <v>0</v>
      </c>
      <c r="D180" s="2692">
        <f t="shared" si="96"/>
        <v>0</v>
      </c>
      <c r="E180" s="2692">
        <f>E177+E178-E179</f>
        <v>0</v>
      </c>
      <c r="F180" s="2692">
        <f t="shared" ref="F180:W180" si="97">F177+F178-F179</f>
        <v>0</v>
      </c>
      <c r="G180" s="2692">
        <f t="shared" si="97"/>
        <v>0</v>
      </c>
      <c r="H180" s="2692">
        <f t="shared" si="97"/>
        <v>0</v>
      </c>
      <c r="I180" s="2692">
        <f t="shared" si="97"/>
        <v>0</v>
      </c>
      <c r="J180" s="2692">
        <f t="shared" si="97"/>
        <v>0</v>
      </c>
      <c r="K180" s="2692">
        <f t="shared" si="97"/>
        <v>0</v>
      </c>
      <c r="L180" s="2692">
        <f t="shared" si="97"/>
        <v>0</v>
      </c>
      <c r="M180" s="2692">
        <f t="shared" si="97"/>
        <v>0</v>
      </c>
      <c r="N180" s="2692">
        <f t="shared" si="97"/>
        <v>0</v>
      </c>
      <c r="O180" s="2692">
        <f t="shared" si="97"/>
        <v>0</v>
      </c>
      <c r="P180" s="2692">
        <f t="shared" si="97"/>
        <v>0</v>
      </c>
      <c r="Q180" s="2692">
        <f t="shared" si="97"/>
        <v>0</v>
      </c>
      <c r="R180" s="2692">
        <f t="shared" si="97"/>
        <v>0</v>
      </c>
      <c r="S180" s="2692">
        <f t="shared" si="97"/>
        <v>0</v>
      </c>
      <c r="T180" s="2692">
        <f t="shared" si="97"/>
        <v>0</v>
      </c>
      <c r="U180" s="2692">
        <f t="shared" si="97"/>
        <v>0</v>
      </c>
      <c r="V180" s="2692">
        <f t="shared" si="97"/>
        <v>0</v>
      </c>
      <c r="W180" s="2692">
        <f t="shared" si="97"/>
        <v>0</v>
      </c>
    </row>
    <row r="181" spans="1:23" x14ac:dyDescent="0.2">
      <c r="A181" s="2426">
        <v>179</v>
      </c>
      <c r="B181" s="2699"/>
    </row>
    <row r="182" spans="1:23" hidden="1" x14ac:dyDescent="0.2">
      <c r="A182" s="2426">
        <v>180</v>
      </c>
      <c r="B182" s="2663" t="s">
        <v>282</v>
      </c>
      <c r="C182" s="2664">
        <v>0</v>
      </c>
      <c r="D182" s="2664">
        <v>0</v>
      </c>
      <c r="E182" s="2664">
        <v>0</v>
      </c>
      <c r="F182" s="2664">
        <v>0</v>
      </c>
      <c r="G182" s="2664">
        <v>0</v>
      </c>
      <c r="H182" s="2710"/>
      <c r="I182" s="2710"/>
      <c r="J182" s="2710"/>
      <c r="K182" s="2710"/>
      <c r="L182" s="2710"/>
      <c r="M182" s="2710"/>
      <c r="N182" s="2710"/>
      <c r="O182" s="2710"/>
      <c r="P182" s="2710"/>
      <c r="Q182" s="2710"/>
      <c r="R182" s="2710"/>
      <c r="S182" s="2710"/>
      <c r="T182" s="2710"/>
      <c r="U182" s="2710"/>
      <c r="V182" s="2710"/>
      <c r="W182" s="2710"/>
    </row>
    <row r="183" spans="1:23" hidden="1" x14ac:dyDescent="0.2">
      <c r="A183" s="2426">
        <v>181</v>
      </c>
      <c r="B183" s="2663" t="s">
        <v>283</v>
      </c>
      <c r="C183" s="2664">
        <v>0</v>
      </c>
      <c r="D183" s="2664">
        <v>0</v>
      </c>
      <c r="E183" s="2664">
        <v>0</v>
      </c>
      <c r="F183" s="2664">
        <v>0</v>
      </c>
      <c r="G183" s="2664">
        <v>0</v>
      </c>
      <c r="H183" s="2710"/>
      <c r="I183" s="2710"/>
      <c r="J183" s="2710"/>
      <c r="K183" s="2710"/>
      <c r="L183" s="2710"/>
      <c r="M183" s="2710"/>
      <c r="N183" s="2710"/>
      <c r="O183" s="2710"/>
      <c r="P183" s="2710"/>
      <c r="Q183" s="2710"/>
      <c r="R183" s="2710"/>
      <c r="S183" s="2710"/>
      <c r="T183" s="2710"/>
      <c r="U183" s="2710"/>
      <c r="V183" s="2710"/>
      <c r="W183" s="2710"/>
    </row>
    <row r="184" spans="1:23" x14ac:dyDescent="0.2">
      <c r="A184" s="2426">
        <v>182</v>
      </c>
      <c r="B184" s="2663" t="s">
        <v>284</v>
      </c>
      <c r="C184" s="2664">
        <v>0</v>
      </c>
      <c r="D184" s="2664">
        <v>0</v>
      </c>
      <c r="E184" s="2664">
        <v>0</v>
      </c>
      <c r="F184" s="2664">
        <v>0</v>
      </c>
      <c r="G184" s="2664">
        <v>0</v>
      </c>
      <c r="H184" s="2712">
        <f>IFERROR('Bases Proy'!F76,0)</f>
        <v>0</v>
      </c>
      <c r="I184" s="2712">
        <f>IFERROR('Bases Proy'!G76,0)</f>
        <v>0</v>
      </c>
      <c r="J184" s="2712">
        <f>IFERROR('Bases Proy'!H76,0)</f>
        <v>0</v>
      </c>
      <c r="K184" s="2712">
        <f>IFERROR('Bases Proy'!I76,0)</f>
        <v>0</v>
      </c>
      <c r="L184" s="2712">
        <f>IFERROR('Bases Proy'!J76,0)</f>
        <v>0</v>
      </c>
      <c r="M184" s="2712">
        <f>IFERROR('Bases Proy'!K76,0)</f>
        <v>0</v>
      </c>
      <c r="N184" s="2712">
        <f>IFERROR('Bases Proy'!L76,0)</f>
        <v>0</v>
      </c>
      <c r="O184" s="2712">
        <f>IFERROR('Bases Proy'!M76,0)</f>
        <v>0</v>
      </c>
      <c r="P184" s="2712">
        <f>IFERROR('Bases Proy'!N76,0)</f>
        <v>0</v>
      </c>
      <c r="Q184" s="2712">
        <f>IFERROR('Bases Proy'!O76,0)</f>
        <v>0</v>
      </c>
      <c r="R184" s="2712">
        <f>IFERROR('Bases Proy'!P76,0)</f>
        <v>0</v>
      </c>
      <c r="S184" s="2712">
        <f>IFERROR('Bases Proy'!Q76,0)</f>
        <v>0</v>
      </c>
      <c r="T184" s="2712">
        <f>IFERROR('Bases Proy'!R76,0)</f>
        <v>0</v>
      </c>
      <c r="U184" s="2712">
        <f>IFERROR('Bases Proy'!S76,0)</f>
        <v>0</v>
      </c>
      <c r="V184" s="2712">
        <f>IFERROR('Bases Proy'!T76,0)</f>
        <v>0</v>
      </c>
      <c r="W184" s="2712">
        <f>IFERROR('Bases Proy'!U76,0)</f>
        <v>0</v>
      </c>
    </row>
    <row r="185" spans="1:23" x14ac:dyDescent="0.2">
      <c r="A185" s="2426">
        <v>183</v>
      </c>
      <c r="B185" s="2714" t="s">
        <v>285</v>
      </c>
      <c r="C185" s="2692">
        <f t="shared" ref="C185:H185" si="98">SUM(C182:C184)</f>
        <v>0</v>
      </c>
      <c r="D185" s="2692">
        <f t="shared" si="98"/>
        <v>0</v>
      </c>
      <c r="E185" s="2692">
        <f t="shared" si="98"/>
        <v>0</v>
      </c>
      <c r="F185" s="2692">
        <f t="shared" si="98"/>
        <v>0</v>
      </c>
      <c r="G185" s="2692">
        <f t="shared" si="98"/>
        <v>0</v>
      </c>
      <c r="H185" s="2692">
        <f t="shared" si="98"/>
        <v>0</v>
      </c>
      <c r="I185" s="2692">
        <f t="shared" ref="I185:W185" si="99">SUM(I182:I184)</f>
        <v>0</v>
      </c>
      <c r="J185" s="2692">
        <f t="shared" si="99"/>
        <v>0</v>
      </c>
      <c r="K185" s="2692">
        <f t="shared" si="99"/>
        <v>0</v>
      </c>
      <c r="L185" s="2692">
        <f t="shared" si="99"/>
        <v>0</v>
      </c>
      <c r="M185" s="2692">
        <f t="shared" si="99"/>
        <v>0</v>
      </c>
      <c r="N185" s="2692">
        <f t="shared" si="99"/>
        <v>0</v>
      </c>
      <c r="O185" s="2692">
        <f t="shared" si="99"/>
        <v>0</v>
      </c>
      <c r="P185" s="2692">
        <f t="shared" si="99"/>
        <v>0</v>
      </c>
      <c r="Q185" s="2692">
        <f t="shared" si="99"/>
        <v>0</v>
      </c>
      <c r="R185" s="2692">
        <f t="shared" si="99"/>
        <v>0</v>
      </c>
      <c r="S185" s="2692">
        <f t="shared" si="99"/>
        <v>0</v>
      </c>
      <c r="T185" s="2692">
        <f t="shared" si="99"/>
        <v>0</v>
      </c>
      <c r="U185" s="2692">
        <f t="shared" si="99"/>
        <v>0</v>
      </c>
      <c r="V185" s="2692">
        <f t="shared" si="99"/>
        <v>0</v>
      </c>
      <c r="W185" s="2692">
        <f t="shared" si="99"/>
        <v>0</v>
      </c>
    </row>
    <row r="186" spans="1:23" x14ac:dyDescent="0.2">
      <c r="A186" s="2426">
        <v>184</v>
      </c>
      <c r="B186" s="2699"/>
    </row>
    <row r="187" spans="1:23" x14ac:dyDescent="0.2">
      <c r="A187" s="2426">
        <v>185</v>
      </c>
      <c r="B187" s="2663" t="s">
        <v>1025</v>
      </c>
      <c r="C187" s="2664">
        <v>0</v>
      </c>
      <c r="D187" s="2664">
        <v>0</v>
      </c>
      <c r="E187" s="2664">
        <v>0</v>
      </c>
      <c r="F187" s="2664">
        <v>0</v>
      </c>
      <c r="G187" s="2664">
        <v>0</v>
      </c>
      <c r="H187" s="2710">
        <f>IFERROR(H268,0)</f>
        <v>0</v>
      </c>
      <c r="I187" s="2710">
        <f t="shared" ref="I187:W187" si="100">IFERROR(I268,0)</f>
        <v>0</v>
      </c>
      <c r="J187" s="2710">
        <f t="shared" si="100"/>
        <v>0</v>
      </c>
      <c r="K187" s="2710">
        <f t="shared" si="100"/>
        <v>0</v>
      </c>
      <c r="L187" s="2710">
        <f t="shared" si="100"/>
        <v>0</v>
      </c>
      <c r="M187" s="2710">
        <f t="shared" si="100"/>
        <v>0</v>
      </c>
      <c r="N187" s="2710">
        <f t="shared" si="100"/>
        <v>0</v>
      </c>
      <c r="O187" s="2710">
        <f t="shared" si="100"/>
        <v>0</v>
      </c>
      <c r="P187" s="2710">
        <f t="shared" si="100"/>
        <v>0</v>
      </c>
      <c r="Q187" s="2710">
        <f t="shared" si="100"/>
        <v>0</v>
      </c>
      <c r="R187" s="2710">
        <f t="shared" si="100"/>
        <v>0</v>
      </c>
      <c r="S187" s="2710">
        <f t="shared" si="100"/>
        <v>0</v>
      </c>
      <c r="T187" s="2710">
        <f t="shared" si="100"/>
        <v>0</v>
      </c>
      <c r="U187" s="2710">
        <f t="shared" si="100"/>
        <v>0</v>
      </c>
      <c r="V187" s="2710">
        <f t="shared" si="100"/>
        <v>0</v>
      </c>
      <c r="W187" s="2710">
        <f t="shared" si="100"/>
        <v>0</v>
      </c>
    </row>
    <row r="188" spans="1:23" x14ac:dyDescent="0.2">
      <c r="A188" s="2426">
        <v>186</v>
      </c>
      <c r="B188" s="2663" t="s">
        <v>286</v>
      </c>
      <c r="C188" s="2664">
        <v>0</v>
      </c>
      <c r="D188" s="2664">
        <v>0</v>
      </c>
      <c r="E188" s="2664">
        <v>0</v>
      </c>
      <c r="F188" s="2664">
        <v>0</v>
      </c>
      <c r="G188" s="2664">
        <v>0</v>
      </c>
      <c r="H188" s="2710">
        <f>IFERROR(H269,0)</f>
        <v>0</v>
      </c>
      <c r="I188" s="2710">
        <f t="shared" ref="I188:W188" si="101">IFERROR(I269,0)</f>
        <v>0</v>
      </c>
      <c r="J188" s="2710">
        <f t="shared" si="101"/>
        <v>0</v>
      </c>
      <c r="K188" s="2710">
        <f t="shared" si="101"/>
        <v>0</v>
      </c>
      <c r="L188" s="2710">
        <f t="shared" si="101"/>
        <v>0</v>
      </c>
      <c r="M188" s="2710">
        <f t="shared" si="101"/>
        <v>0</v>
      </c>
      <c r="N188" s="2710">
        <f t="shared" si="101"/>
        <v>0</v>
      </c>
      <c r="O188" s="2710">
        <f t="shared" si="101"/>
        <v>0</v>
      </c>
      <c r="P188" s="2710">
        <f t="shared" si="101"/>
        <v>0</v>
      </c>
      <c r="Q188" s="2710">
        <f t="shared" si="101"/>
        <v>0</v>
      </c>
      <c r="R188" s="2710">
        <f t="shared" si="101"/>
        <v>0</v>
      </c>
      <c r="S188" s="2710">
        <f t="shared" si="101"/>
        <v>0</v>
      </c>
      <c r="T188" s="2710">
        <f t="shared" si="101"/>
        <v>0</v>
      </c>
      <c r="U188" s="2710">
        <f t="shared" si="101"/>
        <v>0</v>
      </c>
      <c r="V188" s="2710">
        <f t="shared" si="101"/>
        <v>0</v>
      </c>
      <c r="W188" s="2710">
        <f t="shared" si="101"/>
        <v>0</v>
      </c>
    </row>
    <row r="189" spans="1:23" x14ac:dyDescent="0.2">
      <c r="A189" s="2426">
        <v>187</v>
      </c>
      <c r="B189" s="2663" t="s">
        <v>287</v>
      </c>
      <c r="C189" s="2664">
        <v>0</v>
      </c>
      <c r="D189" s="2664">
        <v>0</v>
      </c>
      <c r="E189" s="2664">
        <v>0</v>
      </c>
      <c r="F189" s="2664">
        <v>0</v>
      </c>
      <c r="G189" s="2664">
        <v>0</v>
      </c>
      <c r="H189" s="2710">
        <f>IFERROR(H270,0)</f>
        <v>0</v>
      </c>
      <c r="I189" s="2710">
        <f t="shared" ref="I189:W189" si="102">IFERROR(I270,0)</f>
        <v>0</v>
      </c>
      <c r="J189" s="2710">
        <f t="shared" si="102"/>
        <v>0</v>
      </c>
      <c r="K189" s="2710">
        <f t="shared" si="102"/>
        <v>0</v>
      </c>
      <c r="L189" s="2710">
        <f t="shared" si="102"/>
        <v>0</v>
      </c>
      <c r="M189" s="2710">
        <f t="shared" si="102"/>
        <v>0</v>
      </c>
      <c r="N189" s="2710">
        <f t="shared" si="102"/>
        <v>0</v>
      </c>
      <c r="O189" s="2710">
        <f t="shared" si="102"/>
        <v>0</v>
      </c>
      <c r="P189" s="2710">
        <f t="shared" si="102"/>
        <v>0</v>
      </c>
      <c r="Q189" s="2710">
        <f t="shared" si="102"/>
        <v>0</v>
      </c>
      <c r="R189" s="2710">
        <f t="shared" si="102"/>
        <v>0</v>
      </c>
      <c r="S189" s="2710">
        <f t="shared" si="102"/>
        <v>0</v>
      </c>
      <c r="T189" s="2710">
        <f t="shared" si="102"/>
        <v>0</v>
      </c>
      <c r="U189" s="2710">
        <f t="shared" si="102"/>
        <v>0</v>
      </c>
      <c r="V189" s="2710">
        <f t="shared" si="102"/>
        <v>0</v>
      </c>
      <c r="W189" s="2710">
        <f t="shared" si="102"/>
        <v>0</v>
      </c>
    </row>
    <row r="190" spans="1:23" x14ac:dyDescent="0.2">
      <c r="A190" s="2426">
        <v>188</v>
      </c>
      <c r="B190" s="2663" t="s">
        <v>288</v>
      </c>
      <c r="C190" s="2664">
        <v>0</v>
      </c>
      <c r="D190" s="2664">
        <v>0</v>
      </c>
      <c r="E190" s="2664">
        <v>0</v>
      </c>
      <c r="F190" s="2664">
        <v>0</v>
      </c>
      <c r="G190" s="2664">
        <v>0</v>
      </c>
      <c r="H190" s="2710">
        <f>IFERROR(H271,0)</f>
        <v>0</v>
      </c>
      <c r="I190" s="2710">
        <f t="shared" ref="I190:W190" si="103">IFERROR(I271,0)</f>
        <v>0</v>
      </c>
      <c r="J190" s="2710">
        <f t="shared" si="103"/>
        <v>0</v>
      </c>
      <c r="K190" s="2710">
        <f t="shared" si="103"/>
        <v>0</v>
      </c>
      <c r="L190" s="2710">
        <f t="shared" si="103"/>
        <v>0</v>
      </c>
      <c r="M190" s="2710">
        <f t="shared" si="103"/>
        <v>0</v>
      </c>
      <c r="N190" s="2710">
        <f t="shared" si="103"/>
        <v>0</v>
      </c>
      <c r="O190" s="2710">
        <f t="shared" si="103"/>
        <v>0</v>
      </c>
      <c r="P190" s="2710">
        <f t="shared" si="103"/>
        <v>0</v>
      </c>
      <c r="Q190" s="2710">
        <f t="shared" si="103"/>
        <v>0</v>
      </c>
      <c r="R190" s="2710">
        <f t="shared" si="103"/>
        <v>0</v>
      </c>
      <c r="S190" s="2710">
        <f t="shared" si="103"/>
        <v>0</v>
      </c>
      <c r="T190" s="2710">
        <f t="shared" si="103"/>
        <v>0</v>
      </c>
      <c r="U190" s="2710">
        <f t="shared" si="103"/>
        <v>0</v>
      </c>
      <c r="V190" s="2710">
        <f t="shared" si="103"/>
        <v>0</v>
      </c>
      <c r="W190" s="2710">
        <f t="shared" si="103"/>
        <v>0</v>
      </c>
    </row>
    <row r="191" spans="1:23" x14ac:dyDescent="0.2">
      <c r="A191" s="2426">
        <v>189</v>
      </c>
      <c r="B191" s="2663" t="s">
        <v>1027</v>
      </c>
      <c r="C191" s="2664">
        <v>0</v>
      </c>
      <c r="D191" s="2664">
        <v>0</v>
      </c>
      <c r="E191" s="2664">
        <v>0</v>
      </c>
      <c r="F191" s="2664">
        <v>0</v>
      </c>
      <c r="G191" s="2664">
        <v>0</v>
      </c>
      <c r="H191" s="2710">
        <f>IFERROR(H272,0)</f>
        <v>0</v>
      </c>
      <c r="I191" s="2710">
        <f t="shared" ref="I191:W191" si="104">IFERROR(I272,0)</f>
        <v>0</v>
      </c>
      <c r="J191" s="2710">
        <f t="shared" si="104"/>
        <v>0</v>
      </c>
      <c r="K191" s="2710">
        <f t="shared" si="104"/>
        <v>0</v>
      </c>
      <c r="L191" s="2710">
        <f t="shared" si="104"/>
        <v>0</v>
      </c>
      <c r="M191" s="2710">
        <f t="shared" si="104"/>
        <v>0</v>
      </c>
      <c r="N191" s="2710">
        <f t="shared" si="104"/>
        <v>0</v>
      </c>
      <c r="O191" s="2710">
        <f t="shared" si="104"/>
        <v>0</v>
      </c>
      <c r="P191" s="2710">
        <f t="shared" si="104"/>
        <v>0</v>
      </c>
      <c r="Q191" s="2710">
        <f t="shared" si="104"/>
        <v>0</v>
      </c>
      <c r="R191" s="2710">
        <f t="shared" si="104"/>
        <v>0</v>
      </c>
      <c r="S191" s="2710">
        <f t="shared" si="104"/>
        <v>0</v>
      </c>
      <c r="T191" s="2710">
        <f t="shared" si="104"/>
        <v>0</v>
      </c>
      <c r="U191" s="2710">
        <f t="shared" si="104"/>
        <v>0</v>
      </c>
      <c r="V191" s="2710">
        <f t="shared" si="104"/>
        <v>0</v>
      </c>
      <c r="W191" s="2710">
        <f t="shared" si="104"/>
        <v>0</v>
      </c>
    </row>
    <row r="192" spans="1:23" x14ac:dyDescent="0.2">
      <c r="A192" s="2426">
        <v>190</v>
      </c>
      <c r="B192" s="2663" t="s">
        <v>1028</v>
      </c>
      <c r="C192" s="2664">
        <v>0</v>
      </c>
      <c r="D192" s="2664">
        <v>0</v>
      </c>
      <c r="E192" s="2664">
        <v>0</v>
      </c>
      <c r="F192" s="2664">
        <v>0</v>
      </c>
      <c r="G192" s="2664">
        <v>0</v>
      </c>
      <c r="H192" s="2670">
        <v>0</v>
      </c>
      <c r="I192" s="2670">
        <v>0</v>
      </c>
      <c r="J192" s="2670">
        <v>0</v>
      </c>
      <c r="K192" s="2670">
        <v>0</v>
      </c>
      <c r="L192" s="2670">
        <v>0</v>
      </c>
      <c r="M192" s="2670">
        <v>0</v>
      </c>
      <c r="N192" s="2670">
        <v>0</v>
      </c>
      <c r="O192" s="2670">
        <v>0</v>
      </c>
      <c r="P192" s="2670">
        <v>0</v>
      </c>
      <c r="Q192" s="2670">
        <v>0</v>
      </c>
      <c r="R192" s="2670">
        <v>0</v>
      </c>
      <c r="S192" s="2670">
        <v>0</v>
      </c>
      <c r="T192" s="2670">
        <v>0</v>
      </c>
      <c r="U192" s="2670">
        <v>0</v>
      </c>
      <c r="V192" s="2670">
        <v>0</v>
      </c>
      <c r="W192" s="2670">
        <v>0</v>
      </c>
    </row>
    <row r="193" spans="1:23" x14ac:dyDescent="0.2">
      <c r="A193" s="2426">
        <v>191</v>
      </c>
      <c r="B193" s="2716" t="s">
        <v>289</v>
      </c>
      <c r="C193" s="2717">
        <f t="shared" ref="C193" si="105">C174+C175+C180+C185+SUM(C187:C192)</f>
        <v>0</v>
      </c>
      <c r="D193" s="2717">
        <f t="shared" ref="D193:E193" si="106">D174+D175+D180+D185+SUM(D187:D192)</f>
        <v>0</v>
      </c>
      <c r="E193" s="2717">
        <f t="shared" si="106"/>
        <v>0</v>
      </c>
      <c r="F193" s="2717">
        <f t="shared" ref="F193:W193" si="107">F174+F175+F180+F185+SUM(F187:F192)</f>
        <v>0</v>
      </c>
      <c r="G193" s="2717">
        <f t="shared" si="107"/>
        <v>0</v>
      </c>
      <c r="H193" s="2717">
        <f t="shared" ca="1" si="107"/>
        <v>0</v>
      </c>
      <c r="I193" s="2717">
        <f t="shared" ca="1" si="107"/>
        <v>0</v>
      </c>
      <c r="J193" s="2717">
        <f t="shared" ca="1" si="107"/>
        <v>0</v>
      </c>
      <c r="K193" s="2717">
        <f t="shared" ca="1" si="107"/>
        <v>0</v>
      </c>
      <c r="L193" s="2717">
        <f t="shared" ca="1" si="107"/>
        <v>0</v>
      </c>
      <c r="M193" s="2717">
        <f t="shared" ca="1" si="107"/>
        <v>0</v>
      </c>
      <c r="N193" s="2717">
        <f t="shared" ca="1" si="107"/>
        <v>0</v>
      </c>
      <c r="O193" s="2717">
        <f t="shared" ca="1" si="107"/>
        <v>0</v>
      </c>
      <c r="P193" s="2717">
        <f t="shared" ca="1" si="107"/>
        <v>0</v>
      </c>
      <c r="Q193" s="2717">
        <f t="shared" ca="1" si="107"/>
        <v>0</v>
      </c>
      <c r="R193" s="2717">
        <f t="shared" ca="1" si="107"/>
        <v>0</v>
      </c>
      <c r="S193" s="2717">
        <f t="shared" ca="1" si="107"/>
        <v>0</v>
      </c>
      <c r="T193" s="2717">
        <f t="shared" ca="1" si="107"/>
        <v>0</v>
      </c>
      <c r="U193" s="2717">
        <f t="shared" ca="1" si="107"/>
        <v>0</v>
      </c>
      <c r="V193" s="2717">
        <f t="shared" ca="1" si="107"/>
        <v>0</v>
      </c>
      <c r="W193" s="2717">
        <f t="shared" ca="1" si="107"/>
        <v>0</v>
      </c>
    </row>
    <row r="194" spans="1:23" x14ac:dyDescent="0.2">
      <c r="A194" s="2426">
        <v>192</v>
      </c>
      <c r="B194" s="2663" t="s">
        <v>290</v>
      </c>
      <c r="C194" s="2664">
        <v>0</v>
      </c>
      <c r="D194" s="2664">
        <v>0</v>
      </c>
      <c r="E194" s="2664">
        <v>0</v>
      </c>
      <c r="F194" s="2664">
        <v>0</v>
      </c>
      <c r="G194" s="2664">
        <v>0</v>
      </c>
      <c r="H194" s="2710">
        <f ca="1">OFFSET(inicio,194-ROW(inicio),H5003)-H346</f>
        <v>0</v>
      </c>
      <c r="I194" s="2710">
        <f t="shared" ref="I194:W194" ca="1" si="108">H194-I346</f>
        <v>0</v>
      </c>
      <c r="J194" s="2710">
        <f t="shared" ca="1" si="108"/>
        <v>0</v>
      </c>
      <c r="K194" s="2710">
        <f t="shared" ca="1" si="108"/>
        <v>0</v>
      </c>
      <c r="L194" s="2710">
        <f t="shared" ca="1" si="108"/>
        <v>0</v>
      </c>
      <c r="M194" s="2710">
        <f t="shared" ca="1" si="108"/>
        <v>0</v>
      </c>
      <c r="N194" s="2710">
        <f t="shared" ca="1" si="108"/>
        <v>0</v>
      </c>
      <c r="O194" s="2710">
        <f t="shared" ca="1" si="108"/>
        <v>0</v>
      </c>
      <c r="P194" s="2710">
        <f t="shared" ca="1" si="108"/>
        <v>0</v>
      </c>
      <c r="Q194" s="2710">
        <f t="shared" ca="1" si="108"/>
        <v>0</v>
      </c>
      <c r="R194" s="2710">
        <f t="shared" ca="1" si="108"/>
        <v>0</v>
      </c>
      <c r="S194" s="2710">
        <f t="shared" ca="1" si="108"/>
        <v>0</v>
      </c>
      <c r="T194" s="2710">
        <f t="shared" ca="1" si="108"/>
        <v>0</v>
      </c>
      <c r="U194" s="2710">
        <f t="shared" ca="1" si="108"/>
        <v>0</v>
      </c>
      <c r="V194" s="2710">
        <f t="shared" ca="1" si="108"/>
        <v>0</v>
      </c>
      <c r="W194" s="2710">
        <f t="shared" ca="1" si="108"/>
        <v>0</v>
      </c>
    </row>
    <row r="195" spans="1:23" x14ac:dyDescent="0.2">
      <c r="A195" s="2426">
        <v>193</v>
      </c>
      <c r="B195" s="2663" t="s">
        <v>291</v>
      </c>
      <c r="C195" s="2664">
        <v>0</v>
      </c>
      <c r="D195" s="2664">
        <v>0</v>
      </c>
      <c r="E195" s="2664">
        <v>0</v>
      </c>
      <c r="F195" s="2664">
        <v>0</v>
      </c>
      <c r="G195" s="2664">
        <v>0</v>
      </c>
      <c r="H195" s="2710">
        <f ca="1">OFFSET(inicio,195-ROW(inicio),H5003)-H347</f>
        <v>0</v>
      </c>
      <c r="I195" s="2710">
        <f t="shared" ref="I195:W195" ca="1" si="109">H195-I347</f>
        <v>0</v>
      </c>
      <c r="J195" s="2710">
        <f t="shared" ca="1" si="109"/>
        <v>0</v>
      </c>
      <c r="K195" s="2710">
        <f t="shared" ca="1" si="109"/>
        <v>0</v>
      </c>
      <c r="L195" s="2710">
        <f t="shared" ca="1" si="109"/>
        <v>0</v>
      </c>
      <c r="M195" s="2710">
        <f t="shared" ca="1" si="109"/>
        <v>0</v>
      </c>
      <c r="N195" s="2710">
        <f t="shared" ca="1" si="109"/>
        <v>0</v>
      </c>
      <c r="O195" s="2710">
        <f t="shared" ca="1" si="109"/>
        <v>0</v>
      </c>
      <c r="P195" s="2710">
        <f t="shared" ca="1" si="109"/>
        <v>0</v>
      </c>
      <c r="Q195" s="2710">
        <f t="shared" ca="1" si="109"/>
        <v>0</v>
      </c>
      <c r="R195" s="2710">
        <f t="shared" ca="1" si="109"/>
        <v>0</v>
      </c>
      <c r="S195" s="2710">
        <f t="shared" ca="1" si="109"/>
        <v>0</v>
      </c>
      <c r="T195" s="2710">
        <f t="shared" ca="1" si="109"/>
        <v>0</v>
      </c>
      <c r="U195" s="2710">
        <f t="shared" ca="1" si="109"/>
        <v>0</v>
      </c>
      <c r="V195" s="2710">
        <f t="shared" ca="1" si="109"/>
        <v>0</v>
      </c>
      <c r="W195" s="2710">
        <f t="shared" ca="1" si="109"/>
        <v>0</v>
      </c>
    </row>
    <row r="196" spans="1:23" x14ac:dyDescent="0.2">
      <c r="A196" s="2426">
        <v>194</v>
      </c>
      <c r="B196" s="2663" t="s">
        <v>292</v>
      </c>
      <c r="C196" s="2664">
        <v>0</v>
      </c>
      <c r="D196" s="2664">
        <v>0</v>
      </c>
      <c r="E196" s="2664">
        <v>0</v>
      </c>
      <c r="F196" s="2664">
        <v>0</v>
      </c>
      <c r="G196" s="2664">
        <v>0</v>
      </c>
      <c r="H196" s="2710">
        <f ca="1">OFFSET(inicio,196-ROW(inicio),H5003)-H348</f>
        <v>0</v>
      </c>
      <c r="I196" s="2710">
        <f t="shared" ref="I196:W196" ca="1" si="110">H196-I348</f>
        <v>0</v>
      </c>
      <c r="J196" s="2710">
        <f t="shared" ca="1" si="110"/>
        <v>0</v>
      </c>
      <c r="K196" s="2710">
        <f t="shared" ca="1" si="110"/>
        <v>0</v>
      </c>
      <c r="L196" s="2710">
        <f t="shared" ca="1" si="110"/>
        <v>0</v>
      </c>
      <c r="M196" s="2710">
        <f t="shared" ca="1" si="110"/>
        <v>0</v>
      </c>
      <c r="N196" s="2710">
        <f t="shared" ca="1" si="110"/>
        <v>0</v>
      </c>
      <c r="O196" s="2710">
        <f t="shared" ca="1" si="110"/>
        <v>0</v>
      </c>
      <c r="P196" s="2710">
        <f t="shared" ca="1" si="110"/>
        <v>0</v>
      </c>
      <c r="Q196" s="2710">
        <f t="shared" ca="1" si="110"/>
        <v>0</v>
      </c>
      <c r="R196" s="2710">
        <f t="shared" ca="1" si="110"/>
        <v>0</v>
      </c>
      <c r="S196" s="2710">
        <f t="shared" ca="1" si="110"/>
        <v>0</v>
      </c>
      <c r="T196" s="2710">
        <f t="shared" ca="1" si="110"/>
        <v>0</v>
      </c>
      <c r="U196" s="2710">
        <f t="shared" ca="1" si="110"/>
        <v>0</v>
      </c>
      <c r="V196" s="2710">
        <f t="shared" ca="1" si="110"/>
        <v>0</v>
      </c>
      <c r="W196" s="2710">
        <f t="shared" ca="1" si="110"/>
        <v>0</v>
      </c>
    </row>
    <row r="197" spans="1:23" hidden="1" x14ac:dyDescent="0.2">
      <c r="A197" s="2426">
        <v>195</v>
      </c>
      <c r="B197" s="2663" t="s">
        <v>53</v>
      </c>
      <c r="C197" s="2664">
        <v>0</v>
      </c>
      <c r="D197" s="2664">
        <v>0</v>
      </c>
      <c r="E197" s="2664">
        <v>0</v>
      </c>
      <c r="F197" s="2664">
        <v>0</v>
      </c>
      <c r="G197" s="2664">
        <v>0</v>
      </c>
      <c r="H197" s="2658"/>
      <c r="I197" s="2658"/>
      <c r="J197" s="2658"/>
      <c r="K197" s="2658"/>
      <c r="L197" s="2658"/>
      <c r="M197" s="2658"/>
      <c r="N197" s="2658"/>
      <c r="O197" s="2658"/>
      <c r="P197" s="2658"/>
      <c r="Q197" s="2658"/>
      <c r="R197" s="2658"/>
      <c r="S197" s="2658"/>
      <c r="T197" s="2658"/>
      <c r="U197" s="2658"/>
      <c r="V197" s="2658"/>
      <c r="W197" s="2658"/>
    </row>
    <row r="198" spans="1:23" x14ac:dyDescent="0.2">
      <c r="A198" s="2426">
        <v>196</v>
      </c>
      <c r="B198" s="2663" t="s">
        <v>293</v>
      </c>
      <c r="C198" s="2664">
        <v>0</v>
      </c>
      <c r="D198" s="2664">
        <v>0</v>
      </c>
      <c r="E198" s="2664">
        <v>0</v>
      </c>
      <c r="F198" s="2664">
        <v>0</v>
      </c>
      <c r="G198" s="2664">
        <v>0</v>
      </c>
      <c r="H198" s="2710">
        <f ca="1">OFFSET(inicio,198-ROW(inicio),H5003)+H116</f>
        <v>0</v>
      </c>
      <c r="I198" s="2710">
        <f ca="1">H198+I116</f>
        <v>0</v>
      </c>
      <c r="J198" s="2710">
        <f t="shared" ref="J198:W198" ca="1" si="111">I198+J116</f>
        <v>0</v>
      </c>
      <c r="K198" s="2710">
        <f t="shared" ca="1" si="111"/>
        <v>0</v>
      </c>
      <c r="L198" s="2710">
        <f t="shared" ca="1" si="111"/>
        <v>0</v>
      </c>
      <c r="M198" s="2710">
        <f t="shared" ca="1" si="111"/>
        <v>0</v>
      </c>
      <c r="N198" s="2710">
        <f t="shared" ca="1" si="111"/>
        <v>0</v>
      </c>
      <c r="O198" s="2710">
        <f t="shared" ca="1" si="111"/>
        <v>0</v>
      </c>
      <c r="P198" s="2710">
        <f t="shared" ca="1" si="111"/>
        <v>0</v>
      </c>
      <c r="Q198" s="2710">
        <f t="shared" ca="1" si="111"/>
        <v>0</v>
      </c>
      <c r="R198" s="2710">
        <f t="shared" ca="1" si="111"/>
        <v>0</v>
      </c>
      <c r="S198" s="2710">
        <f t="shared" ca="1" si="111"/>
        <v>0</v>
      </c>
      <c r="T198" s="2710">
        <f t="shared" ca="1" si="111"/>
        <v>0</v>
      </c>
      <c r="U198" s="2710">
        <f t="shared" ca="1" si="111"/>
        <v>0</v>
      </c>
      <c r="V198" s="2710">
        <f t="shared" ca="1" si="111"/>
        <v>0</v>
      </c>
      <c r="W198" s="2710">
        <f t="shared" ca="1" si="111"/>
        <v>0</v>
      </c>
    </row>
    <row r="199" spans="1:23" hidden="1" x14ac:dyDescent="0.2">
      <c r="A199" s="2426">
        <v>197</v>
      </c>
      <c r="B199" s="2663" t="s">
        <v>54</v>
      </c>
      <c r="C199" s="2664">
        <v>0</v>
      </c>
      <c r="D199" s="2664">
        <v>0</v>
      </c>
      <c r="E199" s="2664">
        <v>0</v>
      </c>
      <c r="F199" s="2664">
        <v>0</v>
      </c>
      <c r="G199" s="2664">
        <v>0</v>
      </c>
      <c r="H199" s="2658">
        <v>0</v>
      </c>
      <c r="I199" s="2658"/>
      <c r="J199" s="2658"/>
      <c r="K199" s="2658"/>
      <c r="L199" s="2658"/>
      <c r="M199" s="2658"/>
      <c r="N199" s="2658"/>
      <c r="O199" s="2658"/>
      <c r="P199" s="2658"/>
      <c r="Q199" s="2658"/>
      <c r="R199" s="2658"/>
      <c r="S199" s="2658"/>
      <c r="T199" s="2658"/>
      <c r="U199" s="2658"/>
      <c r="V199" s="2658"/>
      <c r="W199" s="2658"/>
    </row>
    <row r="200" spans="1:23" x14ac:dyDescent="0.2">
      <c r="A200" s="2426">
        <v>198</v>
      </c>
      <c r="B200" s="2716" t="s">
        <v>294</v>
      </c>
      <c r="C200" s="2717">
        <f t="shared" ref="C200" si="112">SUM(C194:C197)-C198-C199</f>
        <v>0</v>
      </c>
      <c r="D200" s="2717">
        <f t="shared" ref="D200:E200" si="113">SUM(D194:D197)-D198-D199</f>
        <v>0</v>
      </c>
      <c r="E200" s="2717">
        <f t="shared" si="113"/>
        <v>0</v>
      </c>
      <c r="F200" s="2717">
        <f t="shared" ref="F200:W200" si="114">SUM(F194:F197)-F198-F199</f>
        <v>0</v>
      </c>
      <c r="G200" s="2717">
        <f t="shared" si="114"/>
        <v>0</v>
      </c>
      <c r="H200" s="2717">
        <f t="shared" ca="1" si="114"/>
        <v>0</v>
      </c>
      <c r="I200" s="2717">
        <f t="shared" ca="1" si="114"/>
        <v>0</v>
      </c>
      <c r="J200" s="2717">
        <f t="shared" ca="1" si="114"/>
        <v>0</v>
      </c>
      <c r="K200" s="2717">
        <f t="shared" ca="1" si="114"/>
        <v>0</v>
      </c>
      <c r="L200" s="2717">
        <f t="shared" ca="1" si="114"/>
        <v>0</v>
      </c>
      <c r="M200" s="2717">
        <f t="shared" ca="1" si="114"/>
        <v>0</v>
      </c>
      <c r="N200" s="2717">
        <f t="shared" ca="1" si="114"/>
        <v>0</v>
      </c>
      <c r="O200" s="2717">
        <f t="shared" ca="1" si="114"/>
        <v>0</v>
      </c>
      <c r="P200" s="2717">
        <f t="shared" ca="1" si="114"/>
        <v>0</v>
      </c>
      <c r="Q200" s="2717">
        <f t="shared" ca="1" si="114"/>
        <v>0</v>
      </c>
      <c r="R200" s="2717">
        <f t="shared" ca="1" si="114"/>
        <v>0</v>
      </c>
      <c r="S200" s="2717">
        <f t="shared" ca="1" si="114"/>
        <v>0</v>
      </c>
      <c r="T200" s="2717">
        <f t="shared" ca="1" si="114"/>
        <v>0</v>
      </c>
      <c r="U200" s="2717">
        <f t="shared" ca="1" si="114"/>
        <v>0</v>
      </c>
      <c r="V200" s="2717">
        <f t="shared" ca="1" si="114"/>
        <v>0</v>
      </c>
      <c r="W200" s="2717">
        <f t="shared" ca="1" si="114"/>
        <v>0</v>
      </c>
    </row>
    <row r="201" spans="1:23" x14ac:dyDescent="0.2">
      <c r="A201" s="2426">
        <v>199</v>
      </c>
      <c r="B201" s="2663" t="s">
        <v>621</v>
      </c>
      <c r="C201" s="2664">
        <v>0</v>
      </c>
      <c r="D201" s="2664">
        <v>0</v>
      </c>
      <c r="E201" s="2664">
        <v>0</v>
      </c>
      <c r="F201" s="2664">
        <v>0</v>
      </c>
      <c r="G201" s="2664">
        <v>0</v>
      </c>
      <c r="H201" s="2710">
        <f ca="1">H372+H373-H374-H375</f>
        <v>0</v>
      </c>
      <c r="I201" s="2710">
        <f t="shared" ref="I201:W201" ca="1" si="115">I372+I373-I374-I375</f>
        <v>0</v>
      </c>
      <c r="J201" s="2710">
        <f t="shared" ca="1" si="115"/>
        <v>0</v>
      </c>
      <c r="K201" s="2710">
        <f t="shared" ca="1" si="115"/>
        <v>0</v>
      </c>
      <c r="L201" s="2710">
        <f t="shared" ca="1" si="115"/>
        <v>0</v>
      </c>
      <c r="M201" s="2710">
        <f t="shared" ca="1" si="115"/>
        <v>0</v>
      </c>
      <c r="N201" s="2710">
        <f t="shared" ca="1" si="115"/>
        <v>0</v>
      </c>
      <c r="O201" s="2710">
        <f t="shared" ca="1" si="115"/>
        <v>0</v>
      </c>
      <c r="P201" s="2710">
        <f t="shared" ca="1" si="115"/>
        <v>0</v>
      </c>
      <c r="Q201" s="2710">
        <f t="shared" ca="1" si="115"/>
        <v>0</v>
      </c>
      <c r="R201" s="2710">
        <f t="shared" ca="1" si="115"/>
        <v>0</v>
      </c>
      <c r="S201" s="2710">
        <f t="shared" ca="1" si="115"/>
        <v>0</v>
      </c>
      <c r="T201" s="2710">
        <f t="shared" ca="1" si="115"/>
        <v>0</v>
      </c>
      <c r="U201" s="2710">
        <f t="shared" ca="1" si="115"/>
        <v>0</v>
      </c>
      <c r="V201" s="2710">
        <f t="shared" ca="1" si="115"/>
        <v>0</v>
      </c>
      <c r="W201" s="2710">
        <f t="shared" ca="1" si="115"/>
        <v>0</v>
      </c>
    </row>
    <row r="202" spans="1:23" x14ac:dyDescent="0.2">
      <c r="A202" s="2426"/>
      <c r="B202" s="2663" t="s">
        <v>1106</v>
      </c>
      <c r="C202" s="2664">
        <v>0</v>
      </c>
      <c r="D202" s="2664">
        <v>0</v>
      </c>
      <c r="E202" s="2664">
        <v>0</v>
      </c>
      <c r="F202" s="2664">
        <v>0</v>
      </c>
      <c r="G202" s="2664">
        <v>0</v>
      </c>
      <c r="H202" s="2658">
        <f>E202</f>
        <v>0</v>
      </c>
      <c r="I202" s="2658">
        <f>H202</f>
        <v>0</v>
      </c>
      <c r="J202" s="2658">
        <f t="shared" ref="J202" si="116">I202</f>
        <v>0</v>
      </c>
      <c r="K202" s="2658">
        <f t="shared" ref="K202" si="117">J202</f>
        <v>0</v>
      </c>
      <c r="L202" s="2658">
        <f t="shared" ref="L202" si="118">K202</f>
        <v>0</v>
      </c>
      <c r="M202" s="2658">
        <f t="shared" ref="M202" si="119">L202</f>
        <v>0</v>
      </c>
      <c r="N202" s="2658">
        <f t="shared" ref="N202" si="120">M202</f>
        <v>0</v>
      </c>
      <c r="O202" s="2658">
        <f t="shared" ref="O202" si="121">N202</f>
        <v>0</v>
      </c>
      <c r="P202" s="2658">
        <f t="shared" ref="P202" si="122">O202</f>
        <v>0</v>
      </c>
      <c r="Q202" s="2658">
        <f t="shared" ref="Q202" si="123">P202</f>
        <v>0</v>
      </c>
      <c r="R202" s="2658">
        <f t="shared" ref="R202" si="124">Q202</f>
        <v>0</v>
      </c>
      <c r="S202" s="2658">
        <f t="shared" ref="S202" si="125">R202</f>
        <v>0</v>
      </c>
      <c r="T202" s="2658">
        <f t="shared" ref="T202" si="126">S202</f>
        <v>0</v>
      </c>
      <c r="U202" s="2658">
        <f t="shared" ref="U202" si="127">T202</f>
        <v>0</v>
      </c>
      <c r="V202" s="2658">
        <f t="shared" ref="V202" si="128">U202</f>
        <v>0</v>
      </c>
      <c r="W202" s="2658">
        <f t="shared" ref="W202" si="129">V202</f>
        <v>0</v>
      </c>
    </row>
    <row r="203" spans="1:23" x14ac:dyDescent="0.2">
      <c r="A203" s="2426">
        <v>200</v>
      </c>
      <c r="B203" s="2663" t="s">
        <v>295</v>
      </c>
      <c r="C203" s="2664">
        <v>0</v>
      </c>
      <c r="D203" s="2664">
        <v>0</v>
      </c>
      <c r="E203" s="2664">
        <v>0</v>
      </c>
      <c r="F203" s="2664">
        <v>0</v>
      </c>
      <c r="G203" s="2664">
        <v>0</v>
      </c>
      <c r="H203" s="2710">
        <f ca="1">H358+H359-H360-H361</f>
        <v>0</v>
      </c>
      <c r="I203" s="2710">
        <f t="shared" ref="I203:W203" ca="1" si="130">I358+I359-I360-I361</f>
        <v>0</v>
      </c>
      <c r="J203" s="2710">
        <f t="shared" ca="1" si="130"/>
        <v>0</v>
      </c>
      <c r="K203" s="2710">
        <f t="shared" ca="1" si="130"/>
        <v>0</v>
      </c>
      <c r="L203" s="2710">
        <f t="shared" ca="1" si="130"/>
        <v>0</v>
      </c>
      <c r="M203" s="2710">
        <f t="shared" ca="1" si="130"/>
        <v>0</v>
      </c>
      <c r="N203" s="2710">
        <f t="shared" ca="1" si="130"/>
        <v>0</v>
      </c>
      <c r="O203" s="2710">
        <f t="shared" ca="1" si="130"/>
        <v>0</v>
      </c>
      <c r="P203" s="2710">
        <f t="shared" ca="1" si="130"/>
        <v>0</v>
      </c>
      <c r="Q203" s="2710">
        <f t="shared" ca="1" si="130"/>
        <v>0</v>
      </c>
      <c r="R203" s="2710">
        <f t="shared" ca="1" si="130"/>
        <v>0</v>
      </c>
      <c r="S203" s="2710">
        <f t="shared" ca="1" si="130"/>
        <v>0</v>
      </c>
      <c r="T203" s="2710">
        <f t="shared" ca="1" si="130"/>
        <v>0</v>
      </c>
      <c r="U203" s="2710">
        <f t="shared" ca="1" si="130"/>
        <v>0</v>
      </c>
      <c r="V203" s="2710">
        <f t="shared" ca="1" si="130"/>
        <v>0</v>
      </c>
      <c r="W203" s="2710">
        <f t="shared" ca="1" si="130"/>
        <v>0</v>
      </c>
    </row>
    <row r="204" spans="1:23" x14ac:dyDescent="0.2">
      <c r="A204" s="2426">
        <v>201</v>
      </c>
      <c r="B204" s="2663" t="s">
        <v>296</v>
      </c>
      <c r="C204" s="2664">
        <v>0</v>
      </c>
      <c r="D204" s="2664">
        <v>0</v>
      </c>
      <c r="E204" s="2664">
        <v>0</v>
      </c>
      <c r="F204" s="2664">
        <v>0</v>
      </c>
      <c r="G204" s="2664">
        <v>0</v>
      </c>
      <c r="H204" s="2710">
        <f>+E204-H384</f>
        <v>0</v>
      </c>
      <c r="I204" s="2710">
        <f>H204-I384</f>
        <v>0</v>
      </c>
      <c r="J204" s="2710">
        <f t="shared" ref="J204:K204" si="131">I204-J384</f>
        <v>0</v>
      </c>
      <c r="K204" s="2710">
        <f t="shared" si="131"/>
        <v>0</v>
      </c>
      <c r="L204" s="2710">
        <f t="shared" ref="L204" si="132">K204-L384</f>
        <v>0</v>
      </c>
      <c r="M204" s="2710">
        <f t="shared" ref="M204" si="133">L204-M384</f>
        <v>0</v>
      </c>
      <c r="N204" s="2710">
        <f t="shared" ref="N204" si="134">M204-N384</f>
        <v>0</v>
      </c>
      <c r="O204" s="2710">
        <f t="shared" ref="O204" si="135">N204-O384</f>
        <v>0</v>
      </c>
      <c r="P204" s="2710">
        <f t="shared" ref="P204" si="136">O204-P384</f>
        <v>0</v>
      </c>
      <c r="Q204" s="2710">
        <f t="shared" ref="Q204" si="137">P204-Q384</f>
        <v>0</v>
      </c>
      <c r="R204" s="2710">
        <f t="shared" ref="R204" si="138">Q204-R384</f>
        <v>0</v>
      </c>
      <c r="S204" s="2710">
        <f t="shared" ref="S204" si="139">R204-S384</f>
        <v>0</v>
      </c>
      <c r="T204" s="2710">
        <f t="shared" ref="T204" si="140">S204-T384</f>
        <v>0</v>
      </c>
      <c r="U204" s="2710">
        <f t="shared" ref="U204" si="141">T204-U384</f>
        <v>0</v>
      </c>
      <c r="V204" s="2710">
        <f t="shared" ref="V204" si="142">U204-V384</f>
        <v>0</v>
      </c>
      <c r="W204" s="2710">
        <f t="shared" ref="W204" si="143">V204-W384</f>
        <v>0</v>
      </c>
    </row>
    <row r="205" spans="1:23" x14ac:dyDescent="0.2">
      <c r="A205" s="2426">
        <v>202</v>
      </c>
      <c r="B205" s="2663" t="s">
        <v>297</v>
      </c>
      <c r="C205" s="2664">
        <v>0</v>
      </c>
      <c r="D205" s="2664">
        <v>0</v>
      </c>
      <c r="E205" s="2664">
        <v>0</v>
      </c>
      <c r="F205" s="2664">
        <v>0</v>
      </c>
      <c r="G205" s="2664">
        <v>0</v>
      </c>
      <c r="H205" s="2658">
        <f>E205</f>
        <v>0</v>
      </c>
      <c r="I205" s="2658">
        <f>H205</f>
        <v>0</v>
      </c>
      <c r="J205" s="2658">
        <f t="shared" ref="J205:J207" si="144">I205</f>
        <v>0</v>
      </c>
      <c r="K205" s="2658">
        <f t="shared" ref="K205:K207" si="145">J205</f>
        <v>0</v>
      </c>
      <c r="L205" s="2658">
        <f t="shared" ref="L205:L207" si="146">K205</f>
        <v>0</v>
      </c>
      <c r="M205" s="2658">
        <f t="shared" ref="M205:M207" si="147">L205</f>
        <v>0</v>
      </c>
      <c r="N205" s="2658">
        <f t="shared" ref="N205:N207" si="148">M205</f>
        <v>0</v>
      </c>
      <c r="O205" s="2658">
        <f t="shared" ref="O205:O207" si="149">N205</f>
        <v>0</v>
      </c>
      <c r="P205" s="2658">
        <f t="shared" ref="P205:P207" si="150">O205</f>
        <v>0</v>
      </c>
      <c r="Q205" s="2658">
        <f t="shared" ref="Q205:Q207" si="151">P205</f>
        <v>0</v>
      </c>
      <c r="R205" s="2658">
        <f t="shared" ref="R205:R207" si="152">Q205</f>
        <v>0</v>
      </c>
      <c r="S205" s="2658">
        <f t="shared" ref="S205:S207" si="153">R205</f>
        <v>0</v>
      </c>
      <c r="T205" s="2658">
        <f t="shared" ref="T205:T207" si="154">S205</f>
        <v>0</v>
      </c>
      <c r="U205" s="2658">
        <f t="shared" ref="U205:U207" si="155">T205</f>
        <v>0</v>
      </c>
      <c r="V205" s="2658">
        <f t="shared" ref="V205:V207" si="156">U205</f>
        <v>0</v>
      </c>
      <c r="W205" s="2658">
        <f t="shared" ref="W205:W207" si="157">V205</f>
        <v>0</v>
      </c>
    </row>
    <row r="206" spans="1:23" x14ac:dyDescent="0.2">
      <c r="A206" s="2426">
        <v>203</v>
      </c>
      <c r="B206" s="2663" t="s">
        <v>298</v>
      </c>
      <c r="C206" s="2664">
        <v>0</v>
      </c>
      <c r="D206" s="2664">
        <v>0</v>
      </c>
      <c r="E206" s="2664">
        <v>0</v>
      </c>
      <c r="F206" s="2664">
        <v>0</v>
      </c>
      <c r="G206" s="2664">
        <v>0</v>
      </c>
      <c r="H206" s="2658">
        <f>E206</f>
        <v>0</v>
      </c>
      <c r="I206" s="2658">
        <f>H206</f>
        <v>0</v>
      </c>
      <c r="J206" s="2658">
        <f t="shared" si="144"/>
        <v>0</v>
      </c>
      <c r="K206" s="2658">
        <f t="shared" si="145"/>
        <v>0</v>
      </c>
      <c r="L206" s="2658">
        <f t="shared" si="146"/>
        <v>0</v>
      </c>
      <c r="M206" s="2658">
        <f t="shared" si="147"/>
        <v>0</v>
      </c>
      <c r="N206" s="2658">
        <f t="shared" si="148"/>
        <v>0</v>
      </c>
      <c r="O206" s="2658">
        <f t="shared" si="149"/>
        <v>0</v>
      </c>
      <c r="P206" s="2658">
        <f t="shared" si="150"/>
        <v>0</v>
      </c>
      <c r="Q206" s="2658">
        <f t="shared" si="151"/>
        <v>0</v>
      </c>
      <c r="R206" s="2658">
        <f t="shared" si="152"/>
        <v>0</v>
      </c>
      <c r="S206" s="2658">
        <f t="shared" si="153"/>
        <v>0</v>
      </c>
      <c r="T206" s="2658">
        <f t="shared" si="154"/>
        <v>0</v>
      </c>
      <c r="U206" s="2658">
        <f t="shared" si="155"/>
        <v>0</v>
      </c>
      <c r="V206" s="2658">
        <f t="shared" si="156"/>
        <v>0</v>
      </c>
      <c r="W206" s="2658">
        <f t="shared" si="157"/>
        <v>0</v>
      </c>
    </row>
    <row r="207" spans="1:23" x14ac:dyDescent="0.2">
      <c r="A207" s="2426">
        <v>204</v>
      </c>
      <c r="B207" s="2663" t="s">
        <v>698</v>
      </c>
      <c r="C207" s="2664">
        <v>0</v>
      </c>
      <c r="D207" s="2664">
        <v>0</v>
      </c>
      <c r="E207" s="2664">
        <v>0</v>
      </c>
      <c r="F207" s="2664">
        <v>0</v>
      </c>
      <c r="G207" s="2664">
        <v>0</v>
      </c>
      <c r="H207" s="2658">
        <f>E207</f>
        <v>0</v>
      </c>
      <c r="I207" s="2658">
        <f>H207</f>
        <v>0</v>
      </c>
      <c r="J207" s="2658">
        <f t="shared" si="144"/>
        <v>0</v>
      </c>
      <c r="K207" s="2658">
        <f t="shared" si="145"/>
        <v>0</v>
      </c>
      <c r="L207" s="2658">
        <f t="shared" si="146"/>
        <v>0</v>
      </c>
      <c r="M207" s="2658">
        <f t="shared" si="147"/>
        <v>0</v>
      </c>
      <c r="N207" s="2658">
        <f t="shared" si="148"/>
        <v>0</v>
      </c>
      <c r="O207" s="2658">
        <f t="shared" si="149"/>
        <v>0</v>
      </c>
      <c r="P207" s="2658">
        <f t="shared" si="150"/>
        <v>0</v>
      </c>
      <c r="Q207" s="2658">
        <f t="shared" si="151"/>
        <v>0</v>
      </c>
      <c r="R207" s="2658">
        <f t="shared" si="152"/>
        <v>0</v>
      </c>
      <c r="S207" s="2658">
        <f t="shared" si="153"/>
        <v>0</v>
      </c>
      <c r="T207" s="2658">
        <f t="shared" si="154"/>
        <v>0</v>
      </c>
      <c r="U207" s="2658">
        <f t="shared" si="155"/>
        <v>0</v>
      </c>
      <c r="V207" s="2658">
        <f t="shared" si="156"/>
        <v>0</v>
      </c>
      <c r="W207" s="2658">
        <f t="shared" si="157"/>
        <v>0</v>
      </c>
    </row>
    <row r="208" spans="1:23" hidden="1" x14ac:dyDescent="0.2">
      <c r="A208" s="2426">
        <v>205</v>
      </c>
      <c r="B208" s="2663" t="s">
        <v>1026</v>
      </c>
      <c r="C208" s="2664">
        <v>0</v>
      </c>
      <c r="D208" s="2664">
        <v>0</v>
      </c>
      <c r="E208" s="2664">
        <v>0</v>
      </c>
      <c r="F208" s="2664">
        <v>0</v>
      </c>
      <c r="G208" s="2664">
        <v>0</v>
      </c>
      <c r="H208" s="2710">
        <f ca="1">OFFSET(inicio,208-ROW(inicio),H5003)</f>
        <v>0</v>
      </c>
      <c r="I208" s="2710">
        <f ca="1">H208</f>
        <v>0</v>
      </c>
      <c r="J208" s="2710">
        <f t="shared" ref="J208:W208" ca="1" si="158">I208</f>
        <v>0</v>
      </c>
      <c r="K208" s="2710">
        <f t="shared" ca="1" si="158"/>
        <v>0</v>
      </c>
      <c r="L208" s="2710">
        <f t="shared" ca="1" si="158"/>
        <v>0</v>
      </c>
      <c r="M208" s="2710">
        <f t="shared" ca="1" si="158"/>
        <v>0</v>
      </c>
      <c r="N208" s="2710">
        <f t="shared" ca="1" si="158"/>
        <v>0</v>
      </c>
      <c r="O208" s="2710">
        <f t="shared" ca="1" si="158"/>
        <v>0</v>
      </c>
      <c r="P208" s="2710">
        <f t="shared" ca="1" si="158"/>
        <v>0</v>
      </c>
      <c r="Q208" s="2710">
        <f t="shared" ca="1" si="158"/>
        <v>0</v>
      </c>
      <c r="R208" s="2710">
        <f t="shared" ca="1" si="158"/>
        <v>0</v>
      </c>
      <c r="S208" s="2710">
        <f t="shared" ca="1" si="158"/>
        <v>0</v>
      </c>
      <c r="T208" s="2710">
        <f t="shared" ca="1" si="158"/>
        <v>0</v>
      </c>
      <c r="U208" s="2710">
        <f t="shared" ca="1" si="158"/>
        <v>0</v>
      </c>
      <c r="V208" s="2710">
        <f t="shared" ca="1" si="158"/>
        <v>0</v>
      </c>
      <c r="W208" s="2710">
        <f t="shared" ca="1" si="158"/>
        <v>0</v>
      </c>
    </row>
    <row r="209" spans="1:23" hidden="1" x14ac:dyDescent="0.2">
      <c r="A209" s="2426">
        <v>206</v>
      </c>
      <c r="B209" s="2663" t="s">
        <v>299</v>
      </c>
      <c r="C209" s="2664">
        <v>0</v>
      </c>
      <c r="D209" s="2664">
        <v>0</v>
      </c>
      <c r="E209" s="2664">
        <v>0</v>
      </c>
      <c r="F209" s="2664">
        <v>0</v>
      </c>
      <c r="G209" s="2664">
        <v>0</v>
      </c>
      <c r="H209" s="2710">
        <f ca="1">OFFSET(inicio,209-ROW(inicio),H5003)</f>
        <v>0</v>
      </c>
      <c r="I209" s="2710">
        <f ca="1">H209</f>
        <v>0</v>
      </c>
      <c r="J209" s="2710">
        <f t="shared" ref="J209:W209" ca="1" si="159">I209</f>
        <v>0</v>
      </c>
      <c r="K209" s="2710">
        <f t="shared" ca="1" si="159"/>
        <v>0</v>
      </c>
      <c r="L209" s="2710">
        <f t="shared" ca="1" si="159"/>
        <v>0</v>
      </c>
      <c r="M209" s="2710">
        <f t="shared" ca="1" si="159"/>
        <v>0</v>
      </c>
      <c r="N209" s="2710">
        <f t="shared" ca="1" si="159"/>
        <v>0</v>
      </c>
      <c r="O209" s="2710">
        <f t="shared" ca="1" si="159"/>
        <v>0</v>
      </c>
      <c r="P209" s="2710">
        <f t="shared" ca="1" si="159"/>
        <v>0</v>
      </c>
      <c r="Q209" s="2710">
        <f t="shared" ca="1" si="159"/>
        <v>0</v>
      </c>
      <c r="R209" s="2710">
        <f t="shared" ca="1" si="159"/>
        <v>0</v>
      </c>
      <c r="S209" s="2710">
        <f t="shared" ca="1" si="159"/>
        <v>0</v>
      </c>
      <c r="T209" s="2710">
        <f t="shared" ca="1" si="159"/>
        <v>0</v>
      </c>
      <c r="U209" s="2710">
        <f t="shared" ca="1" si="159"/>
        <v>0</v>
      </c>
      <c r="V209" s="2710">
        <f t="shared" ca="1" si="159"/>
        <v>0</v>
      </c>
      <c r="W209" s="2710">
        <f t="shared" ca="1" si="159"/>
        <v>0</v>
      </c>
    </row>
    <row r="210" spans="1:23" x14ac:dyDescent="0.2">
      <c r="A210" s="2426">
        <v>207</v>
      </c>
      <c r="B210" s="2716" t="s">
        <v>300</v>
      </c>
      <c r="C210" s="2717">
        <f t="shared" ref="C210" si="160">C200+SUM(C201:C209)</f>
        <v>0</v>
      </c>
      <c r="D210" s="2717">
        <f t="shared" ref="D210:W210" si="161">D200+SUM(D201:D209)</f>
        <v>0</v>
      </c>
      <c r="E210" s="2717">
        <f t="shared" si="161"/>
        <v>0</v>
      </c>
      <c r="F210" s="2717">
        <f t="shared" si="161"/>
        <v>0</v>
      </c>
      <c r="G210" s="2717">
        <f t="shared" si="161"/>
        <v>0</v>
      </c>
      <c r="H210" s="2717">
        <f t="shared" ca="1" si="161"/>
        <v>0</v>
      </c>
      <c r="I210" s="2717">
        <f t="shared" ca="1" si="161"/>
        <v>0</v>
      </c>
      <c r="J210" s="2717">
        <f t="shared" ca="1" si="161"/>
        <v>0</v>
      </c>
      <c r="K210" s="2717">
        <f t="shared" ca="1" si="161"/>
        <v>0</v>
      </c>
      <c r="L210" s="2717">
        <f t="shared" ca="1" si="161"/>
        <v>0</v>
      </c>
      <c r="M210" s="2717">
        <f t="shared" ca="1" si="161"/>
        <v>0</v>
      </c>
      <c r="N210" s="2717">
        <f t="shared" ca="1" si="161"/>
        <v>0</v>
      </c>
      <c r="O210" s="2717">
        <f t="shared" ca="1" si="161"/>
        <v>0</v>
      </c>
      <c r="P210" s="2717">
        <f t="shared" ca="1" si="161"/>
        <v>0</v>
      </c>
      <c r="Q210" s="2717">
        <f t="shared" ca="1" si="161"/>
        <v>0</v>
      </c>
      <c r="R210" s="2717">
        <f t="shared" ca="1" si="161"/>
        <v>0</v>
      </c>
      <c r="S210" s="2717">
        <f t="shared" ca="1" si="161"/>
        <v>0</v>
      </c>
      <c r="T210" s="2717">
        <f t="shared" ca="1" si="161"/>
        <v>0</v>
      </c>
      <c r="U210" s="2717">
        <f t="shared" ca="1" si="161"/>
        <v>0</v>
      </c>
      <c r="V210" s="2717">
        <f t="shared" ca="1" si="161"/>
        <v>0</v>
      </c>
      <c r="W210" s="2717">
        <f t="shared" ca="1" si="161"/>
        <v>0</v>
      </c>
    </row>
    <row r="211" spans="1:23" hidden="1" x14ac:dyDescent="0.2">
      <c r="A211" s="2426">
        <v>208</v>
      </c>
      <c r="B211" s="2668"/>
      <c r="C211" s="2653"/>
      <c r="D211" s="2653"/>
      <c r="E211" s="2653"/>
      <c r="F211" s="2653"/>
      <c r="G211" s="2653"/>
    </row>
    <row r="212" spans="1:23" x14ac:dyDescent="0.2">
      <c r="A212" s="2426">
        <v>209</v>
      </c>
    </row>
    <row r="213" spans="1:23" x14ac:dyDescent="0.2">
      <c r="A213" s="2426">
        <v>210</v>
      </c>
      <c r="B213" s="2706" t="s">
        <v>304</v>
      </c>
      <c r="C213" s="2707">
        <f t="shared" ref="C213:H213" si="162">C227+C236</f>
        <v>0</v>
      </c>
      <c r="D213" s="2707">
        <f t="shared" si="162"/>
        <v>0</v>
      </c>
      <c r="E213" s="2707">
        <f t="shared" si="162"/>
        <v>0</v>
      </c>
      <c r="F213" s="2707">
        <f t="shared" si="162"/>
        <v>0</v>
      </c>
      <c r="G213" s="2707">
        <f t="shared" si="162"/>
        <v>0</v>
      </c>
      <c r="H213" s="2708">
        <f t="shared" ca="1" si="162"/>
        <v>0</v>
      </c>
      <c r="I213" s="2708">
        <f t="shared" ref="I213:W213" ca="1" si="163">I227+I236</f>
        <v>0</v>
      </c>
      <c r="J213" s="2708">
        <f t="shared" ca="1" si="163"/>
        <v>0</v>
      </c>
      <c r="K213" s="2708">
        <f t="shared" ca="1" si="163"/>
        <v>0</v>
      </c>
      <c r="L213" s="2708">
        <f t="shared" ca="1" si="163"/>
        <v>0</v>
      </c>
      <c r="M213" s="2708">
        <f t="shared" ca="1" si="163"/>
        <v>0</v>
      </c>
      <c r="N213" s="2708">
        <f t="shared" ca="1" si="163"/>
        <v>0</v>
      </c>
      <c r="O213" s="2708">
        <f t="shared" ca="1" si="163"/>
        <v>0</v>
      </c>
      <c r="P213" s="2708">
        <f t="shared" ca="1" si="163"/>
        <v>0</v>
      </c>
      <c r="Q213" s="2708">
        <f t="shared" ca="1" si="163"/>
        <v>0</v>
      </c>
      <c r="R213" s="2708">
        <f t="shared" ca="1" si="163"/>
        <v>0</v>
      </c>
      <c r="S213" s="2708">
        <f t="shared" ca="1" si="163"/>
        <v>0</v>
      </c>
      <c r="T213" s="2708">
        <f t="shared" ca="1" si="163"/>
        <v>0</v>
      </c>
      <c r="U213" s="2708">
        <f t="shared" ca="1" si="163"/>
        <v>0</v>
      </c>
      <c r="V213" s="2708">
        <f t="shared" ca="1" si="163"/>
        <v>0</v>
      </c>
      <c r="W213" s="2708">
        <f t="shared" ca="1" si="163"/>
        <v>0</v>
      </c>
    </row>
    <row r="214" spans="1:23" ht="3" customHeight="1" x14ac:dyDescent="0.2">
      <c r="A214" s="2426">
        <v>211</v>
      </c>
      <c r="D214" s="2718"/>
      <c r="E214" s="2719"/>
      <c r="F214" s="2718"/>
      <c r="G214" s="2718"/>
    </row>
    <row r="215" spans="1:23" x14ac:dyDescent="0.2">
      <c r="A215" s="2426">
        <v>212</v>
      </c>
      <c r="B215" s="2663" t="s">
        <v>305</v>
      </c>
      <c r="C215" s="2664">
        <v>0</v>
      </c>
      <c r="D215" s="2664">
        <v>0</v>
      </c>
      <c r="E215" s="2664">
        <v>0</v>
      </c>
      <c r="F215" s="2664">
        <v>0</v>
      </c>
      <c r="G215" s="2664">
        <v>0</v>
      </c>
      <c r="H215" s="2710">
        <f ca="1">IFERROR(H71+H56,0)</f>
        <v>0</v>
      </c>
      <c r="I215" s="2710">
        <f t="shared" ref="I215:W215" ca="1" si="164">IFERROR(I71+I56,0)</f>
        <v>0</v>
      </c>
      <c r="J215" s="2710">
        <f t="shared" ca="1" si="164"/>
        <v>0</v>
      </c>
      <c r="K215" s="2710">
        <f t="shared" ca="1" si="164"/>
        <v>0</v>
      </c>
      <c r="L215" s="2710">
        <f t="shared" ca="1" si="164"/>
        <v>0</v>
      </c>
      <c r="M215" s="2710">
        <f t="shared" ca="1" si="164"/>
        <v>0</v>
      </c>
      <c r="N215" s="2710">
        <f t="shared" ca="1" si="164"/>
        <v>0</v>
      </c>
      <c r="O215" s="2710">
        <f t="shared" ca="1" si="164"/>
        <v>0</v>
      </c>
      <c r="P215" s="2710">
        <f t="shared" ca="1" si="164"/>
        <v>0</v>
      </c>
      <c r="Q215" s="2710">
        <f t="shared" ca="1" si="164"/>
        <v>0</v>
      </c>
      <c r="R215" s="2710">
        <f t="shared" ca="1" si="164"/>
        <v>0</v>
      </c>
      <c r="S215" s="2710">
        <f t="shared" ca="1" si="164"/>
        <v>0</v>
      </c>
      <c r="T215" s="2710">
        <f t="shared" ca="1" si="164"/>
        <v>0</v>
      </c>
      <c r="U215" s="2710">
        <f t="shared" ca="1" si="164"/>
        <v>0</v>
      </c>
      <c r="V215" s="2710">
        <f t="shared" ca="1" si="164"/>
        <v>0</v>
      </c>
      <c r="W215" s="2710">
        <f t="shared" ca="1" si="164"/>
        <v>0</v>
      </c>
    </row>
    <row r="216" spans="1:23" x14ac:dyDescent="0.2">
      <c r="A216" s="2426">
        <v>213</v>
      </c>
      <c r="B216" s="2663" t="s">
        <v>306</v>
      </c>
      <c r="C216" s="2664">
        <v>0</v>
      </c>
      <c r="D216" s="2664">
        <v>0</v>
      </c>
      <c r="E216" s="2664">
        <v>0</v>
      </c>
      <c r="F216" s="2664">
        <v>0</v>
      </c>
      <c r="G216" s="2664">
        <v>0</v>
      </c>
      <c r="H216" s="2710">
        <f ca="1">OFFSET(inicio,216-ROW(inicio),H5003)+H45</f>
        <v>0</v>
      </c>
      <c r="I216" s="2710">
        <f t="shared" ref="I216:W216" ca="1" si="165">H216+I45</f>
        <v>0</v>
      </c>
      <c r="J216" s="2710">
        <f t="shared" ca="1" si="165"/>
        <v>0</v>
      </c>
      <c r="K216" s="2710">
        <f t="shared" ca="1" si="165"/>
        <v>0</v>
      </c>
      <c r="L216" s="2710">
        <f t="shared" ca="1" si="165"/>
        <v>0</v>
      </c>
      <c r="M216" s="2710">
        <f t="shared" ca="1" si="165"/>
        <v>0</v>
      </c>
      <c r="N216" s="2710">
        <f t="shared" ca="1" si="165"/>
        <v>0</v>
      </c>
      <c r="O216" s="2710">
        <f t="shared" ca="1" si="165"/>
        <v>0</v>
      </c>
      <c r="P216" s="2710">
        <f t="shared" ca="1" si="165"/>
        <v>0</v>
      </c>
      <c r="Q216" s="2710">
        <f t="shared" ca="1" si="165"/>
        <v>0</v>
      </c>
      <c r="R216" s="2710">
        <f t="shared" ca="1" si="165"/>
        <v>0</v>
      </c>
      <c r="S216" s="2710">
        <f t="shared" ca="1" si="165"/>
        <v>0</v>
      </c>
      <c r="T216" s="2710">
        <f t="shared" ca="1" si="165"/>
        <v>0</v>
      </c>
      <c r="U216" s="2710">
        <f t="shared" ca="1" si="165"/>
        <v>0</v>
      </c>
      <c r="V216" s="2710">
        <f t="shared" ca="1" si="165"/>
        <v>0</v>
      </c>
      <c r="W216" s="2710">
        <f t="shared" ca="1" si="165"/>
        <v>0</v>
      </c>
    </row>
    <row r="217" spans="1:23" x14ac:dyDescent="0.2">
      <c r="A217" s="2426">
        <v>214</v>
      </c>
      <c r="B217" s="2663" t="s">
        <v>307</v>
      </c>
      <c r="C217" s="2664">
        <v>0</v>
      </c>
      <c r="D217" s="2664">
        <v>0</v>
      </c>
      <c r="E217" s="2664">
        <v>0</v>
      </c>
      <c r="F217" s="2664">
        <v>0</v>
      </c>
      <c r="G217" s="2664">
        <v>0</v>
      </c>
      <c r="H217" s="2710">
        <f ca="1">IFERROR(-I40-(I51*H6),0)</f>
        <v>0</v>
      </c>
      <c r="I217" s="2710">
        <f ca="1">IFERROR(-J40-(J51*I6),0)</f>
        <v>0</v>
      </c>
      <c r="J217" s="2710">
        <f t="shared" ref="J217:W217" ca="1" si="166">IFERROR(-K40-(K51*J6),0)</f>
        <v>0</v>
      </c>
      <c r="K217" s="2710">
        <f t="shared" ca="1" si="166"/>
        <v>0</v>
      </c>
      <c r="L217" s="2710">
        <f t="shared" ca="1" si="166"/>
        <v>0</v>
      </c>
      <c r="M217" s="2710">
        <f t="shared" ca="1" si="166"/>
        <v>0</v>
      </c>
      <c r="N217" s="2710">
        <f t="shared" ca="1" si="166"/>
        <v>0</v>
      </c>
      <c r="O217" s="2710">
        <f t="shared" ca="1" si="166"/>
        <v>0</v>
      </c>
      <c r="P217" s="2710">
        <f t="shared" ca="1" si="166"/>
        <v>0</v>
      </c>
      <c r="Q217" s="2710">
        <f t="shared" ca="1" si="166"/>
        <v>0</v>
      </c>
      <c r="R217" s="2710">
        <f t="shared" ca="1" si="166"/>
        <v>0</v>
      </c>
      <c r="S217" s="2710">
        <f t="shared" ca="1" si="166"/>
        <v>0</v>
      </c>
      <c r="T217" s="2710">
        <f t="shared" ca="1" si="166"/>
        <v>0</v>
      </c>
      <c r="U217" s="2710">
        <f t="shared" ca="1" si="166"/>
        <v>0</v>
      </c>
      <c r="V217" s="2710">
        <f t="shared" ca="1" si="166"/>
        <v>0</v>
      </c>
      <c r="W217" s="2710">
        <f t="shared" ca="1" si="166"/>
        <v>0</v>
      </c>
    </row>
    <row r="218" spans="1:23" x14ac:dyDescent="0.2">
      <c r="A218" s="2426">
        <v>215</v>
      </c>
      <c r="B218" s="2663" t="s">
        <v>308</v>
      </c>
      <c r="C218" s="2664">
        <v>0</v>
      </c>
      <c r="D218" s="2664">
        <v>0</v>
      </c>
      <c r="E218" s="2664">
        <v>0</v>
      </c>
      <c r="F218" s="2664">
        <v>0</v>
      </c>
      <c r="G218" s="2664">
        <v>0</v>
      </c>
      <c r="H218" s="2712">
        <f>IFERROR('Bases Proy'!F77,0)</f>
        <v>0</v>
      </c>
      <c r="I218" s="2712">
        <f>IFERROR('Bases Proy'!G77,0)</f>
        <v>0</v>
      </c>
      <c r="J218" s="2712">
        <f>IFERROR('Bases Proy'!H77,0)</f>
        <v>0</v>
      </c>
      <c r="K218" s="2712">
        <f>IFERROR('Bases Proy'!I77,0)</f>
        <v>0</v>
      </c>
      <c r="L218" s="2712">
        <f>IFERROR('Bases Proy'!J77,0)</f>
        <v>0</v>
      </c>
      <c r="M218" s="2712">
        <f>IFERROR('Bases Proy'!K77,0)</f>
        <v>0</v>
      </c>
      <c r="N218" s="2712">
        <f>IFERROR('Bases Proy'!L77,0)</f>
        <v>0</v>
      </c>
      <c r="O218" s="2712">
        <f>IFERROR('Bases Proy'!M77,0)</f>
        <v>0</v>
      </c>
      <c r="P218" s="2712">
        <f>IFERROR('Bases Proy'!N77,0)</f>
        <v>0</v>
      </c>
      <c r="Q218" s="2712">
        <f>IFERROR('Bases Proy'!O77,0)</f>
        <v>0</v>
      </c>
      <c r="R218" s="2712">
        <f>IFERROR('Bases Proy'!P77,0)</f>
        <v>0</v>
      </c>
      <c r="S218" s="2712">
        <f>IFERROR('Bases Proy'!Q77,0)</f>
        <v>0</v>
      </c>
      <c r="T218" s="2712">
        <f>IFERROR('Bases Proy'!R77,0)</f>
        <v>0</v>
      </c>
      <c r="U218" s="2712">
        <f>IFERROR('Bases Proy'!S77,0)</f>
        <v>0</v>
      </c>
      <c r="V218" s="2712">
        <f>IFERROR('Bases Proy'!T77,0)</f>
        <v>0</v>
      </c>
      <c r="W218" s="2712">
        <f>IFERROR('Bases Proy'!U77,0)</f>
        <v>0</v>
      </c>
    </row>
    <row r="219" spans="1:23" x14ac:dyDescent="0.2">
      <c r="A219" s="2426">
        <v>216</v>
      </c>
      <c r="B219" s="2669" t="s">
        <v>309</v>
      </c>
      <c r="C219" s="2664">
        <v>0</v>
      </c>
      <c r="D219" s="2664">
        <v>0</v>
      </c>
      <c r="E219" s="2664">
        <v>0</v>
      </c>
      <c r="F219" s="2664">
        <v>0</v>
      </c>
      <c r="G219" s="2664">
        <v>0</v>
      </c>
      <c r="H219" s="2710"/>
      <c r="I219" s="2710"/>
      <c r="J219" s="2710"/>
      <c r="K219" s="2710"/>
      <c r="L219" s="2710"/>
      <c r="M219" s="2710"/>
      <c r="N219" s="2710"/>
      <c r="O219" s="2710"/>
      <c r="P219" s="2710"/>
      <c r="Q219" s="2710"/>
      <c r="R219" s="2710"/>
      <c r="S219" s="2710"/>
      <c r="T219" s="2710"/>
      <c r="U219" s="2710"/>
      <c r="V219" s="2710"/>
      <c r="W219" s="2710"/>
    </row>
    <row r="220" spans="1:23" x14ac:dyDescent="0.2">
      <c r="A220" s="2426">
        <v>217</v>
      </c>
      <c r="B220" s="2663" t="s">
        <v>310</v>
      </c>
      <c r="C220" s="2664">
        <v>0</v>
      </c>
      <c r="D220" s="2664">
        <v>0</v>
      </c>
      <c r="E220" s="2664">
        <v>0</v>
      </c>
      <c r="F220" s="2664">
        <v>0</v>
      </c>
      <c r="G220" s="2664">
        <v>0</v>
      </c>
      <c r="H220" s="2670">
        <f>E220</f>
        <v>0</v>
      </c>
      <c r="I220" s="2670">
        <f>H220</f>
        <v>0</v>
      </c>
      <c r="J220" s="2670">
        <f t="shared" ref="J220" si="167">I220</f>
        <v>0</v>
      </c>
      <c r="K220" s="2670">
        <f t="shared" ref="K220" si="168">J220</f>
        <v>0</v>
      </c>
      <c r="L220" s="2670">
        <f t="shared" ref="L220" si="169">K220</f>
        <v>0</v>
      </c>
      <c r="M220" s="2670">
        <f t="shared" ref="M220" si="170">L220</f>
        <v>0</v>
      </c>
      <c r="N220" s="2670">
        <f t="shared" ref="N220" si="171">M220</f>
        <v>0</v>
      </c>
      <c r="O220" s="2670">
        <f t="shared" ref="O220" si="172">N220</f>
        <v>0</v>
      </c>
      <c r="P220" s="2670">
        <f t="shared" ref="P220" si="173">O220</f>
        <v>0</v>
      </c>
      <c r="Q220" s="2670">
        <f t="shared" ref="Q220" si="174">P220</f>
        <v>0</v>
      </c>
      <c r="R220" s="2670">
        <f t="shared" ref="R220" si="175">Q220</f>
        <v>0</v>
      </c>
      <c r="S220" s="2670">
        <f t="shared" ref="S220" si="176">R220</f>
        <v>0</v>
      </c>
      <c r="T220" s="2670">
        <f t="shared" ref="T220" si="177">S220</f>
        <v>0</v>
      </c>
      <c r="U220" s="2670">
        <f t="shared" ref="U220" si="178">T220</f>
        <v>0</v>
      </c>
      <c r="V220" s="2670">
        <f t="shared" ref="V220" si="179">U220</f>
        <v>0</v>
      </c>
      <c r="W220" s="2670">
        <f t="shared" ref="W220" si="180">V220</f>
        <v>0</v>
      </c>
    </row>
    <row r="221" spans="1:23" x14ac:dyDescent="0.2">
      <c r="A221" s="2426">
        <v>218</v>
      </c>
      <c r="B221" s="2663" t="s">
        <v>311</v>
      </c>
      <c r="C221" s="2664">
        <v>0</v>
      </c>
      <c r="D221" s="2664">
        <v>0</v>
      </c>
      <c r="E221" s="2664">
        <v>0</v>
      </c>
      <c r="F221" s="2664">
        <v>0</v>
      </c>
      <c r="G221" s="2664">
        <v>0</v>
      </c>
      <c r="H221" s="2710">
        <f>H279</f>
        <v>0</v>
      </c>
      <c r="I221" s="2710">
        <f t="shared" ref="I221:W221" si="181">I279</f>
        <v>0</v>
      </c>
      <c r="J221" s="2710">
        <f t="shared" si="181"/>
        <v>0</v>
      </c>
      <c r="K221" s="2710">
        <f t="shared" si="181"/>
        <v>0</v>
      </c>
      <c r="L221" s="2710">
        <f t="shared" si="181"/>
        <v>0</v>
      </c>
      <c r="M221" s="2710">
        <f t="shared" si="181"/>
        <v>0</v>
      </c>
      <c r="N221" s="2710">
        <f t="shared" si="181"/>
        <v>0</v>
      </c>
      <c r="O221" s="2710">
        <f t="shared" si="181"/>
        <v>0</v>
      </c>
      <c r="P221" s="2710">
        <f t="shared" si="181"/>
        <v>0</v>
      </c>
      <c r="Q221" s="2710">
        <f t="shared" si="181"/>
        <v>0</v>
      </c>
      <c r="R221" s="2710">
        <f t="shared" si="181"/>
        <v>0</v>
      </c>
      <c r="S221" s="2710">
        <f t="shared" si="181"/>
        <v>0</v>
      </c>
      <c r="T221" s="2710">
        <f t="shared" si="181"/>
        <v>0</v>
      </c>
      <c r="U221" s="2710">
        <f t="shared" si="181"/>
        <v>0</v>
      </c>
      <c r="V221" s="2710">
        <f t="shared" si="181"/>
        <v>0</v>
      </c>
      <c r="W221" s="2710">
        <f t="shared" si="181"/>
        <v>0</v>
      </c>
    </row>
    <row r="222" spans="1:23" x14ac:dyDescent="0.2">
      <c r="A222" s="2426">
        <v>219</v>
      </c>
      <c r="B222" s="2663" t="s">
        <v>312</v>
      </c>
      <c r="C222" s="2664">
        <v>0</v>
      </c>
      <c r="D222" s="2664">
        <v>0</v>
      </c>
      <c r="E222" s="2664">
        <v>0</v>
      </c>
      <c r="F222" s="2664">
        <v>0</v>
      </c>
      <c r="G222" s="2664">
        <v>0</v>
      </c>
      <c r="H222" s="2710">
        <f>H280</f>
        <v>0</v>
      </c>
      <c r="I222" s="2710">
        <f t="shared" ref="I222:W222" si="182">I280</f>
        <v>0</v>
      </c>
      <c r="J222" s="2710">
        <f t="shared" si="182"/>
        <v>0</v>
      </c>
      <c r="K222" s="2710">
        <f t="shared" si="182"/>
        <v>0</v>
      </c>
      <c r="L222" s="2710">
        <f t="shared" si="182"/>
        <v>0</v>
      </c>
      <c r="M222" s="2710">
        <f t="shared" si="182"/>
        <v>0</v>
      </c>
      <c r="N222" s="2710">
        <f t="shared" si="182"/>
        <v>0</v>
      </c>
      <c r="O222" s="2710">
        <f t="shared" si="182"/>
        <v>0</v>
      </c>
      <c r="P222" s="2710">
        <f t="shared" si="182"/>
        <v>0</v>
      </c>
      <c r="Q222" s="2710">
        <f t="shared" si="182"/>
        <v>0</v>
      </c>
      <c r="R222" s="2710">
        <f t="shared" si="182"/>
        <v>0</v>
      </c>
      <c r="S222" s="2710">
        <f t="shared" si="182"/>
        <v>0</v>
      </c>
      <c r="T222" s="2710">
        <f t="shared" si="182"/>
        <v>0</v>
      </c>
      <c r="U222" s="2710">
        <f t="shared" si="182"/>
        <v>0</v>
      </c>
      <c r="V222" s="2710">
        <f t="shared" si="182"/>
        <v>0</v>
      </c>
      <c r="W222" s="2710">
        <f t="shared" si="182"/>
        <v>0</v>
      </c>
    </row>
    <row r="223" spans="1:23" x14ac:dyDescent="0.2">
      <c r="A223" s="2426">
        <v>220</v>
      </c>
      <c r="B223" s="2663" t="s">
        <v>313</v>
      </c>
      <c r="C223" s="2664">
        <v>0</v>
      </c>
      <c r="D223" s="2664">
        <v>0</v>
      </c>
      <c r="E223" s="2664">
        <v>0</v>
      </c>
      <c r="F223" s="2664">
        <v>0</v>
      </c>
      <c r="G223" s="2664">
        <v>0</v>
      </c>
      <c r="H223" s="2710"/>
      <c r="I223" s="2710"/>
      <c r="J223" s="2710"/>
      <c r="K223" s="2710"/>
      <c r="L223" s="2710"/>
      <c r="M223" s="2710"/>
      <c r="N223" s="2710"/>
      <c r="O223" s="2710"/>
      <c r="P223" s="2710"/>
      <c r="Q223" s="2710"/>
      <c r="R223" s="2710"/>
      <c r="S223" s="2710"/>
      <c r="T223" s="2710"/>
      <c r="U223" s="2710"/>
      <c r="V223" s="2710"/>
      <c r="W223" s="2710"/>
    </row>
    <row r="224" spans="1:23" x14ac:dyDescent="0.2">
      <c r="A224" s="2426">
        <v>221</v>
      </c>
      <c r="B224" s="2663" t="s">
        <v>314</v>
      </c>
      <c r="C224" s="2664">
        <v>0</v>
      </c>
      <c r="D224" s="2664">
        <v>0</v>
      </c>
      <c r="E224" s="2664">
        <v>0</v>
      </c>
      <c r="F224" s="2664">
        <v>0</v>
      </c>
      <c r="G224" s="2664">
        <v>0</v>
      </c>
      <c r="H224" s="2710">
        <f>H281</f>
        <v>0</v>
      </c>
      <c r="I224" s="2710">
        <f t="shared" ref="I224:W224" si="183">I281</f>
        <v>0</v>
      </c>
      <c r="J224" s="2710">
        <f t="shared" si="183"/>
        <v>0</v>
      </c>
      <c r="K224" s="2710">
        <f t="shared" si="183"/>
        <v>0</v>
      </c>
      <c r="L224" s="2710">
        <f t="shared" si="183"/>
        <v>0</v>
      </c>
      <c r="M224" s="2710">
        <f t="shared" si="183"/>
        <v>0</v>
      </c>
      <c r="N224" s="2710">
        <f t="shared" si="183"/>
        <v>0</v>
      </c>
      <c r="O224" s="2710">
        <f t="shared" si="183"/>
        <v>0</v>
      </c>
      <c r="P224" s="2710">
        <f t="shared" si="183"/>
        <v>0</v>
      </c>
      <c r="Q224" s="2710">
        <f t="shared" si="183"/>
        <v>0</v>
      </c>
      <c r="R224" s="2710">
        <f t="shared" si="183"/>
        <v>0</v>
      </c>
      <c r="S224" s="2710">
        <f t="shared" si="183"/>
        <v>0</v>
      </c>
      <c r="T224" s="2710">
        <f t="shared" si="183"/>
        <v>0</v>
      </c>
      <c r="U224" s="2710">
        <f t="shared" si="183"/>
        <v>0</v>
      </c>
      <c r="V224" s="2710">
        <f t="shared" si="183"/>
        <v>0</v>
      </c>
      <c r="W224" s="2710">
        <f t="shared" si="183"/>
        <v>0</v>
      </c>
    </row>
    <row r="225" spans="1:23" x14ac:dyDescent="0.2">
      <c r="A225" s="2426">
        <v>222</v>
      </c>
      <c r="B225" s="2663" t="s">
        <v>315</v>
      </c>
      <c r="C225" s="2664">
        <v>0</v>
      </c>
      <c r="D225" s="2664">
        <v>0</v>
      </c>
      <c r="E225" s="2664">
        <v>0</v>
      </c>
      <c r="F225" s="2664">
        <v>0</v>
      </c>
      <c r="G225" s="2664">
        <v>0</v>
      </c>
      <c r="H225" s="2710">
        <f>H282</f>
        <v>0</v>
      </c>
      <c r="I225" s="2710">
        <f t="shared" ref="I225:W225" si="184">I282</f>
        <v>0</v>
      </c>
      <c r="J225" s="2710">
        <f t="shared" si="184"/>
        <v>0</v>
      </c>
      <c r="K225" s="2710">
        <f t="shared" si="184"/>
        <v>0</v>
      </c>
      <c r="L225" s="2710">
        <f t="shared" si="184"/>
        <v>0</v>
      </c>
      <c r="M225" s="2710">
        <f t="shared" si="184"/>
        <v>0</v>
      </c>
      <c r="N225" s="2710">
        <f t="shared" si="184"/>
        <v>0</v>
      </c>
      <c r="O225" s="2710">
        <f t="shared" si="184"/>
        <v>0</v>
      </c>
      <c r="P225" s="2710">
        <f t="shared" si="184"/>
        <v>0</v>
      </c>
      <c r="Q225" s="2710">
        <f t="shared" si="184"/>
        <v>0</v>
      </c>
      <c r="R225" s="2710">
        <f t="shared" si="184"/>
        <v>0</v>
      </c>
      <c r="S225" s="2710">
        <f t="shared" si="184"/>
        <v>0</v>
      </c>
      <c r="T225" s="2710">
        <f t="shared" si="184"/>
        <v>0</v>
      </c>
      <c r="U225" s="2710">
        <f t="shared" si="184"/>
        <v>0</v>
      </c>
      <c r="V225" s="2710">
        <f t="shared" si="184"/>
        <v>0</v>
      </c>
      <c r="W225" s="2710">
        <f t="shared" si="184"/>
        <v>0</v>
      </c>
    </row>
    <row r="226" spans="1:23" x14ac:dyDescent="0.2">
      <c r="A226" s="2426">
        <v>223</v>
      </c>
      <c r="B226" s="2663" t="s">
        <v>593</v>
      </c>
      <c r="C226" s="2664">
        <v>0</v>
      </c>
      <c r="D226" s="2664">
        <v>0</v>
      </c>
      <c r="E226" s="2664">
        <v>0</v>
      </c>
      <c r="F226" s="2664">
        <v>0</v>
      </c>
      <c r="G226" s="2664">
        <v>0</v>
      </c>
      <c r="H226" s="2710">
        <f>H283</f>
        <v>0</v>
      </c>
      <c r="I226" s="2710">
        <f t="shared" ref="I226:W226" si="185">I283</f>
        <v>0</v>
      </c>
      <c r="J226" s="2710">
        <f t="shared" si="185"/>
        <v>0</v>
      </c>
      <c r="K226" s="2710">
        <f t="shared" si="185"/>
        <v>0</v>
      </c>
      <c r="L226" s="2710">
        <f t="shared" si="185"/>
        <v>0</v>
      </c>
      <c r="M226" s="2710">
        <f t="shared" si="185"/>
        <v>0</v>
      </c>
      <c r="N226" s="2710">
        <f t="shared" si="185"/>
        <v>0</v>
      </c>
      <c r="O226" s="2710">
        <f t="shared" si="185"/>
        <v>0</v>
      </c>
      <c r="P226" s="2710">
        <f t="shared" si="185"/>
        <v>0</v>
      </c>
      <c r="Q226" s="2710">
        <f t="shared" si="185"/>
        <v>0</v>
      </c>
      <c r="R226" s="2710">
        <f t="shared" si="185"/>
        <v>0</v>
      </c>
      <c r="S226" s="2710">
        <f t="shared" si="185"/>
        <v>0</v>
      </c>
      <c r="T226" s="2710">
        <f t="shared" si="185"/>
        <v>0</v>
      </c>
      <c r="U226" s="2710">
        <f t="shared" si="185"/>
        <v>0</v>
      </c>
      <c r="V226" s="2710">
        <f t="shared" si="185"/>
        <v>0</v>
      </c>
      <c r="W226" s="2710">
        <f t="shared" si="185"/>
        <v>0</v>
      </c>
    </row>
    <row r="227" spans="1:23" x14ac:dyDescent="0.2">
      <c r="A227" s="2426">
        <v>224</v>
      </c>
      <c r="B227" s="2716" t="s">
        <v>316</v>
      </c>
      <c r="C227" s="2717">
        <f t="shared" ref="C227" si="186">SUM(C215:C226)</f>
        <v>0</v>
      </c>
      <c r="D227" s="2717">
        <f t="shared" ref="D227:W227" si="187">SUM(D215:D226)</f>
        <v>0</v>
      </c>
      <c r="E227" s="2717">
        <f t="shared" si="187"/>
        <v>0</v>
      </c>
      <c r="F227" s="2717">
        <f t="shared" si="187"/>
        <v>0</v>
      </c>
      <c r="G227" s="2717">
        <f t="shared" si="187"/>
        <v>0</v>
      </c>
      <c r="H227" s="2717">
        <f t="shared" ca="1" si="187"/>
        <v>0</v>
      </c>
      <c r="I227" s="2717">
        <f t="shared" ca="1" si="187"/>
        <v>0</v>
      </c>
      <c r="J227" s="2717">
        <f t="shared" ca="1" si="187"/>
        <v>0</v>
      </c>
      <c r="K227" s="2717">
        <f t="shared" ca="1" si="187"/>
        <v>0</v>
      </c>
      <c r="L227" s="2717">
        <f t="shared" ca="1" si="187"/>
        <v>0</v>
      </c>
      <c r="M227" s="2717">
        <f t="shared" ca="1" si="187"/>
        <v>0</v>
      </c>
      <c r="N227" s="2717">
        <f t="shared" ca="1" si="187"/>
        <v>0</v>
      </c>
      <c r="O227" s="2717">
        <f t="shared" ca="1" si="187"/>
        <v>0</v>
      </c>
      <c r="P227" s="2717">
        <f t="shared" ca="1" si="187"/>
        <v>0</v>
      </c>
      <c r="Q227" s="2717">
        <f t="shared" ca="1" si="187"/>
        <v>0</v>
      </c>
      <c r="R227" s="2717">
        <f t="shared" ca="1" si="187"/>
        <v>0</v>
      </c>
      <c r="S227" s="2717">
        <f t="shared" ca="1" si="187"/>
        <v>0</v>
      </c>
      <c r="T227" s="2717">
        <f t="shared" ca="1" si="187"/>
        <v>0</v>
      </c>
      <c r="U227" s="2717">
        <f t="shared" ca="1" si="187"/>
        <v>0</v>
      </c>
      <c r="V227" s="2717">
        <f t="shared" ca="1" si="187"/>
        <v>0</v>
      </c>
      <c r="W227" s="2717">
        <f t="shared" ca="1" si="187"/>
        <v>0</v>
      </c>
    </row>
    <row r="228" spans="1:23" x14ac:dyDescent="0.2">
      <c r="A228" s="2426">
        <v>225</v>
      </c>
      <c r="B228" s="2663" t="s">
        <v>317</v>
      </c>
      <c r="C228" s="2664">
        <v>0</v>
      </c>
      <c r="D228" s="2664">
        <v>0</v>
      </c>
      <c r="E228" s="2664">
        <v>0</v>
      </c>
      <c r="F228" s="2664">
        <v>0</v>
      </c>
      <c r="G228" s="2664">
        <v>0</v>
      </c>
      <c r="H228" s="2710">
        <f ca="1">IFERROR(H41-H217,0)</f>
        <v>0</v>
      </c>
      <c r="I228" s="2710">
        <f ca="1">IFERROR(I41-I217,0)</f>
        <v>0</v>
      </c>
      <c r="J228" s="2710">
        <f t="shared" ref="J228:W228" ca="1" si="188">IFERROR(J41-J217,0)</f>
        <v>0</v>
      </c>
      <c r="K228" s="2710">
        <f t="shared" ca="1" si="188"/>
        <v>0</v>
      </c>
      <c r="L228" s="2710">
        <f t="shared" ca="1" si="188"/>
        <v>0</v>
      </c>
      <c r="M228" s="2710">
        <f t="shared" ca="1" si="188"/>
        <v>0</v>
      </c>
      <c r="N228" s="2710">
        <f t="shared" ca="1" si="188"/>
        <v>0</v>
      </c>
      <c r="O228" s="2710">
        <f t="shared" ca="1" si="188"/>
        <v>0</v>
      </c>
      <c r="P228" s="2710">
        <f t="shared" ca="1" si="188"/>
        <v>0</v>
      </c>
      <c r="Q228" s="2710">
        <f t="shared" ca="1" si="188"/>
        <v>0</v>
      </c>
      <c r="R228" s="2710">
        <f t="shared" ca="1" si="188"/>
        <v>0</v>
      </c>
      <c r="S228" s="2710">
        <f t="shared" ca="1" si="188"/>
        <v>0</v>
      </c>
      <c r="T228" s="2710">
        <f t="shared" ca="1" si="188"/>
        <v>0</v>
      </c>
      <c r="U228" s="2710">
        <f t="shared" ca="1" si="188"/>
        <v>0</v>
      </c>
      <c r="V228" s="2710">
        <f t="shared" ca="1" si="188"/>
        <v>0</v>
      </c>
      <c r="W228" s="2710">
        <f t="shared" ca="1" si="188"/>
        <v>0</v>
      </c>
    </row>
    <row r="229" spans="1:23" x14ac:dyDescent="0.2">
      <c r="A229" s="2426">
        <v>226</v>
      </c>
      <c r="B229" s="2663" t="s">
        <v>318</v>
      </c>
      <c r="C229" s="2664">
        <v>0</v>
      </c>
      <c r="D229" s="2664">
        <v>0</v>
      </c>
      <c r="E229" s="2664">
        <v>0</v>
      </c>
      <c r="F229" s="2664">
        <v>0</v>
      </c>
      <c r="G229" s="2664">
        <v>0</v>
      </c>
      <c r="H229" s="2710">
        <f ca="1">OFFSET(inicio,229-ROW(inicio),H5003)+H42</f>
        <v>0</v>
      </c>
      <c r="I229" s="2710">
        <f t="shared" ref="I229:W229" ca="1" si="189">H229+I42</f>
        <v>0</v>
      </c>
      <c r="J229" s="2710">
        <f t="shared" ca="1" si="189"/>
        <v>0</v>
      </c>
      <c r="K229" s="2710">
        <f t="shared" ca="1" si="189"/>
        <v>0</v>
      </c>
      <c r="L229" s="2710">
        <f t="shared" ca="1" si="189"/>
        <v>0</v>
      </c>
      <c r="M229" s="2710">
        <f t="shared" ca="1" si="189"/>
        <v>0</v>
      </c>
      <c r="N229" s="2710">
        <f t="shared" ca="1" si="189"/>
        <v>0</v>
      </c>
      <c r="O229" s="2710">
        <f t="shared" ca="1" si="189"/>
        <v>0</v>
      </c>
      <c r="P229" s="2710">
        <f t="shared" ca="1" si="189"/>
        <v>0</v>
      </c>
      <c r="Q229" s="2710">
        <f t="shared" ca="1" si="189"/>
        <v>0</v>
      </c>
      <c r="R229" s="2710">
        <f t="shared" ca="1" si="189"/>
        <v>0</v>
      </c>
      <c r="S229" s="2710">
        <f t="shared" ca="1" si="189"/>
        <v>0</v>
      </c>
      <c r="T229" s="2710">
        <f t="shared" ca="1" si="189"/>
        <v>0</v>
      </c>
      <c r="U229" s="2710">
        <f t="shared" ca="1" si="189"/>
        <v>0</v>
      </c>
      <c r="V229" s="2710">
        <f t="shared" ca="1" si="189"/>
        <v>0</v>
      </c>
      <c r="W229" s="2710">
        <f t="shared" ca="1" si="189"/>
        <v>0</v>
      </c>
    </row>
    <row r="230" spans="1:23" x14ac:dyDescent="0.2">
      <c r="A230" s="2426">
        <v>227</v>
      </c>
      <c r="B230" s="2663" t="s">
        <v>319</v>
      </c>
      <c r="C230" s="2664">
        <v>0</v>
      </c>
      <c r="D230" s="2664">
        <v>0</v>
      </c>
      <c r="E230" s="2664">
        <v>0</v>
      </c>
      <c r="F230" s="2664">
        <v>0</v>
      </c>
      <c r="G230" s="2664">
        <v>0</v>
      </c>
      <c r="H230" s="2658">
        <f t="shared" ref="H230:H231" si="190">E230</f>
        <v>0</v>
      </c>
      <c r="I230" s="2658">
        <f t="shared" ref="I230:I231" si="191">H230</f>
        <v>0</v>
      </c>
      <c r="J230" s="2658">
        <f t="shared" ref="J230:J231" si="192">I230</f>
        <v>0</v>
      </c>
      <c r="K230" s="2658">
        <f t="shared" ref="K230:K231" si="193">J230</f>
        <v>0</v>
      </c>
      <c r="L230" s="2658">
        <f t="shared" ref="L230:L231" si="194">K230</f>
        <v>0</v>
      </c>
      <c r="M230" s="2658">
        <f t="shared" ref="M230:M231" si="195">L230</f>
        <v>0</v>
      </c>
      <c r="N230" s="2658">
        <f t="shared" ref="N230:N231" si="196">M230</f>
        <v>0</v>
      </c>
      <c r="O230" s="2658">
        <f t="shared" ref="O230:O231" si="197">N230</f>
        <v>0</v>
      </c>
      <c r="P230" s="2658">
        <f t="shared" ref="P230:P231" si="198">O230</f>
        <v>0</v>
      </c>
      <c r="Q230" s="2658">
        <f t="shared" ref="Q230:Q231" si="199">P230</f>
        <v>0</v>
      </c>
      <c r="R230" s="2658">
        <f t="shared" ref="R230:R231" si="200">Q230</f>
        <v>0</v>
      </c>
      <c r="S230" s="2658">
        <f t="shared" ref="S230:S231" si="201">R230</f>
        <v>0</v>
      </c>
      <c r="T230" s="2658">
        <f t="shared" ref="T230:T231" si="202">S230</f>
        <v>0</v>
      </c>
      <c r="U230" s="2658">
        <f t="shared" ref="U230:U231" si="203">T230</f>
        <v>0</v>
      </c>
      <c r="V230" s="2658">
        <f t="shared" ref="V230:V231" si="204">U230</f>
        <v>0</v>
      </c>
      <c r="W230" s="2658">
        <f t="shared" ref="W230:W231" si="205">V230</f>
        <v>0</v>
      </c>
    </row>
    <row r="231" spans="1:23" x14ac:dyDescent="0.2">
      <c r="A231" s="2426">
        <v>228</v>
      </c>
      <c r="B231" s="2663" t="s">
        <v>320</v>
      </c>
      <c r="C231" s="2664">
        <v>0</v>
      </c>
      <c r="D231" s="2664">
        <v>0</v>
      </c>
      <c r="E231" s="2664">
        <v>0</v>
      </c>
      <c r="F231" s="2664">
        <v>0</v>
      </c>
      <c r="G231" s="2664">
        <v>0</v>
      </c>
      <c r="H231" s="2658">
        <f t="shared" si="190"/>
        <v>0</v>
      </c>
      <c r="I231" s="2658">
        <f t="shared" si="191"/>
        <v>0</v>
      </c>
      <c r="J231" s="2658">
        <f t="shared" si="192"/>
        <v>0</v>
      </c>
      <c r="K231" s="2658">
        <f t="shared" si="193"/>
        <v>0</v>
      </c>
      <c r="L231" s="2658">
        <f t="shared" si="194"/>
        <v>0</v>
      </c>
      <c r="M231" s="2658">
        <f t="shared" si="195"/>
        <v>0</v>
      </c>
      <c r="N231" s="2658">
        <f t="shared" si="196"/>
        <v>0</v>
      </c>
      <c r="O231" s="2658">
        <f t="shared" si="197"/>
        <v>0</v>
      </c>
      <c r="P231" s="2658">
        <f t="shared" si="198"/>
        <v>0</v>
      </c>
      <c r="Q231" s="2658">
        <f t="shared" si="199"/>
        <v>0</v>
      </c>
      <c r="R231" s="2658">
        <f t="shared" si="200"/>
        <v>0</v>
      </c>
      <c r="S231" s="2658">
        <f t="shared" si="201"/>
        <v>0</v>
      </c>
      <c r="T231" s="2658">
        <f t="shared" si="202"/>
        <v>0</v>
      </c>
      <c r="U231" s="2658">
        <f t="shared" si="203"/>
        <v>0</v>
      </c>
      <c r="V231" s="2658">
        <f t="shared" si="204"/>
        <v>0</v>
      </c>
      <c r="W231" s="2658">
        <f t="shared" si="205"/>
        <v>0</v>
      </c>
    </row>
    <row r="232" spans="1:23" x14ac:dyDescent="0.2">
      <c r="A232" s="2426">
        <v>229</v>
      </c>
      <c r="B232" s="2663" t="s">
        <v>321</v>
      </c>
      <c r="C232" s="2664">
        <v>0</v>
      </c>
      <c r="D232" s="2664">
        <v>0</v>
      </c>
      <c r="E232" s="2664">
        <v>0</v>
      </c>
      <c r="F232" s="2664">
        <v>0</v>
      </c>
      <c r="G232" s="2664">
        <v>0</v>
      </c>
      <c r="H232" s="2658">
        <f>E232</f>
        <v>0</v>
      </c>
      <c r="I232" s="2658">
        <f>H232</f>
        <v>0</v>
      </c>
      <c r="J232" s="2658">
        <f t="shared" ref="J232" si="206">I232</f>
        <v>0</v>
      </c>
      <c r="K232" s="2658">
        <f t="shared" ref="K232" si="207">J232</f>
        <v>0</v>
      </c>
      <c r="L232" s="2658">
        <f t="shared" ref="L232" si="208">K232</f>
        <v>0</v>
      </c>
      <c r="M232" s="2658">
        <f t="shared" ref="M232" si="209">L232</f>
        <v>0</v>
      </c>
      <c r="N232" s="2658">
        <f t="shared" ref="N232" si="210">M232</f>
        <v>0</v>
      </c>
      <c r="O232" s="2658">
        <f t="shared" ref="O232" si="211">N232</f>
        <v>0</v>
      </c>
      <c r="P232" s="2658">
        <f t="shared" ref="P232" si="212">O232</f>
        <v>0</v>
      </c>
      <c r="Q232" s="2658">
        <f t="shared" ref="Q232" si="213">P232</f>
        <v>0</v>
      </c>
      <c r="R232" s="2658">
        <f t="shared" ref="R232" si="214">Q232</f>
        <v>0</v>
      </c>
      <c r="S232" s="2658">
        <f t="shared" ref="S232" si="215">R232</f>
        <v>0</v>
      </c>
      <c r="T232" s="2658">
        <f t="shared" ref="T232" si="216">S232</f>
        <v>0</v>
      </c>
      <c r="U232" s="2658">
        <f t="shared" ref="U232" si="217">T232</f>
        <v>0</v>
      </c>
      <c r="V232" s="2658">
        <f t="shared" ref="V232" si="218">U232</f>
        <v>0</v>
      </c>
      <c r="W232" s="2658">
        <f t="shared" ref="W232" si="219">V232</f>
        <v>0</v>
      </c>
    </row>
    <row r="233" spans="1:23" x14ac:dyDescent="0.2">
      <c r="A233" s="2426">
        <v>230</v>
      </c>
      <c r="B233" s="2663" t="s">
        <v>1030</v>
      </c>
      <c r="C233" s="2664">
        <v>0</v>
      </c>
      <c r="D233" s="2664">
        <v>0</v>
      </c>
      <c r="E233" s="2664">
        <v>0</v>
      </c>
      <c r="F233" s="2664">
        <v>0</v>
      </c>
      <c r="G233" s="2664">
        <v>0</v>
      </c>
      <c r="H233" s="2658">
        <f>E233</f>
        <v>0</v>
      </c>
      <c r="I233" s="2658">
        <f>H233</f>
        <v>0</v>
      </c>
      <c r="J233" s="2658">
        <f t="shared" ref="J233:W233" si="220">I233</f>
        <v>0</v>
      </c>
      <c r="K233" s="2658">
        <f t="shared" si="220"/>
        <v>0</v>
      </c>
      <c r="L233" s="2658">
        <f t="shared" si="220"/>
        <v>0</v>
      </c>
      <c r="M233" s="2658">
        <f t="shared" si="220"/>
        <v>0</v>
      </c>
      <c r="N233" s="2658">
        <f t="shared" si="220"/>
        <v>0</v>
      </c>
      <c r="O233" s="2658">
        <f t="shared" si="220"/>
        <v>0</v>
      </c>
      <c r="P233" s="2658">
        <f t="shared" si="220"/>
        <v>0</v>
      </c>
      <c r="Q233" s="2658">
        <f t="shared" si="220"/>
        <v>0</v>
      </c>
      <c r="R233" s="2658">
        <f t="shared" si="220"/>
        <v>0</v>
      </c>
      <c r="S233" s="2658">
        <f t="shared" si="220"/>
        <v>0</v>
      </c>
      <c r="T233" s="2658">
        <f t="shared" si="220"/>
        <v>0</v>
      </c>
      <c r="U233" s="2658">
        <f t="shared" si="220"/>
        <v>0</v>
      </c>
      <c r="V233" s="2658">
        <f t="shared" si="220"/>
        <v>0</v>
      </c>
      <c r="W233" s="2658">
        <f t="shared" si="220"/>
        <v>0</v>
      </c>
    </row>
    <row r="234" spans="1:23" x14ac:dyDescent="0.2">
      <c r="A234" s="2426">
        <v>231</v>
      </c>
      <c r="B234" s="2663" t="s">
        <v>322</v>
      </c>
      <c r="C234" s="2664">
        <v>0</v>
      </c>
      <c r="D234" s="2664">
        <v>0</v>
      </c>
      <c r="E234" s="2664">
        <v>0</v>
      </c>
      <c r="F234" s="2664">
        <v>0</v>
      </c>
      <c r="G234" s="2664">
        <v>0</v>
      </c>
      <c r="H234" s="2658">
        <f>E234</f>
        <v>0</v>
      </c>
      <c r="I234" s="2658">
        <f>H234</f>
        <v>0</v>
      </c>
      <c r="J234" s="2658">
        <f t="shared" ref="J234" si="221">I234</f>
        <v>0</v>
      </c>
      <c r="K234" s="2658">
        <f t="shared" ref="K234" si="222">J234</f>
        <v>0</v>
      </c>
      <c r="L234" s="2658">
        <f t="shared" ref="L234" si="223">K234</f>
        <v>0</v>
      </c>
      <c r="M234" s="2658">
        <f t="shared" ref="M234" si="224">L234</f>
        <v>0</v>
      </c>
      <c r="N234" s="2658">
        <f t="shared" ref="N234" si="225">M234</f>
        <v>0</v>
      </c>
      <c r="O234" s="2658">
        <f t="shared" ref="O234" si="226">N234</f>
        <v>0</v>
      </c>
      <c r="P234" s="2658">
        <f t="shared" ref="P234" si="227">O234</f>
        <v>0</v>
      </c>
      <c r="Q234" s="2658">
        <f t="shared" ref="Q234" si="228">P234</f>
        <v>0</v>
      </c>
      <c r="R234" s="2658">
        <f t="shared" ref="R234" si="229">Q234</f>
        <v>0</v>
      </c>
      <c r="S234" s="2658">
        <f t="shared" ref="S234" si="230">R234</f>
        <v>0</v>
      </c>
      <c r="T234" s="2658">
        <f t="shared" ref="T234" si="231">S234</f>
        <v>0</v>
      </c>
      <c r="U234" s="2658">
        <f t="shared" ref="U234" si="232">T234</f>
        <v>0</v>
      </c>
      <c r="V234" s="2658">
        <f t="shared" ref="V234" si="233">U234</f>
        <v>0</v>
      </c>
      <c r="W234" s="2658">
        <f t="shared" ref="W234" si="234">V234</f>
        <v>0</v>
      </c>
    </row>
    <row r="235" spans="1:23" x14ac:dyDescent="0.2">
      <c r="A235" s="2426">
        <v>232</v>
      </c>
      <c r="B235" s="2663" t="s">
        <v>988</v>
      </c>
      <c r="C235" s="2664">
        <v>0</v>
      </c>
      <c r="D235" s="2664">
        <v>0</v>
      </c>
      <c r="E235" s="2664">
        <v>0</v>
      </c>
      <c r="F235" s="2664">
        <v>0</v>
      </c>
      <c r="G235" s="2664">
        <v>0</v>
      </c>
      <c r="H235" s="2710">
        <f ca="1">OFFSET(inicio,235-ROW(inicio),H5003)+H43</f>
        <v>0</v>
      </c>
      <c r="I235" s="2710">
        <f t="shared" ref="I235:W235" ca="1" si="235">H235+I43</f>
        <v>0</v>
      </c>
      <c r="J235" s="2710">
        <f t="shared" ca="1" si="235"/>
        <v>0</v>
      </c>
      <c r="K235" s="2710">
        <f t="shared" ca="1" si="235"/>
        <v>0</v>
      </c>
      <c r="L235" s="2710">
        <f t="shared" ca="1" si="235"/>
        <v>0</v>
      </c>
      <c r="M235" s="2710">
        <f t="shared" ca="1" si="235"/>
        <v>0</v>
      </c>
      <c r="N235" s="2710">
        <f t="shared" ca="1" si="235"/>
        <v>0</v>
      </c>
      <c r="O235" s="2710">
        <f t="shared" ca="1" si="235"/>
        <v>0</v>
      </c>
      <c r="P235" s="2710">
        <f t="shared" ca="1" si="235"/>
        <v>0</v>
      </c>
      <c r="Q235" s="2710">
        <f t="shared" ca="1" si="235"/>
        <v>0</v>
      </c>
      <c r="R235" s="2710">
        <f t="shared" ca="1" si="235"/>
        <v>0</v>
      </c>
      <c r="S235" s="2710">
        <f t="shared" ca="1" si="235"/>
        <v>0</v>
      </c>
      <c r="T235" s="2710">
        <f t="shared" ca="1" si="235"/>
        <v>0</v>
      </c>
      <c r="U235" s="2710">
        <f t="shared" ca="1" si="235"/>
        <v>0</v>
      </c>
      <c r="V235" s="2710">
        <f t="shared" ca="1" si="235"/>
        <v>0</v>
      </c>
      <c r="W235" s="2710">
        <f t="shared" ca="1" si="235"/>
        <v>0</v>
      </c>
    </row>
    <row r="236" spans="1:23" x14ac:dyDescent="0.2">
      <c r="A236" s="2426">
        <v>233</v>
      </c>
      <c r="B236" s="2716" t="s">
        <v>323</v>
      </c>
      <c r="C236" s="2717">
        <f t="shared" ref="C236" si="236">SUM(C228:C235)</f>
        <v>0</v>
      </c>
      <c r="D236" s="2717">
        <f t="shared" ref="D236:W236" si="237">SUM(D228:D235)</f>
        <v>0</v>
      </c>
      <c r="E236" s="2717">
        <f t="shared" si="237"/>
        <v>0</v>
      </c>
      <c r="F236" s="2717">
        <f t="shared" si="237"/>
        <v>0</v>
      </c>
      <c r="G236" s="2717">
        <f t="shared" si="237"/>
        <v>0</v>
      </c>
      <c r="H236" s="2717">
        <f t="shared" ca="1" si="237"/>
        <v>0</v>
      </c>
      <c r="I236" s="2717">
        <f t="shared" ca="1" si="237"/>
        <v>0</v>
      </c>
      <c r="J236" s="2717">
        <f t="shared" ca="1" si="237"/>
        <v>0</v>
      </c>
      <c r="K236" s="2717">
        <f t="shared" ca="1" si="237"/>
        <v>0</v>
      </c>
      <c r="L236" s="2717">
        <f t="shared" ca="1" si="237"/>
        <v>0</v>
      </c>
      <c r="M236" s="2717">
        <f t="shared" ca="1" si="237"/>
        <v>0</v>
      </c>
      <c r="N236" s="2717">
        <f t="shared" ca="1" si="237"/>
        <v>0</v>
      </c>
      <c r="O236" s="2717">
        <f t="shared" ca="1" si="237"/>
        <v>0</v>
      </c>
      <c r="P236" s="2717">
        <f t="shared" ca="1" si="237"/>
        <v>0</v>
      </c>
      <c r="Q236" s="2717">
        <f t="shared" ca="1" si="237"/>
        <v>0</v>
      </c>
      <c r="R236" s="2717">
        <f t="shared" ca="1" si="237"/>
        <v>0</v>
      </c>
      <c r="S236" s="2717">
        <f t="shared" ca="1" si="237"/>
        <v>0</v>
      </c>
      <c r="T236" s="2717">
        <f t="shared" ca="1" si="237"/>
        <v>0</v>
      </c>
      <c r="U236" s="2717">
        <f t="shared" ca="1" si="237"/>
        <v>0</v>
      </c>
      <c r="V236" s="2717">
        <f t="shared" ca="1" si="237"/>
        <v>0</v>
      </c>
      <c r="W236" s="2717">
        <f t="shared" ca="1" si="237"/>
        <v>0</v>
      </c>
    </row>
    <row r="237" spans="1:23" hidden="1" x14ac:dyDescent="0.2">
      <c r="A237" s="2426">
        <v>234</v>
      </c>
      <c r="B237" s="2721"/>
      <c r="C237" s="2722"/>
      <c r="D237" s="2722"/>
      <c r="E237" s="2722"/>
      <c r="F237" s="2722"/>
      <c r="G237" s="2722"/>
    </row>
    <row r="238" spans="1:23" ht="3" customHeight="1" x14ac:dyDescent="0.2">
      <c r="A238" s="2426">
        <v>235</v>
      </c>
      <c r="B238" s="2721"/>
      <c r="C238" s="2722"/>
      <c r="D238" s="2722"/>
      <c r="E238" s="2722"/>
      <c r="F238" s="2722"/>
      <c r="G238" s="2722"/>
    </row>
    <row r="239" spans="1:23" x14ac:dyDescent="0.2">
      <c r="A239" s="2426">
        <v>236</v>
      </c>
      <c r="B239" s="2706" t="s">
        <v>1116</v>
      </c>
      <c r="C239" s="2708">
        <f t="shared" ref="C239:H239" si="238">SUM(C241:C250)</f>
        <v>0</v>
      </c>
      <c r="D239" s="2708">
        <f t="shared" si="238"/>
        <v>0</v>
      </c>
      <c r="E239" s="2708">
        <f t="shared" si="238"/>
        <v>0</v>
      </c>
      <c r="F239" s="2708">
        <f t="shared" si="238"/>
        <v>0</v>
      </c>
      <c r="G239" s="2708">
        <f t="shared" si="238"/>
        <v>0</v>
      </c>
      <c r="H239" s="2708">
        <f t="shared" ca="1" si="238"/>
        <v>0</v>
      </c>
      <c r="I239" s="2708">
        <f t="shared" ref="I239:W239" ca="1" si="239">SUM(I241:I250)</f>
        <v>0</v>
      </c>
      <c r="J239" s="2708">
        <f t="shared" ca="1" si="239"/>
        <v>0</v>
      </c>
      <c r="K239" s="2708">
        <f t="shared" ca="1" si="239"/>
        <v>0</v>
      </c>
      <c r="L239" s="2708">
        <f t="shared" ca="1" si="239"/>
        <v>0</v>
      </c>
      <c r="M239" s="2708">
        <f t="shared" ca="1" si="239"/>
        <v>0</v>
      </c>
      <c r="N239" s="2708">
        <f t="shared" ca="1" si="239"/>
        <v>0</v>
      </c>
      <c r="O239" s="2708">
        <f t="shared" ca="1" si="239"/>
        <v>0</v>
      </c>
      <c r="P239" s="2708">
        <f t="shared" ca="1" si="239"/>
        <v>0</v>
      </c>
      <c r="Q239" s="2708">
        <f t="shared" ca="1" si="239"/>
        <v>0</v>
      </c>
      <c r="R239" s="2708">
        <f t="shared" ca="1" si="239"/>
        <v>0</v>
      </c>
      <c r="S239" s="2708">
        <f t="shared" ca="1" si="239"/>
        <v>0</v>
      </c>
      <c r="T239" s="2708">
        <f t="shared" ca="1" si="239"/>
        <v>0</v>
      </c>
      <c r="U239" s="2708">
        <f t="shared" ca="1" si="239"/>
        <v>0</v>
      </c>
      <c r="V239" s="2708">
        <f t="shared" ca="1" si="239"/>
        <v>0</v>
      </c>
      <c r="W239" s="2708">
        <f t="shared" ca="1" si="239"/>
        <v>0</v>
      </c>
    </row>
    <row r="240" spans="1:23" ht="3" customHeight="1" x14ac:dyDescent="0.2">
      <c r="A240" s="2426">
        <v>237</v>
      </c>
      <c r="B240" s="2721"/>
      <c r="C240" s="2722"/>
      <c r="D240" s="2722"/>
      <c r="E240" s="2722"/>
      <c r="F240" s="2722"/>
      <c r="G240" s="2722"/>
      <c r="H240" s="2723">
        <f ca="1">SUM(H241:H245,H248:H249)</f>
        <v>0</v>
      </c>
      <c r="I240" s="2723">
        <f ca="1">SUM(I241:I245,I248:I249)</f>
        <v>0</v>
      </c>
      <c r="J240" s="2723">
        <f t="shared" ref="J240:W240" ca="1" si="240">SUM(J241:J245,J248:J249)</f>
        <v>0</v>
      </c>
      <c r="K240" s="2723">
        <f t="shared" ca="1" si="240"/>
        <v>0</v>
      </c>
      <c r="L240" s="2723">
        <f t="shared" ca="1" si="240"/>
        <v>0</v>
      </c>
      <c r="M240" s="2723">
        <f t="shared" ca="1" si="240"/>
        <v>0</v>
      </c>
      <c r="N240" s="2723">
        <f t="shared" ca="1" si="240"/>
        <v>0</v>
      </c>
      <c r="O240" s="2723">
        <f t="shared" ca="1" si="240"/>
        <v>0</v>
      </c>
      <c r="P240" s="2723">
        <f t="shared" ca="1" si="240"/>
        <v>0</v>
      </c>
      <c r="Q240" s="2723">
        <f t="shared" ca="1" si="240"/>
        <v>0</v>
      </c>
      <c r="R240" s="2723">
        <f t="shared" ca="1" si="240"/>
        <v>0</v>
      </c>
      <c r="S240" s="2723">
        <f t="shared" ca="1" si="240"/>
        <v>0</v>
      </c>
      <c r="T240" s="2723">
        <f t="shared" ca="1" si="240"/>
        <v>0</v>
      </c>
      <c r="U240" s="2723">
        <f t="shared" ca="1" si="240"/>
        <v>0</v>
      </c>
      <c r="V240" s="2723">
        <f t="shared" ca="1" si="240"/>
        <v>0</v>
      </c>
      <c r="W240" s="2723">
        <f t="shared" ca="1" si="240"/>
        <v>0</v>
      </c>
    </row>
    <row r="241" spans="1:23" x14ac:dyDescent="0.2">
      <c r="A241" s="2426">
        <v>238</v>
      </c>
      <c r="B241" s="2663" t="s">
        <v>324</v>
      </c>
      <c r="C241" s="2664">
        <v>0</v>
      </c>
      <c r="D241" s="2664">
        <v>0</v>
      </c>
      <c r="E241" s="2664">
        <v>0</v>
      </c>
      <c r="F241" s="2664">
        <v>0</v>
      </c>
      <c r="G241" s="2664">
        <v>0</v>
      </c>
      <c r="H241" s="2710">
        <f ca="1">IF(OFFSET(inicio,241-ROW(inicio),H5003)=0,0,IF((OFFSET(inicio,241-ROW(inicio),H5003)+OFFSET(inicio,244-ROW(inicio),H5003))=0,0,OFFSET(inicio,241-ROW(inicio),H5003)+(H327*(OFFSET(inicio,241-ROW(inicio),H5003)/(OFFSET(inicio,241-ROW(inicio),H5003)+OFFSET(inicio,244-ROW(inicio),H5003))))))</f>
        <v>0</v>
      </c>
      <c r="I241" s="2710">
        <f ca="1">IF(H241=0,0,IF((H241+H244)=0,0,H241+(I327*(H241/(H241+H244)))))</f>
        <v>0</v>
      </c>
      <c r="J241" s="2710">
        <f t="shared" ref="J241:W241" ca="1" si="241">IF(I241=0,0,IF((I241+I244)=0,0,I241+(J327*(I241/(I241+I244)))))</f>
        <v>0</v>
      </c>
      <c r="K241" s="2710">
        <f t="shared" ca="1" si="241"/>
        <v>0</v>
      </c>
      <c r="L241" s="2710">
        <f t="shared" ca="1" si="241"/>
        <v>0</v>
      </c>
      <c r="M241" s="2710">
        <f t="shared" ca="1" si="241"/>
        <v>0</v>
      </c>
      <c r="N241" s="2710">
        <f t="shared" ca="1" si="241"/>
        <v>0</v>
      </c>
      <c r="O241" s="2710">
        <f t="shared" ca="1" si="241"/>
        <v>0</v>
      </c>
      <c r="P241" s="2710">
        <f t="shared" ca="1" si="241"/>
        <v>0</v>
      </c>
      <c r="Q241" s="2710">
        <f t="shared" ca="1" si="241"/>
        <v>0</v>
      </c>
      <c r="R241" s="2710">
        <f t="shared" ca="1" si="241"/>
        <v>0</v>
      </c>
      <c r="S241" s="2710">
        <f t="shared" ca="1" si="241"/>
        <v>0</v>
      </c>
      <c r="T241" s="2710">
        <f t="shared" ca="1" si="241"/>
        <v>0</v>
      </c>
      <c r="U241" s="2710">
        <f t="shared" ca="1" si="241"/>
        <v>0</v>
      </c>
      <c r="V241" s="2710">
        <f t="shared" ca="1" si="241"/>
        <v>0</v>
      </c>
      <c r="W241" s="2710">
        <f t="shared" ca="1" si="241"/>
        <v>0</v>
      </c>
    </row>
    <row r="242" spans="1:23" x14ac:dyDescent="0.2">
      <c r="A242" s="2426">
        <v>239</v>
      </c>
      <c r="B242" s="2663" t="s">
        <v>1346</v>
      </c>
      <c r="C242" s="2664">
        <v>0</v>
      </c>
      <c r="D242" s="2664">
        <v>0</v>
      </c>
      <c r="E242" s="2664">
        <v>0</v>
      </c>
      <c r="F242" s="2664">
        <v>0</v>
      </c>
      <c r="G242" s="2664">
        <v>0</v>
      </c>
      <c r="H242" s="2710">
        <f ca="1">OFFSET(inicio,242-ROW(inicio),H5003)</f>
        <v>0</v>
      </c>
      <c r="I242" s="2710">
        <f ca="1">H242</f>
        <v>0</v>
      </c>
      <c r="J242" s="2710">
        <f t="shared" ref="J242:W242" ca="1" si="242">I242</f>
        <v>0</v>
      </c>
      <c r="K242" s="2710">
        <f t="shared" ca="1" si="242"/>
        <v>0</v>
      </c>
      <c r="L242" s="2710">
        <f t="shared" ca="1" si="242"/>
        <v>0</v>
      </c>
      <c r="M242" s="2710">
        <f t="shared" ca="1" si="242"/>
        <v>0</v>
      </c>
      <c r="N242" s="2710">
        <f t="shared" ca="1" si="242"/>
        <v>0</v>
      </c>
      <c r="O242" s="2710">
        <f t="shared" ca="1" si="242"/>
        <v>0</v>
      </c>
      <c r="P242" s="2710">
        <f t="shared" ca="1" si="242"/>
        <v>0</v>
      </c>
      <c r="Q242" s="2710">
        <f t="shared" ca="1" si="242"/>
        <v>0</v>
      </c>
      <c r="R242" s="2710">
        <f t="shared" ca="1" si="242"/>
        <v>0</v>
      </c>
      <c r="S242" s="2710">
        <f t="shared" ca="1" si="242"/>
        <v>0</v>
      </c>
      <c r="T242" s="2710">
        <f t="shared" ca="1" si="242"/>
        <v>0</v>
      </c>
      <c r="U242" s="2710">
        <f t="shared" ca="1" si="242"/>
        <v>0</v>
      </c>
      <c r="V242" s="2710">
        <f t="shared" ca="1" si="242"/>
        <v>0</v>
      </c>
      <c r="W242" s="2710">
        <f t="shared" ca="1" si="242"/>
        <v>0</v>
      </c>
    </row>
    <row r="243" spans="1:23" x14ac:dyDescent="0.2">
      <c r="A243" s="2426">
        <v>240</v>
      </c>
      <c r="B243" s="2663" t="s">
        <v>325</v>
      </c>
      <c r="C243" s="2664">
        <v>0</v>
      </c>
      <c r="D243" s="2664">
        <v>0</v>
      </c>
      <c r="E243" s="2664">
        <v>0</v>
      </c>
      <c r="F243" s="2664">
        <v>0</v>
      </c>
      <c r="G243" s="2664">
        <v>0</v>
      </c>
      <c r="H243" s="2710">
        <f ca="1">OFFSET(inicio,243-ROW(inicio),H5003)</f>
        <v>0</v>
      </c>
      <c r="I243" s="2710">
        <f ca="1">H243</f>
        <v>0</v>
      </c>
      <c r="J243" s="2710">
        <f t="shared" ref="J243:W243" ca="1" si="243">I243</f>
        <v>0</v>
      </c>
      <c r="K243" s="2710">
        <f t="shared" ca="1" si="243"/>
        <v>0</v>
      </c>
      <c r="L243" s="2710">
        <f t="shared" ca="1" si="243"/>
        <v>0</v>
      </c>
      <c r="M243" s="2710">
        <f t="shared" ca="1" si="243"/>
        <v>0</v>
      </c>
      <c r="N243" s="2710">
        <f t="shared" ca="1" si="243"/>
        <v>0</v>
      </c>
      <c r="O243" s="2710">
        <f t="shared" ca="1" si="243"/>
        <v>0</v>
      </c>
      <c r="P243" s="2710">
        <f t="shared" ca="1" si="243"/>
        <v>0</v>
      </c>
      <c r="Q243" s="2710">
        <f t="shared" ca="1" si="243"/>
        <v>0</v>
      </c>
      <c r="R243" s="2710">
        <f t="shared" ca="1" si="243"/>
        <v>0</v>
      </c>
      <c r="S243" s="2710">
        <f t="shared" ca="1" si="243"/>
        <v>0</v>
      </c>
      <c r="T243" s="2710">
        <f t="shared" ca="1" si="243"/>
        <v>0</v>
      </c>
      <c r="U243" s="2710">
        <f t="shared" ca="1" si="243"/>
        <v>0</v>
      </c>
      <c r="V243" s="2710">
        <f t="shared" ca="1" si="243"/>
        <v>0</v>
      </c>
      <c r="W243" s="2710">
        <f t="shared" ca="1" si="243"/>
        <v>0</v>
      </c>
    </row>
    <row r="244" spans="1:23" x14ac:dyDescent="0.2">
      <c r="A244" s="2426">
        <v>241</v>
      </c>
      <c r="B244" s="2663" t="s">
        <v>1818</v>
      </c>
      <c r="C244" s="2664">
        <v>0</v>
      </c>
      <c r="D244" s="2664">
        <v>0</v>
      </c>
      <c r="E244" s="2664">
        <v>0</v>
      </c>
      <c r="F244" s="2664">
        <v>0</v>
      </c>
      <c r="G244" s="2664">
        <v>0</v>
      </c>
      <c r="H244" s="2710">
        <f ca="1">IF(OFFSET(inicio,244-ROW(inicio),H5003)=0,0,IF((OFFSET(inicio,244-ROW(inicio),H5003)+OFFSET(inicio,241-ROW(inicio),H5003))=0,0,OFFSET(inicio,244-ROW(inicio),H5003)+(H327*(OFFSET(inicio,244-ROW(inicio),H5003)/(OFFSET(inicio,244-ROW(inicio),H5003)+OFFSET(inicio,241-ROW(inicio),H5003))))))</f>
        <v>0</v>
      </c>
      <c r="I244" s="2710">
        <f ca="1">IF(H244=0,0,IF((H244+H241)=0,0,H244+(I327*(H244/(H244+H241)))))</f>
        <v>0</v>
      </c>
      <c r="J244" s="2710">
        <f t="shared" ref="J244:W244" ca="1" si="244">IF(I244=0,0,IF((I244+I241)=0,0,I244+(J327*(I244/(I244+I241)))))</f>
        <v>0</v>
      </c>
      <c r="K244" s="2710">
        <f t="shared" ca="1" si="244"/>
        <v>0</v>
      </c>
      <c r="L244" s="2710">
        <f t="shared" ca="1" si="244"/>
        <v>0</v>
      </c>
      <c r="M244" s="2710">
        <f t="shared" ca="1" si="244"/>
        <v>0</v>
      </c>
      <c r="N244" s="2710">
        <f t="shared" ca="1" si="244"/>
        <v>0</v>
      </c>
      <c r="O244" s="2710">
        <f t="shared" ca="1" si="244"/>
        <v>0</v>
      </c>
      <c r="P244" s="2710">
        <f t="shared" ca="1" si="244"/>
        <v>0</v>
      </c>
      <c r="Q244" s="2710">
        <f t="shared" ca="1" si="244"/>
        <v>0</v>
      </c>
      <c r="R244" s="2710">
        <f t="shared" ca="1" si="244"/>
        <v>0</v>
      </c>
      <c r="S244" s="2710">
        <f t="shared" ca="1" si="244"/>
        <v>0</v>
      </c>
      <c r="T244" s="2710">
        <f t="shared" ca="1" si="244"/>
        <v>0</v>
      </c>
      <c r="U244" s="2710">
        <f t="shared" ca="1" si="244"/>
        <v>0</v>
      </c>
      <c r="V244" s="2710">
        <f t="shared" ca="1" si="244"/>
        <v>0</v>
      </c>
      <c r="W244" s="2710">
        <f t="shared" ca="1" si="244"/>
        <v>0</v>
      </c>
    </row>
    <row r="245" spans="1:23" x14ac:dyDescent="0.2">
      <c r="A245" s="2426">
        <v>242</v>
      </c>
      <c r="B245" s="2669" t="s">
        <v>326</v>
      </c>
      <c r="C245" s="2664">
        <v>0</v>
      </c>
      <c r="D245" s="2664">
        <v>0</v>
      </c>
      <c r="E245" s="2664">
        <v>0</v>
      </c>
      <c r="F245" s="2664">
        <v>0</v>
      </c>
      <c r="G245" s="2664">
        <v>0</v>
      </c>
      <c r="H245" s="2658">
        <f>H258</f>
        <v>0</v>
      </c>
      <c r="I245" s="2658">
        <f ca="1">I258</f>
        <v>0</v>
      </c>
      <c r="J245" s="2658">
        <f t="shared" ref="J245:W245" ca="1" si="245">J258</f>
        <v>0</v>
      </c>
      <c r="K245" s="2658">
        <f t="shared" ca="1" si="245"/>
        <v>0</v>
      </c>
      <c r="L245" s="2658">
        <f t="shared" ca="1" si="245"/>
        <v>0</v>
      </c>
      <c r="M245" s="2658">
        <f t="shared" ca="1" si="245"/>
        <v>0</v>
      </c>
      <c r="N245" s="2658">
        <f t="shared" ca="1" si="245"/>
        <v>0</v>
      </c>
      <c r="O245" s="2658">
        <f t="shared" ca="1" si="245"/>
        <v>0</v>
      </c>
      <c r="P245" s="2658">
        <f t="shared" ca="1" si="245"/>
        <v>0</v>
      </c>
      <c r="Q245" s="2658">
        <f t="shared" ca="1" si="245"/>
        <v>0</v>
      </c>
      <c r="R245" s="2658">
        <f t="shared" ca="1" si="245"/>
        <v>0</v>
      </c>
      <c r="S245" s="2658">
        <f t="shared" ca="1" si="245"/>
        <v>0</v>
      </c>
      <c r="T245" s="2658">
        <f t="shared" ca="1" si="245"/>
        <v>0</v>
      </c>
      <c r="U245" s="2658">
        <f t="shared" ca="1" si="245"/>
        <v>0</v>
      </c>
      <c r="V245" s="2658">
        <f t="shared" ca="1" si="245"/>
        <v>0</v>
      </c>
      <c r="W245" s="2658">
        <f t="shared" ca="1" si="245"/>
        <v>0</v>
      </c>
    </row>
    <row r="246" spans="1:23" x14ac:dyDescent="0.2">
      <c r="A246" s="2426">
        <v>243</v>
      </c>
      <c r="B246" s="2669" t="s">
        <v>327</v>
      </c>
      <c r="C246" s="2664">
        <v>0</v>
      </c>
      <c r="D246" s="2664">
        <v>0</v>
      </c>
      <c r="E246" s="2664">
        <v>0</v>
      </c>
      <c r="F246" s="2664">
        <v>0</v>
      </c>
      <c r="G246" s="2664">
        <v>0</v>
      </c>
      <c r="H246" s="2710">
        <f ca="1">OFFSET(inicio,246-ROW(inicio),H5003)</f>
        <v>0</v>
      </c>
      <c r="I246" s="2710">
        <f ca="1">H246</f>
        <v>0</v>
      </c>
      <c r="J246" s="2710">
        <f t="shared" ref="J246:W246" ca="1" si="246">I246</f>
        <v>0</v>
      </c>
      <c r="K246" s="2710">
        <f t="shared" ca="1" si="246"/>
        <v>0</v>
      </c>
      <c r="L246" s="2710">
        <f t="shared" ca="1" si="246"/>
        <v>0</v>
      </c>
      <c r="M246" s="2710">
        <f t="shared" ca="1" si="246"/>
        <v>0</v>
      </c>
      <c r="N246" s="2710">
        <f t="shared" ca="1" si="246"/>
        <v>0</v>
      </c>
      <c r="O246" s="2710">
        <f t="shared" ca="1" si="246"/>
        <v>0</v>
      </c>
      <c r="P246" s="2710">
        <f t="shared" ca="1" si="246"/>
        <v>0</v>
      </c>
      <c r="Q246" s="2710">
        <f t="shared" ca="1" si="246"/>
        <v>0</v>
      </c>
      <c r="R246" s="2710">
        <f t="shared" ca="1" si="246"/>
        <v>0</v>
      </c>
      <c r="S246" s="2710">
        <f t="shared" ca="1" si="246"/>
        <v>0</v>
      </c>
      <c r="T246" s="2710">
        <f t="shared" ca="1" si="246"/>
        <v>0</v>
      </c>
      <c r="U246" s="2710">
        <f t="shared" ca="1" si="246"/>
        <v>0</v>
      </c>
      <c r="V246" s="2710">
        <f t="shared" ca="1" si="246"/>
        <v>0</v>
      </c>
      <c r="W246" s="2710">
        <f t="shared" ca="1" si="246"/>
        <v>0</v>
      </c>
    </row>
    <row r="247" spans="1:23" x14ac:dyDescent="0.2">
      <c r="A247" s="2426">
        <v>244</v>
      </c>
      <c r="B247" s="2669" t="s">
        <v>328</v>
      </c>
      <c r="C247" s="2724">
        <f>C168</f>
        <v>0</v>
      </c>
      <c r="D247" s="2724">
        <f t="shared" ref="D247:G247" si="247">D168</f>
        <v>0</v>
      </c>
      <c r="E247" s="2724">
        <f t="shared" si="247"/>
        <v>0</v>
      </c>
      <c r="F247" s="2724">
        <f t="shared" si="247"/>
        <v>0</v>
      </c>
      <c r="G247" s="2724">
        <f t="shared" si="247"/>
        <v>0</v>
      </c>
      <c r="H247" s="2724">
        <f ca="1">IFERROR(H168,0)</f>
        <v>0</v>
      </c>
      <c r="I247" s="2724">
        <f t="shared" ref="I247:W247" ca="1" si="248">IFERROR(I168,0)</f>
        <v>0</v>
      </c>
      <c r="J247" s="2724">
        <f t="shared" ca="1" si="248"/>
        <v>0</v>
      </c>
      <c r="K247" s="2724">
        <f t="shared" ca="1" si="248"/>
        <v>0</v>
      </c>
      <c r="L247" s="2724">
        <f t="shared" ca="1" si="248"/>
        <v>0</v>
      </c>
      <c r="M247" s="2724">
        <f t="shared" ca="1" si="248"/>
        <v>0</v>
      </c>
      <c r="N247" s="2724">
        <f t="shared" ca="1" si="248"/>
        <v>0</v>
      </c>
      <c r="O247" s="2724">
        <f t="shared" ca="1" si="248"/>
        <v>0</v>
      </c>
      <c r="P247" s="2724">
        <f t="shared" ca="1" si="248"/>
        <v>0</v>
      </c>
      <c r="Q247" s="2724">
        <f t="shared" ca="1" si="248"/>
        <v>0</v>
      </c>
      <c r="R247" s="2724">
        <f t="shared" ca="1" si="248"/>
        <v>0</v>
      </c>
      <c r="S247" s="2724">
        <f t="shared" ca="1" si="248"/>
        <v>0</v>
      </c>
      <c r="T247" s="2724">
        <f t="shared" ca="1" si="248"/>
        <v>0</v>
      </c>
      <c r="U247" s="2724">
        <f t="shared" ca="1" si="248"/>
        <v>0</v>
      </c>
      <c r="V247" s="2724">
        <f t="shared" ca="1" si="248"/>
        <v>0</v>
      </c>
      <c r="W247" s="2724">
        <f t="shared" ca="1" si="248"/>
        <v>0</v>
      </c>
    </row>
    <row r="248" spans="1:23" x14ac:dyDescent="0.2">
      <c r="A248" s="2426">
        <v>245</v>
      </c>
      <c r="B248" s="2663" t="s">
        <v>329</v>
      </c>
      <c r="C248" s="2664">
        <v>0</v>
      </c>
      <c r="D248" s="2664">
        <v>0</v>
      </c>
      <c r="E248" s="2664">
        <v>0</v>
      </c>
      <c r="F248" s="2664">
        <v>0</v>
      </c>
      <c r="G248" s="2664">
        <v>0</v>
      </c>
      <c r="H248" s="2710">
        <f ca="1">OFFSET(inicio,248-ROW(inicio),H5003)+H396+H138</f>
        <v>0</v>
      </c>
      <c r="I248" s="2710">
        <f t="shared" ref="I248:W248" ca="1" si="249">H248+I396+I138</f>
        <v>0</v>
      </c>
      <c r="J248" s="2710">
        <f t="shared" ca="1" si="249"/>
        <v>0</v>
      </c>
      <c r="K248" s="2710">
        <f t="shared" ca="1" si="249"/>
        <v>0</v>
      </c>
      <c r="L248" s="2710">
        <f t="shared" ca="1" si="249"/>
        <v>0</v>
      </c>
      <c r="M248" s="2710">
        <f t="shared" ca="1" si="249"/>
        <v>0</v>
      </c>
      <c r="N248" s="2710">
        <f t="shared" ca="1" si="249"/>
        <v>0</v>
      </c>
      <c r="O248" s="2710">
        <f t="shared" ca="1" si="249"/>
        <v>0</v>
      </c>
      <c r="P248" s="2710">
        <f t="shared" ca="1" si="249"/>
        <v>0</v>
      </c>
      <c r="Q248" s="2710">
        <f t="shared" ca="1" si="249"/>
        <v>0</v>
      </c>
      <c r="R248" s="2710">
        <f t="shared" ca="1" si="249"/>
        <v>0</v>
      </c>
      <c r="S248" s="2710">
        <f t="shared" ca="1" si="249"/>
        <v>0</v>
      </c>
      <c r="T248" s="2710">
        <f t="shared" ca="1" si="249"/>
        <v>0</v>
      </c>
      <c r="U248" s="2710">
        <f t="shared" ca="1" si="249"/>
        <v>0</v>
      </c>
      <c r="V248" s="2710">
        <f t="shared" ca="1" si="249"/>
        <v>0</v>
      </c>
      <c r="W248" s="2710">
        <f t="shared" ca="1" si="249"/>
        <v>0</v>
      </c>
    </row>
    <row r="249" spans="1:23" x14ac:dyDescent="0.2">
      <c r="A249" s="2426">
        <v>246</v>
      </c>
      <c r="B249" s="2663" t="s">
        <v>330</v>
      </c>
      <c r="C249" s="2664">
        <v>0</v>
      </c>
      <c r="D249" s="2664">
        <v>0</v>
      </c>
      <c r="E249" s="2664">
        <v>0</v>
      </c>
      <c r="F249" s="2664">
        <v>0</v>
      </c>
      <c r="G249" s="2664">
        <v>0</v>
      </c>
      <c r="H249" s="2710">
        <f ca="1">OFFSET(inicio,249-ROW(inicio),H5003)+H331</f>
        <v>0</v>
      </c>
      <c r="I249" s="2710">
        <f t="shared" ref="I249:W249" ca="1" si="250">H249+I331</f>
        <v>0</v>
      </c>
      <c r="J249" s="2710">
        <f t="shared" ca="1" si="250"/>
        <v>0</v>
      </c>
      <c r="K249" s="2710">
        <f t="shared" ca="1" si="250"/>
        <v>0</v>
      </c>
      <c r="L249" s="2710">
        <f t="shared" ca="1" si="250"/>
        <v>0</v>
      </c>
      <c r="M249" s="2710">
        <f t="shared" ca="1" si="250"/>
        <v>0</v>
      </c>
      <c r="N249" s="2710">
        <f ca="1">M249+N331</f>
        <v>0</v>
      </c>
      <c r="O249" s="2710">
        <f t="shared" ca="1" si="250"/>
        <v>0</v>
      </c>
      <c r="P249" s="2710">
        <f t="shared" ca="1" si="250"/>
        <v>0</v>
      </c>
      <c r="Q249" s="2710">
        <f t="shared" ca="1" si="250"/>
        <v>0</v>
      </c>
      <c r="R249" s="2710">
        <f t="shared" ca="1" si="250"/>
        <v>0</v>
      </c>
      <c r="S249" s="2710">
        <f t="shared" ca="1" si="250"/>
        <v>0</v>
      </c>
      <c r="T249" s="2710">
        <f t="shared" ca="1" si="250"/>
        <v>0</v>
      </c>
      <c r="U249" s="2710">
        <f t="shared" ca="1" si="250"/>
        <v>0</v>
      </c>
      <c r="V249" s="2710">
        <f t="shared" ca="1" si="250"/>
        <v>0</v>
      </c>
      <c r="W249" s="2710">
        <f t="shared" ca="1" si="250"/>
        <v>0</v>
      </c>
    </row>
    <row r="250" spans="1:23" hidden="1" x14ac:dyDescent="0.2">
      <c r="A250" s="2426">
        <v>247</v>
      </c>
      <c r="B250" s="2663" t="s">
        <v>331</v>
      </c>
      <c r="C250" s="2642">
        <f t="shared" ref="C250:F250" si="251">C209+C208</f>
        <v>0</v>
      </c>
      <c r="D250" s="2642">
        <f t="shared" si="251"/>
        <v>0</v>
      </c>
      <c r="E250" s="2642">
        <f t="shared" si="251"/>
        <v>0</v>
      </c>
      <c r="F250" s="2642">
        <f t="shared" si="251"/>
        <v>0</v>
      </c>
      <c r="G250" s="2642">
        <f t="shared" ref="G250:W250" si="252">G209+G208</f>
        <v>0</v>
      </c>
      <c r="H250" s="2642">
        <f t="shared" ca="1" si="252"/>
        <v>0</v>
      </c>
      <c r="I250" s="2642">
        <f t="shared" ca="1" si="252"/>
        <v>0</v>
      </c>
      <c r="J250" s="2642">
        <f t="shared" ca="1" si="252"/>
        <v>0</v>
      </c>
      <c r="K250" s="2642">
        <f t="shared" ca="1" si="252"/>
        <v>0</v>
      </c>
      <c r="L250" s="2642">
        <f t="shared" ca="1" si="252"/>
        <v>0</v>
      </c>
      <c r="M250" s="2642">
        <f t="shared" ca="1" si="252"/>
        <v>0</v>
      </c>
      <c r="N250" s="2642">
        <f t="shared" ca="1" si="252"/>
        <v>0</v>
      </c>
      <c r="O250" s="2642">
        <f t="shared" ca="1" si="252"/>
        <v>0</v>
      </c>
      <c r="P250" s="2642">
        <f t="shared" ca="1" si="252"/>
        <v>0</v>
      </c>
      <c r="Q250" s="2642">
        <f t="shared" ca="1" si="252"/>
        <v>0</v>
      </c>
      <c r="R250" s="2642">
        <f t="shared" ca="1" si="252"/>
        <v>0</v>
      </c>
      <c r="S250" s="2642">
        <f t="shared" ca="1" si="252"/>
        <v>0</v>
      </c>
      <c r="T250" s="2642">
        <f t="shared" ca="1" si="252"/>
        <v>0</v>
      </c>
      <c r="U250" s="2642">
        <f t="shared" ca="1" si="252"/>
        <v>0</v>
      </c>
      <c r="V250" s="2642">
        <f t="shared" ca="1" si="252"/>
        <v>0</v>
      </c>
      <c r="W250" s="2642">
        <f t="shared" ca="1" si="252"/>
        <v>0</v>
      </c>
    </row>
    <row r="251" spans="1:23" hidden="1" x14ac:dyDescent="0.2">
      <c r="A251" s="2426">
        <v>248</v>
      </c>
      <c r="B251" s="2668"/>
      <c r="C251" s="2725"/>
      <c r="D251" s="2659"/>
      <c r="E251" s="2659"/>
      <c r="F251" s="2659"/>
      <c r="G251" s="2659"/>
    </row>
    <row r="252" spans="1:23" hidden="1" x14ac:dyDescent="0.2">
      <c r="A252" s="2426">
        <v>249</v>
      </c>
      <c r="B252" s="2668"/>
      <c r="C252" s="2725"/>
      <c r="D252" s="2659"/>
      <c r="E252" s="2659"/>
      <c r="F252" s="2659"/>
      <c r="G252" s="2659"/>
    </row>
    <row r="253" spans="1:23" hidden="1" x14ac:dyDescent="0.2">
      <c r="A253" s="2426">
        <v>250</v>
      </c>
      <c r="B253" s="2714" t="s">
        <v>695</v>
      </c>
      <c r="C253" s="2664">
        <v>0</v>
      </c>
      <c r="D253" s="2664">
        <v>0</v>
      </c>
      <c r="E253" s="2664">
        <v>0</v>
      </c>
      <c r="F253" s="2664">
        <v>0</v>
      </c>
      <c r="G253" s="2664">
        <v>0</v>
      </c>
    </row>
    <row r="254" spans="1:23" hidden="1" x14ac:dyDescent="0.2">
      <c r="A254" s="2426">
        <v>251</v>
      </c>
      <c r="B254" s="2714" t="s">
        <v>696</v>
      </c>
      <c r="C254" s="2664">
        <v>0</v>
      </c>
      <c r="D254" s="2664">
        <v>0</v>
      </c>
      <c r="E254" s="2664">
        <v>0</v>
      </c>
      <c r="F254" s="2664">
        <v>0</v>
      </c>
      <c r="G254" s="2664">
        <v>0</v>
      </c>
    </row>
    <row r="255" spans="1:23" hidden="1" x14ac:dyDescent="0.2">
      <c r="A255" s="2426">
        <v>252</v>
      </c>
      <c r="B255" s="2668"/>
      <c r="C255" s="2653"/>
      <c r="D255" s="2653"/>
      <c r="E255" s="2653"/>
      <c r="F255" s="2653"/>
      <c r="G255" s="2653"/>
    </row>
    <row r="256" spans="1:23" ht="3" customHeight="1" x14ac:dyDescent="0.2">
      <c r="A256" s="2426">
        <v>253</v>
      </c>
      <c r="B256" s="2668"/>
      <c r="C256" s="2653"/>
      <c r="D256" s="2653"/>
      <c r="E256" s="2653"/>
      <c r="F256" s="2653"/>
      <c r="G256" s="2653"/>
    </row>
    <row r="257" spans="1:23" x14ac:dyDescent="0.2">
      <c r="A257" s="2426">
        <v>254</v>
      </c>
      <c r="B257" s="2726" t="s">
        <v>694</v>
      </c>
      <c r="C257" s="2727">
        <f>C172-C213-C239</f>
        <v>0</v>
      </c>
      <c r="D257" s="2727">
        <f t="shared" ref="D257:W257" si="253">D172-D213-D239</f>
        <v>0</v>
      </c>
      <c r="E257" s="2727">
        <f t="shared" si="253"/>
        <v>0</v>
      </c>
      <c r="F257" s="2727">
        <f t="shared" si="253"/>
        <v>0</v>
      </c>
      <c r="G257" s="2727">
        <f t="shared" si="253"/>
        <v>0</v>
      </c>
      <c r="H257" s="2727">
        <f t="shared" ca="1" si="253"/>
        <v>0</v>
      </c>
      <c r="I257" s="2727">
        <f t="shared" ca="1" si="253"/>
        <v>0</v>
      </c>
      <c r="J257" s="2727">
        <f t="shared" ca="1" si="253"/>
        <v>0</v>
      </c>
      <c r="K257" s="2727">
        <f t="shared" ca="1" si="253"/>
        <v>0</v>
      </c>
      <c r="L257" s="2727">
        <f t="shared" ca="1" si="253"/>
        <v>0</v>
      </c>
      <c r="M257" s="2727">
        <f t="shared" ca="1" si="253"/>
        <v>0</v>
      </c>
      <c r="N257" s="2727">
        <f t="shared" ca="1" si="253"/>
        <v>0</v>
      </c>
      <c r="O257" s="2727">
        <f t="shared" ca="1" si="253"/>
        <v>0</v>
      </c>
      <c r="P257" s="2727">
        <f t="shared" ca="1" si="253"/>
        <v>0</v>
      </c>
      <c r="Q257" s="2727">
        <f t="shared" ca="1" si="253"/>
        <v>0</v>
      </c>
      <c r="R257" s="2727">
        <f t="shared" ca="1" si="253"/>
        <v>0</v>
      </c>
      <c r="S257" s="2727">
        <f t="shared" ca="1" si="253"/>
        <v>0</v>
      </c>
      <c r="T257" s="2727">
        <f t="shared" ca="1" si="253"/>
        <v>0</v>
      </c>
      <c r="U257" s="2727">
        <f t="shared" ca="1" si="253"/>
        <v>0</v>
      </c>
      <c r="V257" s="2727">
        <f t="shared" ca="1" si="253"/>
        <v>0</v>
      </c>
      <c r="W257" s="2727">
        <f t="shared" ca="1" si="253"/>
        <v>0</v>
      </c>
    </row>
    <row r="258" spans="1:23" x14ac:dyDescent="0.2">
      <c r="A258" s="2426">
        <v>255</v>
      </c>
      <c r="B258" s="2668"/>
      <c r="C258" s="2653"/>
      <c r="D258" s="2653"/>
      <c r="E258" s="2653"/>
      <c r="F258" s="2653"/>
      <c r="G258" s="2653"/>
      <c r="H258" s="2651">
        <f>IFERROR(E245+E247+'Bases Proy'!F101,0)</f>
        <v>0</v>
      </c>
      <c r="I258" s="2651">
        <f ca="1">IFERROR(H245+H247+'Bases Proy'!G101,0)</f>
        <v>0</v>
      </c>
      <c r="J258" s="2651">
        <f ca="1">IFERROR(I245+I247+'Bases Proy'!H101,0)</f>
        <v>0</v>
      </c>
      <c r="K258" s="2651">
        <f ca="1">IFERROR(J245+J247+'Bases Proy'!I101,0)</f>
        <v>0</v>
      </c>
      <c r="L258" s="2651">
        <f ca="1">IFERROR(K245+K247+'Bases Proy'!J101,0)</f>
        <v>0</v>
      </c>
      <c r="M258" s="2651">
        <f ca="1">IFERROR(L245+L247+'Bases Proy'!K101,0)</f>
        <v>0</v>
      </c>
      <c r="N258" s="2651">
        <f ca="1">IFERROR(M245+M247+'Bases Proy'!L101,0)</f>
        <v>0</v>
      </c>
      <c r="O258" s="2651">
        <f ca="1">IFERROR(N245+N247+'Bases Proy'!M101,0)</f>
        <v>0</v>
      </c>
      <c r="P258" s="2651">
        <f ca="1">IFERROR(O245+O247+'Bases Proy'!N101,0)</f>
        <v>0</v>
      </c>
      <c r="Q258" s="2651">
        <f ca="1">IFERROR(P245+P247+'Bases Proy'!O101,0)</f>
        <v>0</v>
      </c>
      <c r="R258" s="2651">
        <f ca="1">IFERROR(Q245+Q247+'Bases Proy'!P101,0)</f>
        <v>0</v>
      </c>
      <c r="S258" s="2651">
        <f ca="1">IFERROR(R245+R247+'Bases Proy'!Q101,0)</f>
        <v>0</v>
      </c>
      <c r="T258" s="2651">
        <f ca="1">IFERROR(S245+S247+'Bases Proy'!R101,0)</f>
        <v>0</v>
      </c>
      <c r="U258" s="2651">
        <f ca="1">IFERROR(T245+T247+'Bases Proy'!S101,0)</f>
        <v>0</v>
      </c>
      <c r="V258" s="2651">
        <f ca="1">IFERROR(U245+U247+'Bases Proy'!T101,0)</f>
        <v>0</v>
      </c>
      <c r="W258" s="2651">
        <f ca="1">IFERROR(V245+V247+'Bases Proy'!U101,0)</f>
        <v>0</v>
      </c>
    </row>
    <row r="259" spans="1:23" x14ac:dyDescent="0.2">
      <c r="A259" s="2426">
        <v>256</v>
      </c>
    </row>
    <row r="260" spans="1:23" x14ac:dyDescent="0.2">
      <c r="A260" s="2426">
        <v>257</v>
      </c>
      <c r="B260" s="2648" t="s">
        <v>617</v>
      </c>
      <c r="C260" s="2728"/>
      <c r="D260" s="2729" t="s">
        <v>57</v>
      </c>
      <c r="E260" s="2729"/>
      <c r="F260" s="2729" t="s">
        <v>104</v>
      </c>
      <c r="G260" s="2729">
        <f>IF(F260="SI",1,0)</f>
        <v>0</v>
      </c>
      <c r="H260" s="2730"/>
      <c r="I260" s="2650"/>
      <c r="J260" s="2650"/>
      <c r="K260" s="2650"/>
      <c r="L260" s="2650"/>
      <c r="M260" s="2650"/>
      <c r="N260" s="2650"/>
      <c r="O260" s="2650"/>
      <c r="P260" s="2650"/>
      <c r="Q260" s="2650"/>
      <c r="R260" s="2650"/>
      <c r="S260" s="2650"/>
      <c r="T260" s="2650"/>
      <c r="U260" s="2650"/>
      <c r="V260" s="2650"/>
      <c r="W260" s="2650"/>
    </row>
    <row r="261" spans="1:23" hidden="1" x14ac:dyDescent="0.2">
      <c r="A261" s="2426">
        <v>258</v>
      </c>
    </row>
    <row r="262" spans="1:23" hidden="1" x14ac:dyDescent="0.2">
      <c r="A262" s="2426">
        <v>259</v>
      </c>
      <c r="B262" s="2731" t="str">
        <f t="shared" ref="B262:G264" si="254">B177</f>
        <v>Cuentas por Cobrar Comerciales</v>
      </c>
      <c r="C262" s="2710">
        <f t="shared" si="254"/>
        <v>0</v>
      </c>
      <c r="D262" s="2710">
        <f t="shared" si="254"/>
        <v>0</v>
      </c>
      <c r="E262" s="2710">
        <f t="shared" si="254"/>
        <v>0</v>
      </c>
      <c r="F262" s="2710">
        <f t="shared" si="254"/>
        <v>0</v>
      </c>
      <c r="G262" s="2710">
        <f t="shared" si="254"/>
        <v>0</v>
      </c>
      <c r="H262" s="2710">
        <f>H$77*H292</f>
        <v>0</v>
      </c>
      <c r="I262" s="2710">
        <f t="shared" ref="I262:W262" si="255">I$77*I292</f>
        <v>0</v>
      </c>
      <c r="J262" s="2710">
        <f t="shared" si="255"/>
        <v>0</v>
      </c>
      <c r="K262" s="2710">
        <f t="shared" si="255"/>
        <v>0</v>
      </c>
      <c r="L262" s="2710">
        <f t="shared" si="255"/>
        <v>0</v>
      </c>
      <c r="M262" s="2710">
        <f t="shared" si="255"/>
        <v>0</v>
      </c>
      <c r="N262" s="2710">
        <f t="shared" si="255"/>
        <v>0</v>
      </c>
      <c r="O262" s="2710">
        <f t="shared" si="255"/>
        <v>0</v>
      </c>
      <c r="P262" s="2710">
        <f t="shared" si="255"/>
        <v>0</v>
      </c>
      <c r="Q262" s="2710">
        <f t="shared" si="255"/>
        <v>0</v>
      </c>
      <c r="R262" s="2710">
        <f t="shared" si="255"/>
        <v>0</v>
      </c>
      <c r="S262" s="2710">
        <f t="shared" si="255"/>
        <v>0</v>
      </c>
      <c r="T262" s="2710">
        <f t="shared" si="255"/>
        <v>0</v>
      </c>
      <c r="U262" s="2710">
        <f t="shared" si="255"/>
        <v>0</v>
      </c>
      <c r="V262" s="2710">
        <f t="shared" si="255"/>
        <v>0</v>
      </c>
      <c r="W262" s="2710">
        <f t="shared" si="255"/>
        <v>0</v>
      </c>
    </row>
    <row r="263" spans="1:23" hidden="1" x14ac:dyDescent="0.2">
      <c r="A263" s="2426">
        <v>260</v>
      </c>
      <c r="B263" s="2731" t="str">
        <f t="shared" si="254"/>
        <v>Cuentas por Cobrar a Grupo (Comerciales)</v>
      </c>
      <c r="C263" s="2710">
        <f t="shared" si="254"/>
        <v>0</v>
      </c>
      <c r="D263" s="2710">
        <f t="shared" si="254"/>
        <v>0</v>
      </c>
      <c r="E263" s="2710">
        <f t="shared" si="254"/>
        <v>0</v>
      </c>
      <c r="F263" s="2710">
        <f t="shared" si="254"/>
        <v>0</v>
      </c>
      <c r="G263" s="2710">
        <f t="shared" si="254"/>
        <v>0</v>
      </c>
      <c r="H263" s="2710">
        <f t="shared" ref="H263:W263" si="256">H$77*H293</f>
        <v>0</v>
      </c>
      <c r="I263" s="2710">
        <f t="shared" si="256"/>
        <v>0</v>
      </c>
      <c r="J263" s="2710">
        <f t="shared" si="256"/>
        <v>0</v>
      </c>
      <c r="K263" s="2710">
        <f t="shared" si="256"/>
        <v>0</v>
      </c>
      <c r="L263" s="2710">
        <f t="shared" si="256"/>
        <v>0</v>
      </c>
      <c r="M263" s="2710">
        <f t="shared" si="256"/>
        <v>0</v>
      </c>
      <c r="N263" s="2710">
        <f t="shared" si="256"/>
        <v>0</v>
      </c>
      <c r="O263" s="2710">
        <f t="shared" si="256"/>
        <v>0</v>
      </c>
      <c r="P263" s="2710">
        <f t="shared" si="256"/>
        <v>0</v>
      </c>
      <c r="Q263" s="2710">
        <f t="shared" si="256"/>
        <v>0</v>
      </c>
      <c r="R263" s="2710">
        <f t="shared" si="256"/>
        <v>0</v>
      </c>
      <c r="S263" s="2710">
        <f t="shared" si="256"/>
        <v>0</v>
      </c>
      <c r="T263" s="2710">
        <f t="shared" si="256"/>
        <v>0</v>
      </c>
      <c r="U263" s="2710">
        <f t="shared" si="256"/>
        <v>0</v>
      </c>
      <c r="V263" s="2710">
        <f t="shared" si="256"/>
        <v>0</v>
      </c>
      <c r="W263" s="2710">
        <f t="shared" si="256"/>
        <v>0</v>
      </c>
    </row>
    <row r="264" spans="1:23" x14ac:dyDescent="0.2">
      <c r="A264" s="2426"/>
      <c r="B264" s="2731" t="str">
        <f t="shared" si="254"/>
        <v>Provisión Cartera</v>
      </c>
      <c r="C264" s="2710">
        <f t="shared" si="254"/>
        <v>0</v>
      </c>
      <c r="D264" s="2710">
        <f t="shared" si="254"/>
        <v>0</v>
      </c>
      <c r="E264" s="2710">
        <f t="shared" si="254"/>
        <v>0</v>
      </c>
      <c r="F264" s="2710">
        <f t="shared" si="254"/>
        <v>0</v>
      </c>
      <c r="G264" s="2710">
        <f t="shared" si="254"/>
        <v>0</v>
      </c>
      <c r="H264" s="2710">
        <f>H179</f>
        <v>0</v>
      </c>
      <c r="I264" s="2710">
        <f t="shared" ref="I264:W264" si="257">I179</f>
        <v>0</v>
      </c>
      <c r="J264" s="2710">
        <f t="shared" si="257"/>
        <v>0</v>
      </c>
      <c r="K264" s="2710">
        <f t="shared" si="257"/>
        <v>0</v>
      </c>
      <c r="L264" s="2710">
        <f t="shared" si="257"/>
        <v>0</v>
      </c>
      <c r="M264" s="2710">
        <f t="shared" si="257"/>
        <v>0</v>
      </c>
      <c r="N264" s="2710">
        <f t="shared" si="257"/>
        <v>0</v>
      </c>
      <c r="O264" s="2710">
        <f t="shared" si="257"/>
        <v>0</v>
      </c>
      <c r="P264" s="2710">
        <f t="shared" si="257"/>
        <v>0</v>
      </c>
      <c r="Q264" s="2710">
        <f t="shared" si="257"/>
        <v>0</v>
      </c>
      <c r="R264" s="2710">
        <f t="shared" si="257"/>
        <v>0</v>
      </c>
      <c r="S264" s="2710">
        <f t="shared" si="257"/>
        <v>0</v>
      </c>
      <c r="T264" s="2710">
        <f t="shared" si="257"/>
        <v>0</v>
      </c>
      <c r="U264" s="2710">
        <f t="shared" si="257"/>
        <v>0</v>
      </c>
      <c r="V264" s="2710">
        <f t="shared" si="257"/>
        <v>0</v>
      </c>
      <c r="W264" s="2710">
        <f t="shared" si="257"/>
        <v>0</v>
      </c>
    </row>
    <row r="265" spans="1:23" hidden="1" x14ac:dyDescent="0.2">
      <c r="A265" s="2426">
        <v>262</v>
      </c>
      <c r="B265" s="2732"/>
      <c r="C265" s="2733"/>
      <c r="D265" s="2733"/>
      <c r="E265" s="2733"/>
      <c r="F265" s="2733"/>
      <c r="G265" s="2733"/>
      <c r="H265" s="2733"/>
      <c r="I265" s="2733"/>
      <c r="J265" s="2733"/>
      <c r="K265" s="2733"/>
      <c r="L265" s="2733"/>
      <c r="M265" s="2733"/>
      <c r="N265" s="2733"/>
      <c r="O265" s="2733"/>
      <c r="P265" s="2733"/>
      <c r="Q265" s="2733"/>
      <c r="R265" s="2733"/>
      <c r="S265" s="2733"/>
      <c r="T265" s="2733"/>
      <c r="U265" s="2733"/>
      <c r="V265" s="2733"/>
      <c r="W265" s="2733"/>
    </row>
    <row r="266" spans="1:23" hidden="1" x14ac:dyDescent="0.2">
      <c r="A266" s="2426">
        <v>263</v>
      </c>
      <c r="B266" s="2731" t="str">
        <f t="shared" ref="B266:G266" si="258">B185</f>
        <v>Inventarios Neto</v>
      </c>
      <c r="C266" s="2710">
        <f t="shared" si="258"/>
        <v>0</v>
      </c>
      <c r="D266" s="2710">
        <f t="shared" si="258"/>
        <v>0</v>
      </c>
      <c r="E266" s="2710">
        <f t="shared" si="258"/>
        <v>0</v>
      </c>
      <c r="F266" s="2710">
        <f t="shared" si="258"/>
        <v>0</v>
      </c>
      <c r="G266" s="2710">
        <f t="shared" si="258"/>
        <v>0</v>
      </c>
      <c r="H266" s="2710">
        <f>+H185</f>
        <v>0</v>
      </c>
      <c r="I266" s="2710">
        <f t="shared" ref="I266:W266" si="259">+I185</f>
        <v>0</v>
      </c>
      <c r="J266" s="2710">
        <f t="shared" si="259"/>
        <v>0</v>
      </c>
      <c r="K266" s="2710">
        <f t="shared" si="259"/>
        <v>0</v>
      </c>
      <c r="L266" s="2710">
        <f t="shared" si="259"/>
        <v>0</v>
      </c>
      <c r="M266" s="2710">
        <f t="shared" si="259"/>
        <v>0</v>
      </c>
      <c r="N266" s="2710">
        <f t="shared" si="259"/>
        <v>0</v>
      </c>
      <c r="O266" s="2710">
        <f t="shared" si="259"/>
        <v>0</v>
      </c>
      <c r="P266" s="2710">
        <f t="shared" si="259"/>
        <v>0</v>
      </c>
      <c r="Q266" s="2710">
        <f t="shared" si="259"/>
        <v>0</v>
      </c>
      <c r="R266" s="2710">
        <f t="shared" si="259"/>
        <v>0</v>
      </c>
      <c r="S266" s="2710">
        <f t="shared" si="259"/>
        <v>0</v>
      </c>
      <c r="T266" s="2710">
        <f t="shared" si="259"/>
        <v>0</v>
      </c>
      <c r="U266" s="2710">
        <f t="shared" si="259"/>
        <v>0</v>
      </c>
      <c r="V266" s="2710">
        <f t="shared" si="259"/>
        <v>0</v>
      </c>
      <c r="W266" s="2710">
        <f t="shared" si="259"/>
        <v>0</v>
      </c>
    </row>
    <row r="267" spans="1:23" hidden="1" x14ac:dyDescent="0.2">
      <c r="A267" s="2426">
        <v>264</v>
      </c>
      <c r="B267" s="2734" t="s">
        <v>1798</v>
      </c>
      <c r="C267" s="2710"/>
      <c r="D267" s="2710"/>
      <c r="E267" s="2710"/>
      <c r="F267" s="2710"/>
      <c r="G267" s="2710"/>
      <c r="H267" s="2644">
        <f>+IF(ParametrosPry!$B$2=1,ParametrosPry!H66,ParametrosPry!H67)</f>
        <v>0.12704518684036481</v>
      </c>
      <c r="I267" s="2644">
        <f>+IF(ParametrosPry!$B$2=1,ParametrosPry!J66,ParametrosPry!J67)</f>
        <v>7.8012805377703165E-2</v>
      </c>
      <c r="J267" s="2644">
        <f>+IF(ParametrosPry!$B$2=1,ParametrosPry!K66,ParametrosPry!K67)</f>
        <v>7.593921513051094E-2</v>
      </c>
      <c r="K267" s="2644">
        <f>+IF(ParametrosPry!$B$2=1,ParametrosPry!L66,ParametrosPry!L67)</f>
        <v>7.3040182727683645E-2</v>
      </c>
      <c r="L267" s="2644">
        <f>+IF(ParametrosPry!$B$2=1,ParametrosPry!M66,ParametrosPry!M67)</f>
        <v>7.4323193322322956E-2</v>
      </c>
      <c r="M267" s="2644">
        <f>+IF(ParametrosPry!$B$2=1,ParametrosPry!N66,ParametrosPry!N67)</f>
        <v>7.1312976927658811E-2</v>
      </c>
      <c r="N267" s="2644">
        <f>+IF(ParametrosPry!$B$2=1,ParametrosPry!O66,ParametrosPry!O67)</f>
        <v>7.1312976927658811E-2</v>
      </c>
      <c r="O267" s="2644">
        <f>+IF(ParametrosPry!$B$2=1,ParametrosPry!P66,ParametrosPry!P67)</f>
        <v>7.1312976927658811E-2</v>
      </c>
      <c r="P267" s="2644">
        <f>+IF(ParametrosPry!$B$2=1,ParametrosPry!Q66,ParametrosPry!Q67)</f>
        <v>7.1312976927658811E-2</v>
      </c>
      <c r="Q267" s="2644">
        <f>+IF(ParametrosPry!$B$2=1,ParametrosPry!R66,ParametrosPry!R67)</f>
        <v>7.1312976927658811E-2</v>
      </c>
      <c r="R267" s="2644">
        <f>+IF(ParametrosPry!$B$2=1,ParametrosPry!S66,ParametrosPry!S67)</f>
        <v>7.1312976927658811E-2</v>
      </c>
      <c r="S267" s="2644">
        <f>+IF(ParametrosPry!$B$2=1,ParametrosPry!T66,ParametrosPry!T67)</f>
        <v>7.1312976927658811E-2</v>
      </c>
      <c r="T267" s="2644">
        <f>+IF(ParametrosPry!$B$2=1,ParametrosPry!U66,ParametrosPry!U67)</f>
        <v>7.1312976927658811E-2</v>
      </c>
      <c r="U267" s="2644">
        <f>+IF(ParametrosPry!$B$2=1,ParametrosPry!V66,ParametrosPry!V67)</f>
        <v>7.1312976927658811E-2</v>
      </c>
      <c r="V267" s="2644">
        <f>+IF(ParametrosPry!$B$2=1,ParametrosPry!W66,ParametrosPry!W67)</f>
        <v>7.1312976927658811E-2</v>
      </c>
      <c r="W267" s="2644">
        <f>+IF(ParametrosPry!$B$2=1,ParametrosPry!X66,ParametrosPry!X67)</f>
        <v>7.1312976927658811E-2</v>
      </c>
    </row>
    <row r="268" spans="1:23" x14ac:dyDescent="0.2">
      <c r="A268" s="2426">
        <v>265</v>
      </c>
      <c r="B268" s="2731" t="str">
        <f t="shared" ref="B268:E273" si="260">B187</f>
        <v>Otras Cuentas (Deudores Varios)</v>
      </c>
      <c r="C268" s="2710">
        <f t="shared" si="260"/>
        <v>0</v>
      </c>
      <c r="D268" s="2710">
        <f t="shared" si="260"/>
        <v>0</v>
      </c>
      <c r="E268" s="2710">
        <f t="shared" si="260"/>
        <v>0</v>
      </c>
      <c r="F268" s="2710">
        <f t="shared" ref="F268:G273" si="261">F187</f>
        <v>0</v>
      </c>
      <c r="G268" s="2710">
        <f t="shared" si="261"/>
        <v>0</v>
      </c>
      <c r="H268" s="2710">
        <f t="shared" ref="H268:H273" si="262">H$77*H297</f>
        <v>0</v>
      </c>
      <c r="I268" s="2710">
        <f t="shared" ref="I268:W268" si="263">I$77*I297</f>
        <v>0</v>
      </c>
      <c r="J268" s="2710">
        <f t="shared" si="263"/>
        <v>0</v>
      </c>
      <c r="K268" s="2710">
        <f t="shared" si="263"/>
        <v>0</v>
      </c>
      <c r="L268" s="2710">
        <f t="shared" si="263"/>
        <v>0</v>
      </c>
      <c r="M268" s="2710">
        <f t="shared" si="263"/>
        <v>0</v>
      </c>
      <c r="N268" s="2710">
        <f t="shared" si="263"/>
        <v>0</v>
      </c>
      <c r="O268" s="2710">
        <f t="shared" si="263"/>
        <v>0</v>
      </c>
      <c r="P268" s="2710">
        <f t="shared" si="263"/>
        <v>0</v>
      </c>
      <c r="Q268" s="2710">
        <f t="shared" si="263"/>
        <v>0</v>
      </c>
      <c r="R268" s="2710">
        <f t="shared" si="263"/>
        <v>0</v>
      </c>
      <c r="S268" s="2710">
        <f t="shared" si="263"/>
        <v>0</v>
      </c>
      <c r="T268" s="2710">
        <f t="shared" si="263"/>
        <v>0</v>
      </c>
      <c r="U268" s="2710">
        <f t="shared" si="263"/>
        <v>0</v>
      </c>
      <c r="V268" s="2710">
        <f t="shared" si="263"/>
        <v>0</v>
      </c>
      <c r="W268" s="2710">
        <f t="shared" si="263"/>
        <v>0</v>
      </c>
    </row>
    <row r="269" spans="1:23" x14ac:dyDescent="0.2">
      <c r="A269" s="2426">
        <v>266</v>
      </c>
      <c r="B269" s="2731" t="str">
        <f t="shared" si="260"/>
        <v>Anticipos y Avances</v>
      </c>
      <c r="C269" s="2710">
        <f t="shared" si="260"/>
        <v>0</v>
      </c>
      <c r="D269" s="2710">
        <f t="shared" si="260"/>
        <v>0</v>
      </c>
      <c r="E269" s="2710">
        <f t="shared" si="260"/>
        <v>0</v>
      </c>
      <c r="F269" s="2710">
        <f t="shared" si="261"/>
        <v>0</v>
      </c>
      <c r="G269" s="2710">
        <f t="shared" si="261"/>
        <v>0</v>
      </c>
      <c r="H269" s="2710">
        <f t="shared" si="262"/>
        <v>0</v>
      </c>
      <c r="I269" s="2710">
        <f t="shared" ref="I269:W269" si="264">I$77*I298</f>
        <v>0</v>
      </c>
      <c r="J269" s="2710">
        <f t="shared" si="264"/>
        <v>0</v>
      </c>
      <c r="K269" s="2710">
        <f t="shared" si="264"/>
        <v>0</v>
      </c>
      <c r="L269" s="2710">
        <f t="shared" si="264"/>
        <v>0</v>
      </c>
      <c r="M269" s="2710">
        <f t="shared" si="264"/>
        <v>0</v>
      </c>
      <c r="N269" s="2710">
        <f t="shared" si="264"/>
        <v>0</v>
      </c>
      <c r="O269" s="2710">
        <f t="shared" si="264"/>
        <v>0</v>
      </c>
      <c r="P269" s="2710">
        <f t="shared" si="264"/>
        <v>0</v>
      </c>
      <c r="Q269" s="2710">
        <f t="shared" si="264"/>
        <v>0</v>
      </c>
      <c r="R269" s="2710">
        <f t="shared" si="264"/>
        <v>0</v>
      </c>
      <c r="S269" s="2710">
        <f t="shared" si="264"/>
        <v>0</v>
      </c>
      <c r="T269" s="2710">
        <f t="shared" si="264"/>
        <v>0</v>
      </c>
      <c r="U269" s="2710">
        <f t="shared" si="264"/>
        <v>0</v>
      </c>
      <c r="V269" s="2710">
        <f t="shared" si="264"/>
        <v>0</v>
      </c>
      <c r="W269" s="2710">
        <f t="shared" si="264"/>
        <v>0</v>
      </c>
    </row>
    <row r="270" spans="1:23" x14ac:dyDescent="0.2">
      <c r="A270" s="2426">
        <v>267</v>
      </c>
      <c r="B270" s="2731" t="str">
        <f t="shared" si="260"/>
        <v>Anticipos de Impuestos y Contribuciones</v>
      </c>
      <c r="C270" s="2710">
        <f t="shared" si="260"/>
        <v>0</v>
      </c>
      <c r="D270" s="2710">
        <f t="shared" si="260"/>
        <v>0</v>
      </c>
      <c r="E270" s="2710">
        <f t="shared" si="260"/>
        <v>0</v>
      </c>
      <c r="F270" s="2710">
        <f t="shared" si="261"/>
        <v>0</v>
      </c>
      <c r="G270" s="2710">
        <f t="shared" si="261"/>
        <v>0</v>
      </c>
      <c r="H270" s="2710">
        <f t="shared" si="262"/>
        <v>0</v>
      </c>
      <c r="I270" s="2710">
        <f t="shared" ref="I270:W270" si="265">I$77*I299</f>
        <v>0</v>
      </c>
      <c r="J270" s="2710">
        <f t="shared" si="265"/>
        <v>0</v>
      </c>
      <c r="K270" s="2710">
        <f t="shared" si="265"/>
        <v>0</v>
      </c>
      <c r="L270" s="2710">
        <f t="shared" si="265"/>
        <v>0</v>
      </c>
      <c r="M270" s="2710">
        <f t="shared" si="265"/>
        <v>0</v>
      </c>
      <c r="N270" s="2710">
        <f t="shared" si="265"/>
        <v>0</v>
      </c>
      <c r="O270" s="2710">
        <f t="shared" si="265"/>
        <v>0</v>
      </c>
      <c r="P270" s="2710">
        <f t="shared" si="265"/>
        <v>0</v>
      </c>
      <c r="Q270" s="2710">
        <f t="shared" si="265"/>
        <v>0</v>
      </c>
      <c r="R270" s="2710">
        <f t="shared" si="265"/>
        <v>0</v>
      </c>
      <c r="S270" s="2710">
        <f t="shared" si="265"/>
        <v>0</v>
      </c>
      <c r="T270" s="2710">
        <f t="shared" si="265"/>
        <v>0</v>
      </c>
      <c r="U270" s="2710">
        <f t="shared" si="265"/>
        <v>0</v>
      </c>
      <c r="V270" s="2710">
        <f t="shared" si="265"/>
        <v>0</v>
      </c>
      <c r="W270" s="2710">
        <f t="shared" si="265"/>
        <v>0</v>
      </c>
    </row>
    <row r="271" spans="1:23" x14ac:dyDescent="0.2">
      <c r="A271" s="2426">
        <v>268</v>
      </c>
      <c r="B271" s="2731" t="str">
        <f t="shared" si="260"/>
        <v>Otros Activos Circulantes</v>
      </c>
      <c r="C271" s="2710">
        <f t="shared" si="260"/>
        <v>0</v>
      </c>
      <c r="D271" s="2710">
        <f t="shared" si="260"/>
        <v>0</v>
      </c>
      <c r="E271" s="2710">
        <f t="shared" si="260"/>
        <v>0</v>
      </c>
      <c r="F271" s="2710">
        <f t="shared" si="261"/>
        <v>0</v>
      </c>
      <c r="G271" s="2710">
        <f t="shared" si="261"/>
        <v>0</v>
      </c>
      <c r="H271" s="2710">
        <f>H$77*H300</f>
        <v>0</v>
      </c>
      <c r="I271" s="2710">
        <f t="shared" ref="I271:W271" si="266">I$77*I300</f>
        <v>0</v>
      </c>
      <c r="J271" s="2710">
        <f t="shared" si="266"/>
        <v>0</v>
      </c>
      <c r="K271" s="2710">
        <f t="shared" si="266"/>
        <v>0</v>
      </c>
      <c r="L271" s="2710">
        <f t="shared" si="266"/>
        <v>0</v>
      </c>
      <c r="M271" s="2710">
        <f t="shared" si="266"/>
        <v>0</v>
      </c>
      <c r="N271" s="2710">
        <f t="shared" si="266"/>
        <v>0</v>
      </c>
      <c r="O271" s="2710">
        <f t="shared" si="266"/>
        <v>0</v>
      </c>
      <c r="P271" s="2710">
        <f t="shared" si="266"/>
        <v>0</v>
      </c>
      <c r="Q271" s="2710">
        <f t="shared" si="266"/>
        <v>0</v>
      </c>
      <c r="R271" s="2710">
        <f t="shared" si="266"/>
        <v>0</v>
      </c>
      <c r="S271" s="2710">
        <f t="shared" si="266"/>
        <v>0</v>
      </c>
      <c r="T271" s="2710">
        <f t="shared" si="266"/>
        <v>0</v>
      </c>
      <c r="U271" s="2710">
        <f t="shared" si="266"/>
        <v>0</v>
      </c>
      <c r="V271" s="2710">
        <f t="shared" si="266"/>
        <v>0</v>
      </c>
      <c r="W271" s="2710">
        <f t="shared" si="266"/>
        <v>0</v>
      </c>
    </row>
    <row r="272" spans="1:23" x14ac:dyDescent="0.2">
      <c r="A272" s="2426">
        <v>269</v>
      </c>
      <c r="B272" s="2731" t="str">
        <f t="shared" si="260"/>
        <v>Gastos Pagados por Anticipado</v>
      </c>
      <c r="C272" s="2710">
        <f t="shared" si="260"/>
        <v>0</v>
      </c>
      <c r="D272" s="2710">
        <f t="shared" si="260"/>
        <v>0</v>
      </c>
      <c r="E272" s="2710">
        <f t="shared" si="260"/>
        <v>0</v>
      </c>
      <c r="F272" s="2710">
        <f t="shared" si="261"/>
        <v>0</v>
      </c>
      <c r="G272" s="2710">
        <f t="shared" si="261"/>
        <v>0</v>
      </c>
      <c r="H272" s="2710">
        <f t="shared" si="262"/>
        <v>0</v>
      </c>
      <c r="I272" s="2710">
        <f t="shared" ref="I272:W272" si="267">I$77*I301</f>
        <v>0</v>
      </c>
      <c r="J272" s="2710">
        <f t="shared" si="267"/>
        <v>0</v>
      </c>
      <c r="K272" s="2710">
        <f t="shared" si="267"/>
        <v>0</v>
      </c>
      <c r="L272" s="2710">
        <f t="shared" si="267"/>
        <v>0</v>
      </c>
      <c r="M272" s="2710">
        <f t="shared" si="267"/>
        <v>0</v>
      </c>
      <c r="N272" s="2710">
        <f t="shared" si="267"/>
        <v>0</v>
      </c>
      <c r="O272" s="2710">
        <f t="shared" si="267"/>
        <v>0</v>
      </c>
      <c r="P272" s="2710">
        <f t="shared" si="267"/>
        <v>0</v>
      </c>
      <c r="Q272" s="2710">
        <f t="shared" si="267"/>
        <v>0</v>
      </c>
      <c r="R272" s="2710">
        <f t="shared" si="267"/>
        <v>0</v>
      </c>
      <c r="S272" s="2710">
        <f t="shared" si="267"/>
        <v>0</v>
      </c>
      <c r="T272" s="2710">
        <f t="shared" si="267"/>
        <v>0</v>
      </c>
      <c r="U272" s="2710">
        <f t="shared" si="267"/>
        <v>0</v>
      </c>
      <c r="V272" s="2710">
        <f t="shared" si="267"/>
        <v>0</v>
      </c>
      <c r="W272" s="2710">
        <f t="shared" si="267"/>
        <v>0</v>
      </c>
    </row>
    <row r="273" spans="1:23" x14ac:dyDescent="0.2">
      <c r="A273" s="2426">
        <v>270</v>
      </c>
      <c r="B273" s="2731" t="str">
        <f t="shared" si="260"/>
        <v>Cuentas por Cobrar a Grupo (Financieras)</v>
      </c>
      <c r="C273" s="2710">
        <f t="shared" si="260"/>
        <v>0</v>
      </c>
      <c r="D273" s="2710">
        <f t="shared" si="260"/>
        <v>0</v>
      </c>
      <c r="E273" s="2710">
        <f t="shared" si="260"/>
        <v>0</v>
      </c>
      <c r="F273" s="2710">
        <f t="shared" si="261"/>
        <v>0</v>
      </c>
      <c r="G273" s="2710">
        <f t="shared" si="261"/>
        <v>0</v>
      </c>
      <c r="H273" s="2710">
        <f t="shared" si="262"/>
        <v>0</v>
      </c>
      <c r="I273" s="2710">
        <f t="shared" ref="I273:W273" si="268">I$77*I302</f>
        <v>0</v>
      </c>
      <c r="J273" s="2710">
        <f t="shared" si="268"/>
        <v>0</v>
      </c>
      <c r="K273" s="2710">
        <f t="shared" si="268"/>
        <v>0</v>
      </c>
      <c r="L273" s="2710">
        <f t="shared" si="268"/>
        <v>0</v>
      </c>
      <c r="M273" s="2710">
        <f t="shared" si="268"/>
        <v>0</v>
      </c>
      <c r="N273" s="2710">
        <f t="shared" si="268"/>
        <v>0</v>
      </c>
      <c r="O273" s="2710">
        <f t="shared" si="268"/>
        <v>0</v>
      </c>
      <c r="P273" s="2710">
        <f t="shared" si="268"/>
        <v>0</v>
      </c>
      <c r="Q273" s="2710">
        <f t="shared" si="268"/>
        <v>0</v>
      </c>
      <c r="R273" s="2710">
        <f t="shared" si="268"/>
        <v>0</v>
      </c>
      <c r="S273" s="2710">
        <f t="shared" si="268"/>
        <v>0</v>
      </c>
      <c r="T273" s="2710">
        <f t="shared" si="268"/>
        <v>0</v>
      </c>
      <c r="U273" s="2710">
        <f t="shared" si="268"/>
        <v>0</v>
      </c>
      <c r="V273" s="2710">
        <f t="shared" si="268"/>
        <v>0</v>
      </c>
      <c r="W273" s="2710">
        <f t="shared" si="268"/>
        <v>0</v>
      </c>
    </row>
    <row r="274" spans="1:23" hidden="1" x14ac:dyDescent="0.2">
      <c r="A274" s="2426">
        <v>271</v>
      </c>
      <c r="B274" s="2734" t="s">
        <v>1761</v>
      </c>
      <c r="C274" s="2735">
        <f>IFERROR((C146+C154)/C77,0)</f>
        <v>0</v>
      </c>
      <c r="D274" s="2735">
        <f t="shared" ref="D274:W274" si="269">IFERROR((D146+D154)/D77,0)</f>
        <v>0</v>
      </c>
      <c r="E274" s="2735">
        <f t="shared" si="269"/>
        <v>0</v>
      </c>
      <c r="F274" s="2735">
        <f t="shared" si="269"/>
        <v>0</v>
      </c>
      <c r="G274" s="2735">
        <f t="shared" si="269"/>
        <v>0</v>
      </c>
      <c r="H274" s="2735">
        <f t="shared" si="269"/>
        <v>0</v>
      </c>
      <c r="I274" s="2735">
        <f t="shared" si="269"/>
        <v>0</v>
      </c>
      <c r="J274" s="2735">
        <f t="shared" si="269"/>
        <v>0</v>
      </c>
      <c r="K274" s="2735">
        <f t="shared" si="269"/>
        <v>0</v>
      </c>
      <c r="L274" s="2735">
        <f t="shared" si="269"/>
        <v>0</v>
      </c>
      <c r="M274" s="2735">
        <f t="shared" si="269"/>
        <v>0</v>
      </c>
      <c r="N274" s="2735">
        <f t="shared" si="269"/>
        <v>0</v>
      </c>
      <c r="O274" s="2735">
        <f t="shared" si="269"/>
        <v>0</v>
      </c>
      <c r="P274" s="2735">
        <f t="shared" si="269"/>
        <v>0</v>
      </c>
      <c r="Q274" s="2735">
        <f t="shared" si="269"/>
        <v>0</v>
      </c>
      <c r="R274" s="2735">
        <f t="shared" si="269"/>
        <v>0</v>
      </c>
      <c r="S274" s="2735">
        <f t="shared" si="269"/>
        <v>0</v>
      </c>
      <c r="T274" s="2735">
        <f t="shared" si="269"/>
        <v>0</v>
      </c>
      <c r="U274" s="2735">
        <f t="shared" si="269"/>
        <v>0</v>
      </c>
      <c r="V274" s="2735">
        <f t="shared" si="269"/>
        <v>0</v>
      </c>
      <c r="W274" s="2735">
        <f t="shared" si="269"/>
        <v>0</v>
      </c>
    </row>
    <row r="275" spans="1:23" hidden="1" x14ac:dyDescent="0.2">
      <c r="A275" s="2426">
        <v>272</v>
      </c>
      <c r="B275" s="2734" t="s">
        <v>1762</v>
      </c>
      <c r="C275" s="2735">
        <f>IFERROR((C150+C158)/C77,0)</f>
        <v>0</v>
      </c>
      <c r="D275" s="2735">
        <f t="shared" ref="D275:W275" si="270">IFERROR((D150+D158)/D77,0)</f>
        <v>0</v>
      </c>
      <c r="E275" s="2735">
        <f t="shared" si="270"/>
        <v>0</v>
      </c>
      <c r="F275" s="2735">
        <f t="shared" si="270"/>
        <v>0</v>
      </c>
      <c r="G275" s="2735">
        <f t="shared" si="270"/>
        <v>0</v>
      </c>
      <c r="H275" s="2735">
        <f t="shared" si="270"/>
        <v>0</v>
      </c>
      <c r="I275" s="2735">
        <f t="shared" si="270"/>
        <v>0</v>
      </c>
      <c r="J275" s="2735">
        <f t="shared" si="270"/>
        <v>0</v>
      </c>
      <c r="K275" s="2735">
        <f t="shared" si="270"/>
        <v>0</v>
      </c>
      <c r="L275" s="2735">
        <f t="shared" si="270"/>
        <v>0</v>
      </c>
      <c r="M275" s="2735">
        <f t="shared" si="270"/>
        <v>0</v>
      </c>
      <c r="N275" s="2735">
        <f t="shared" si="270"/>
        <v>0</v>
      </c>
      <c r="O275" s="2735">
        <f t="shared" si="270"/>
        <v>0</v>
      </c>
      <c r="P275" s="2735">
        <f t="shared" si="270"/>
        <v>0</v>
      </c>
      <c r="Q275" s="2735">
        <f t="shared" si="270"/>
        <v>0</v>
      </c>
      <c r="R275" s="2735">
        <f t="shared" si="270"/>
        <v>0</v>
      </c>
      <c r="S275" s="2735">
        <f t="shared" si="270"/>
        <v>0</v>
      </c>
      <c r="T275" s="2735">
        <f t="shared" si="270"/>
        <v>0</v>
      </c>
      <c r="U275" s="2735">
        <f t="shared" si="270"/>
        <v>0</v>
      </c>
      <c r="V275" s="2735">
        <f t="shared" si="270"/>
        <v>0</v>
      </c>
      <c r="W275" s="2735">
        <f t="shared" si="270"/>
        <v>0</v>
      </c>
    </row>
    <row r="276" spans="1:23" hidden="1" x14ac:dyDescent="0.2">
      <c r="A276" s="2426">
        <v>273</v>
      </c>
      <c r="B276" s="2731" t="str">
        <f t="shared" ref="B276:E280" si="271">B218</f>
        <v>Proveedores</v>
      </c>
      <c r="C276" s="2710">
        <f t="shared" si="271"/>
        <v>0</v>
      </c>
      <c r="D276" s="2710">
        <f t="shared" si="271"/>
        <v>0</v>
      </c>
      <c r="E276" s="2710">
        <f t="shared" si="271"/>
        <v>0</v>
      </c>
      <c r="F276" s="2710">
        <f t="shared" ref="F276:G280" si="272">F218</f>
        <v>0</v>
      </c>
      <c r="G276" s="2710">
        <f t="shared" si="272"/>
        <v>0</v>
      </c>
      <c r="H276" s="2710">
        <f>+H84*H304/360</f>
        <v>0</v>
      </c>
      <c r="I276" s="2710">
        <f t="shared" ref="I276:W276" si="273">+I84*I304/360</f>
        <v>0</v>
      </c>
      <c r="J276" s="2710">
        <f t="shared" si="273"/>
        <v>0</v>
      </c>
      <c r="K276" s="2710">
        <f t="shared" si="273"/>
        <v>0</v>
      </c>
      <c r="L276" s="2710">
        <f t="shared" si="273"/>
        <v>0</v>
      </c>
      <c r="M276" s="2710">
        <f t="shared" si="273"/>
        <v>0</v>
      </c>
      <c r="N276" s="2710">
        <f t="shared" si="273"/>
        <v>0</v>
      </c>
      <c r="O276" s="2710">
        <f t="shared" si="273"/>
        <v>0</v>
      </c>
      <c r="P276" s="2710">
        <f t="shared" si="273"/>
        <v>0</v>
      </c>
      <c r="Q276" s="2710">
        <f t="shared" si="273"/>
        <v>0</v>
      </c>
      <c r="R276" s="2710">
        <f t="shared" si="273"/>
        <v>0</v>
      </c>
      <c r="S276" s="2710">
        <f t="shared" si="273"/>
        <v>0</v>
      </c>
      <c r="T276" s="2710">
        <f t="shared" si="273"/>
        <v>0</v>
      </c>
      <c r="U276" s="2710">
        <f t="shared" si="273"/>
        <v>0</v>
      </c>
      <c r="V276" s="2710">
        <f t="shared" si="273"/>
        <v>0</v>
      </c>
      <c r="W276" s="2710">
        <f t="shared" si="273"/>
        <v>0</v>
      </c>
    </row>
    <row r="277" spans="1:23" hidden="1" x14ac:dyDescent="0.2">
      <c r="A277" s="2426">
        <v>274</v>
      </c>
      <c r="B277" s="2731" t="str">
        <f t="shared" si="271"/>
        <v>Proveedores Grupo</v>
      </c>
      <c r="C277" s="2710">
        <f t="shared" si="271"/>
        <v>0</v>
      </c>
      <c r="D277" s="2710">
        <f t="shared" si="271"/>
        <v>0</v>
      </c>
      <c r="E277" s="2710">
        <f t="shared" si="271"/>
        <v>0</v>
      </c>
      <c r="F277" s="2710">
        <f t="shared" si="272"/>
        <v>0</v>
      </c>
      <c r="G277" s="2710">
        <f t="shared" si="272"/>
        <v>0</v>
      </c>
      <c r="H277" s="2710">
        <f t="shared" ref="H277:W283" si="274">H$77*H305</f>
        <v>0</v>
      </c>
      <c r="I277" s="2710">
        <f t="shared" ref="I277:W277" si="275">I$77*I305</f>
        <v>0</v>
      </c>
      <c r="J277" s="2710">
        <f t="shared" si="275"/>
        <v>0</v>
      </c>
      <c r="K277" s="2710">
        <f t="shared" si="275"/>
        <v>0</v>
      </c>
      <c r="L277" s="2710">
        <f t="shared" si="275"/>
        <v>0</v>
      </c>
      <c r="M277" s="2710">
        <f t="shared" si="275"/>
        <v>0</v>
      </c>
      <c r="N277" s="2710">
        <f t="shared" si="275"/>
        <v>0</v>
      </c>
      <c r="O277" s="2710">
        <f t="shared" si="275"/>
        <v>0</v>
      </c>
      <c r="P277" s="2710">
        <f t="shared" si="275"/>
        <v>0</v>
      </c>
      <c r="Q277" s="2710">
        <f t="shared" si="275"/>
        <v>0</v>
      </c>
      <c r="R277" s="2710">
        <f t="shared" si="275"/>
        <v>0</v>
      </c>
      <c r="S277" s="2710">
        <f t="shared" si="275"/>
        <v>0</v>
      </c>
      <c r="T277" s="2710">
        <f t="shared" si="275"/>
        <v>0</v>
      </c>
      <c r="U277" s="2710">
        <f t="shared" si="275"/>
        <v>0</v>
      </c>
      <c r="V277" s="2710">
        <f t="shared" si="275"/>
        <v>0</v>
      </c>
      <c r="W277" s="2710">
        <f t="shared" si="275"/>
        <v>0</v>
      </c>
    </row>
    <row r="278" spans="1:23" x14ac:dyDescent="0.2">
      <c r="A278" s="2426">
        <v>275</v>
      </c>
      <c r="B278" s="2731" t="str">
        <f t="shared" si="271"/>
        <v>Cuentas Financieras a Pagar Grupo</v>
      </c>
      <c r="C278" s="2710">
        <f t="shared" si="271"/>
        <v>0</v>
      </c>
      <c r="D278" s="2710">
        <f t="shared" si="271"/>
        <v>0</v>
      </c>
      <c r="E278" s="2710">
        <f t="shared" si="271"/>
        <v>0</v>
      </c>
      <c r="F278" s="2710">
        <f t="shared" si="272"/>
        <v>0</v>
      </c>
      <c r="G278" s="2710">
        <f t="shared" si="272"/>
        <v>0</v>
      </c>
      <c r="H278" s="2710">
        <f t="shared" si="274"/>
        <v>0</v>
      </c>
      <c r="I278" s="2710">
        <f t="shared" ref="I278:W278" si="276">I$77*I306</f>
        <v>0</v>
      </c>
      <c r="J278" s="2710">
        <f t="shared" si="276"/>
        <v>0</v>
      </c>
      <c r="K278" s="2710">
        <f t="shared" si="276"/>
        <v>0</v>
      </c>
      <c r="L278" s="2710">
        <f t="shared" si="276"/>
        <v>0</v>
      </c>
      <c r="M278" s="2710">
        <f t="shared" si="276"/>
        <v>0</v>
      </c>
      <c r="N278" s="2710">
        <f t="shared" si="276"/>
        <v>0</v>
      </c>
      <c r="O278" s="2710">
        <f t="shared" si="276"/>
        <v>0</v>
      </c>
      <c r="P278" s="2710">
        <f t="shared" si="276"/>
        <v>0</v>
      </c>
      <c r="Q278" s="2710">
        <f t="shared" si="276"/>
        <v>0</v>
      </c>
      <c r="R278" s="2710">
        <f t="shared" si="276"/>
        <v>0</v>
      </c>
      <c r="S278" s="2710">
        <f t="shared" si="276"/>
        <v>0</v>
      </c>
      <c r="T278" s="2710">
        <f t="shared" si="276"/>
        <v>0</v>
      </c>
      <c r="U278" s="2710">
        <f t="shared" si="276"/>
        <v>0</v>
      </c>
      <c r="V278" s="2710">
        <f t="shared" si="276"/>
        <v>0</v>
      </c>
      <c r="W278" s="2710">
        <f t="shared" si="276"/>
        <v>0</v>
      </c>
    </row>
    <row r="279" spans="1:23" x14ac:dyDescent="0.2">
      <c r="A279" s="2426">
        <v>276</v>
      </c>
      <c r="B279" s="2731" t="str">
        <f t="shared" si="271"/>
        <v>Costos y Gastos por Pagar (Acreedores Varios)</v>
      </c>
      <c r="C279" s="2710">
        <f t="shared" si="271"/>
        <v>0</v>
      </c>
      <c r="D279" s="2710">
        <f t="shared" si="271"/>
        <v>0</v>
      </c>
      <c r="E279" s="2710">
        <f t="shared" si="271"/>
        <v>0</v>
      </c>
      <c r="F279" s="2710">
        <f t="shared" si="272"/>
        <v>0</v>
      </c>
      <c r="G279" s="2710">
        <f t="shared" si="272"/>
        <v>0</v>
      </c>
      <c r="H279" s="2710">
        <f>IFERROR(H307*H77,0)</f>
        <v>0</v>
      </c>
      <c r="I279" s="2710">
        <f t="shared" ref="I279:W279" si="277">IFERROR(I307*I77,0)</f>
        <v>0</v>
      </c>
      <c r="J279" s="2710">
        <f t="shared" si="277"/>
        <v>0</v>
      </c>
      <c r="K279" s="2710">
        <f t="shared" si="277"/>
        <v>0</v>
      </c>
      <c r="L279" s="2710">
        <f t="shared" si="277"/>
        <v>0</v>
      </c>
      <c r="M279" s="2710">
        <f t="shared" si="277"/>
        <v>0</v>
      </c>
      <c r="N279" s="2710">
        <f t="shared" si="277"/>
        <v>0</v>
      </c>
      <c r="O279" s="2710">
        <f t="shared" si="277"/>
        <v>0</v>
      </c>
      <c r="P279" s="2710">
        <f t="shared" si="277"/>
        <v>0</v>
      </c>
      <c r="Q279" s="2710">
        <f t="shared" si="277"/>
        <v>0</v>
      </c>
      <c r="R279" s="2710">
        <f t="shared" si="277"/>
        <v>0</v>
      </c>
      <c r="S279" s="2710">
        <f t="shared" si="277"/>
        <v>0</v>
      </c>
      <c r="T279" s="2710">
        <f t="shared" si="277"/>
        <v>0</v>
      </c>
      <c r="U279" s="2710">
        <f t="shared" si="277"/>
        <v>0</v>
      </c>
      <c r="V279" s="2710">
        <f t="shared" si="277"/>
        <v>0</v>
      </c>
      <c r="W279" s="2710">
        <f t="shared" si="277"/>
        <v>0</v>
      </c>
    </row>
    <row r="280" spans="1:23" x14ac:dyDescent="0.2">
      <c r="A280" s="2426">
        <v>277</v>
      </c>
      <c r="B280" s="2731" t="str">
        <f t="shared" si="271"/>
        <v>Impuestos por Pagar</v>
      </c>
      <c r="C280" s="2710">
        <f t="shared" si="271"/>
        <v>0</v>
      </c>
      <c r="D280" s="2710">
        <f t="shared" si="271"/>
        <v>0</v>
      </c>
      <c r="E280" s="2710">
        <f t="shared" si="271"/>
        <v>0</v>
      </c>
      <c r="F280" s="2710">
        <f t="shared" si="272"/>
        <v>0</v>
      </c>
      <c r="G280" s="2710">
        <f t="shared" si="272"/>
        <v>0</v>
      </c>
      <c r="H280" s="2710">
        <f>IFERROR(H308*H77,0)</f>
        <v>0</v>
      </c>
      <c r="I280" s="2710">
        <f t="shared" ref="I280:W280" si="278">IFERROR(I308*I77,0)</f>
        <v>0</v>
      </c>
      <c r="J280" s="2710">
        <f t="shared" si="278"/>
        <v>0</v>
      </c>
      <c r="K280" s="2710">
        <f t="shared" si="278"/>
        <v>0</v>
      </c>
      <c r="L280" s="2710">
        <f t="shared" si="278"/>
        <v>0</v>
      </c>
      <c r="M280" s="2710">
        <f t="shared" si="278"/>
        <v>0</v>
      </c>
      <c r="N280" s="2710">
        <f t="shared" si="278"/>
        <v>0</v>
      </c>
      <c r="O280" s="2710">
        <f t="shared" si="278"/>
        <v>0</v>
      </c>
      <c r="P280" s="2710">
        <f t="shared" si="278"/>
        <v>0</v>
      </c>
      <c r="Q280" s="2710">
        <f t="shared" si="278"/>
        <v>0</v>
      </c>
      <c r="R280" s="2710">
        <f t="shared" si="278"/>
        <v>0</v>
      </c>
      <c r="S280" s="2710">
        <f t="shared" si="278"/>
        <v>0</v>
      </c>
      <c r="T280" s="2710">
        <f t="shared" si="278"/>
        <v>0</v>
      </c>
      <c r="U280" s="2710">
        <f t="shared" si="278"/>
        <v>0</v>
      </c>
      <c r="V280" s="2710">
        <f t="shared" si="278"/>
        <v>0</v>
      </c>
      <c r="W280" s="2710">
        <f t="shared" si="278"/>
        <v>0</v>
      </c>
    </row>
    <row r="281" spans="1:23" x14ac:dyDescent="0.2">
      <c r="A281" s="2426">
        <v>278</v>
      </c>
      <c r="B281" s="2731" t="str">
        <f t="shared" ref="B281:E283" si="279">B224</f>
        <v>Obligaciones Laborales</v>
      </c>
      <c r="C281" s="2710">
        <f t="shared" si="279"/>
        <v>0</v>
      </c>
      <c r="D281" s="2710">
        <f t="shared" si="279"/>
        <v>0</v>
      </c>
      <c r="E281" s="2710">
        <f t="shared" si="279"/>
        <v>0</v>
      </c>
      <c r="F281" s="2710">
        <f t="shared" ref="F281:G283" si="280">F224</f>
        <v>0</v>
      </c>
      <c r="G281" s="2710">
        <f t="shared" si="280"/>
        <v>0</v>
      </c>
      <c r="H281" s="2710">
        <f>IFERROR(H309*H77,0)</f>
        <v>0</v>
      </c>
      <c r="I281" s="2710">
        <f t="shared" ref="I281:W281" si="281">IFERROR(I309*I77,0)</f>
        <v>0</v>
      </c>
      <c r="J281" s="2710">
        <f t="shared" si="281"/>
        <v>0</v>
      </c>
      <c r="K281" s="2710">
        <f t="shared" si="281"/>
        <v>0</v>
      </c>
      <c r="L281" s="2710">
        <f t="shared" si="281"/>
        <v>0</v>
      </c>
      <c r="M281" s="2710">
        <f t="shared" si="281"/>
        <v>0</v>
      </c>
      <c r="N281" s="2710">
        <f t="shared" si="281"/>
        <v>0</v>
      </c>
      <c r="O281" s="2710">
        <f t="shared" si="281"/>
        <v>0</v>
      </c>
      <c r="P281" s="2710">
        <f t="shared" si="281"/>
        <v>0</v>
      </c>
      <c r="Q281" s="2710">
        <f t="shared" si="281"/>
        <v>0</v>
      </c>
      <c r="R281" s="2710">
        <f t="shared" si="281"/>
        <v>0</v>
      </c>
      <c r="S281" s="2710">
        <f t="shared" si="281"/>
        <v>0</v>
      </c>
      <c r="T281" s="2710">
        <f t="shared" si="281"/>
        <v>0</v>
      </c>
      <c r="U281" s="2710">
        <f t="shared" si="281"/>
        <v>0</v>
      </c>
      <c r="V281" s="2710">
        <f t="shared" si="281"/>
        <v>0</v>
      </c>
      <c r="W281" s="2710">
        <f t="shared" si="281"/>
        <v>0</v>
      </c>
    </row>
    <row r="282" spans="1:23" x14ac:dyDescent="0.2">
      <c r="A282" s="2426">
        <v>279</v>
      </c>
      <c r="B282" s="2731" t="str">
        <f t="shared" si="279"/>
        <v>Otros Pasivos C/P</v>
      </c>
      <c r="C282" s="2710">
        <f t="shared" si="279"/>
        <v>0</v>
      </c>
      <c r="D282" s="2710">
        <f t="shared" si="279"/>
        <v>0</v>
      </c>
      <c r="E282" s="2710">
        <f t="shared" si="279"/>
        <v>0</v>
      </c>
      <c r="F282" s="2710">
        <f t="shared" si="280"/>
        <v>0</v>
      </c>
      <c r="G282" s="2710">
        <f t="shared" si="280"/>
        <v>0</v>
      </c>
      <c r="H282" s="2710">
        <f>IFERROR(H310*H77,0)</f>
        <v>0</v>
      </c>
      <c r="I282" s="2710">
        <f t="shared" ref="I282:W282" si="282">IFERROR(I310*I77,0)</f>
        <v>0</v>
      </c>
      <c r="J282" s="2710">
        <f t="shared" si="282"/>
        <v>0</v>
      </c>
      <c r="K282" s="2710">
        <f t="shared" si="282"/>
        <v>0</v>
      </c>
      <c r="L282" s="2710">
        <f t="shared" si="282"/>
        <v>0</v>
      </c>
      <c r="M282" s="2710">
        <f t="shared" si="282"/>
        <v>0</v>
      </c>
      <c r="N282" s="2710">
        <f t="shared" si="282"/>
        <v>0</v>
      </c>
      <c r="O282" s="2710">
        <f t="shared" si="282"/>
        <v>0</v>
      </c>
      <c r="P282" s="2710">
        <f t="shared" si="282"/>
        <v>0</v>
      </c>
      <c r="Q282" s="2710">
        <f t="shared" si="282"/>
        <v>0</v>
      </c>
      <c r="R282" s="2710">
        <f t="shared" si="282"/>
        <v>0</v>
      </c>
      <c r="S282" s="2710">
        <f t="shared" si="282"/>
        <v>0</v>
      </c>
      <c r="T282" s="2710">
        <f t="shared" si="282"/>
        <v>0</v>
      </c>
      <c r="U282" s="2710">
        <f t="shared" si="282"/>
        <v>0</v>
      </c>
      <c r="V282" s="2710">
        <f t="shared" si="282"/>
        <v>0</v>
      </c>
      <c r="W282" s="2710">
        <f t="shared" si="282"/>
        <v>0</v>
      </c>
    </row>
    <row r="283" spans="1:23" x14ac:dyDescent="0.2">
      <c r="A283" s="2426">
        <v>280</v>
      </c>
      <c r="B283" s="2731" t="str">
        <f t="shared" si="279"/>
        <v>Anticipos recibidos</v>
      </c>
      <c r="C283" s="2710">
        <f t="shared" si="279"/>
        <v>0</v>
      </c>
      <c r="D283" s="2710">
        <f t="shared" si="279"/>
        <v>0</v>
      </c>
      <c r="E283" s="2710">
        <f t="shared" si="279"/>
        <v>0</v>
      </c>
      <c r="F283" s="2710">
        <f t="shared" si="280"/>
        <v>0</v>
      </c>
      <c r="G283" s="2710">
        <f t="shared" si="280"/>
        <v>0</v>
      </c>
      <c r="H283" s="2710">
        <f t="shared" si="274"/>
        <v>0</v>
      </c>
      <c r="I283" s="2710">
        <f t="shared" si="274"/>
        <v>0</v>
      </c>
      <c r="J283" s="2710">
        <f t="shared" si="274"/>
        <v>0</v>
      </c>
      <c r="K283" s="2710">
        <f t="shared" si="274"/>
        <v>0</v>
      </c>
      <c r="L283" s="2710">
        <f t="shared" si="274"/>
        <v>0</v>
      </c>
      <c r="M283" s="2710">
        <f t="shared" si="274"/>
        <v>0</v>
      </c>
      <c r="N283" s="2710">
        <f t="shared" si="274"/>
        <v>0</v>
      </c>
      <c r="O283" s="2710">
        <f t="shared" si="274"/>
        <v>0</v>
      </c>
      <c r="P283" s="2710">
        <f t="shared" si="274"/>
        <v>0</v>
      </c>
      <c r="Q283" s="2710">
        <f t="shared" si="274"/>
        <v>0</v>
      </c>
      <c r="R283" s="2710">
        <f t="shared" si="274"/>
        <v>0</v>
      </c>
      <c r="S283" s="2710">
        <f t="shared" si="274"/>
        <v>0</v>
      </c>
      <c r="T283" s="2710">
        <f t="shared" si="274"/>
        <v>0</v>
      </c>
      <c r="U283" s="2710">
        <f t="shared" si="274"/>
        <v>0</v>
      </c>
      <c r="V283" s="2710">
        <f t="shared" si="274"/>
        <v>0</v>
      </c>
      <c r="W283" s="2710">
        <f t="shared" si="274"/>
        <v>0</v>
      </c>
    </row>
    <row r="284" spans="1:23" hidden="1" x14ac:dyDescent="0.2">
      <c r="A284" s="2426">
        <v>281</v>
      </c>
      <c r="B284" s="2736" t="s">
        <v>1754</v>
      </c>
      <c r="C284" s="2641"/>
      <c r="D284" s="2641"/>
      <c r="E284" s="2641"/>
      <c r="F284" s="2641"/>
      <c r="G284" s="2641"/>
      <c r="H284" s="2644">
        <f>+IF(ParametrosPry!$B$2=1,ParametrosPry!H62,ParametrosPry!H63)</f>
        <v>9.0744970893817722E-2</v>
      </c>
      <c r="I284" s="2644">
        <f>+IF(ParametrosPry!$B$2=1,ParametrosPry!J62,ParametrosPry!J63)</f>
        <v>5.1565613916568109E-2</v>
      </c>
      <c r="J284" s="2644">
        <f>+IF(ParametrosPry!$B$2=1,ParametrosPry!K62,ParametrosPry!K63)</f>
        <v>6.7384907939199934E-2</v>
      </c>
      <c r="K284" s="2644">
        <f>+IF(ParametrosPry!$B$2=1,ParametrosPry!L62,ParametrosPry!L63)</f>
        <v>7.1111726362799166E-2</v>
      </c>
      <c r="L284" s="2644">
        <f>+IF(ParametrosPry!$B$2=1,ParametrosPry!M62,ParametrosPry!M63)</f>
        <v>7.1312976927658811E-2</v>
      </c>
      <c r="M284" s="2644">
        <f>+IF(ParametrosPry!$B$2=1,ParametrosPry!N62,ParametrosPry!N63)</f>
        <v>7.1312976927658811E-2</v>
      </c>
      <c r="N284" s="2644">
        <f>+IF(ParametrosPry!$B$2=1,ParametrosPry!O62,ParametrosPry!O63)</f>
        <v>7.1312976927658811E-2</v>
      </c>
      <c r="O284" s="2644">
        <f>+IF(ParametrosPry!$B$2=1,ParametrosPry!P62,ParametrosPry!P63)</f>
        <v>7.1312976927658811E-2</v>
      </c>
      <c r="P284" s="2644">
        <f>+IF(ParametrosPry!$B$2=1,ParametrosPry!Q62,ParametrosPry!Q63)</f>
        <v>7.1312976927658811E-2</v>
      </c>
      <c r="Q284" s="2644">
        <f>+IF(ParametrosPry!$B$2=1,ParametrosPry!R62,ParametrosPry!R63)</f>
        <v>7.1312976927658811E-2</v>
      </c>
      <c r="R284" s="2644">
        <f>+IF(ParametrosPry!$B$2=1,ParametrosPry!S62,ParametrosPry!S63)</f>
        <v>7.1312976927658811E-2</v>
      </c>
      <c r="S284" s="2644">
        <f>+IF(ParametrosPry!$B$2=1,ParametrosPry!T62,ParametrosPry!T63)</f>
        <v>7.1312976927658811E-2</v>
      </c>
      <c r="T284" s="2644">
        <f>+IF(ParametrosPry!$B$2=1,ParametrosPry!U62,ParametrosPry!U63)</f>
        <v>7.1312976927658811E-2</v>
      </c>
      <c r="U284" s="2644">
        <f>+IF(ParametrosPry!$B$2=1,ParametrosPry!V62,ParametrosPry!V63)</f>
        <v>7.1312976927658811E-2</v>
      </c>
      <c r="V284" s="2644">
        <f>+IF(ParametrosPry!$B$2=1,ParametrosPry!W62,ParametrosPry!W63)</f>
        <v>7.1312976927658811E-2</v>
      </c>
      <c r="W284" s="2644">
        <f>+IF(ParametrosPry!$B$2=1,ParametrosPry!X62,ParametrosPry!X63)</f>
        <v>7.1312976927658811E-2</v>
      </c>
    </row>
    <row r="285" spans="1:23" x14ac:dyDescent="0.2">
      <c r="A285" s="2426">
        <v>282</v>
      </c>
    </row>
    <row r="286" spans="1:23" x14ac:dyDescent="0.2">
      <c r="A286" s="2426">
        <v>283</v>
      </c>
      <c r="B286" s="2648" t="s">
        <v>618</v>
      </c>
      <c r="C286" s="2649"/>
      <c r="D286" s="2649"/>
      <c r="E286" s="2649"/>
      <c r="F286" s="2649"/>
      <c r="G286" s="2649"/>
      <c r="H286" s="2650"/>
      <c r="I286" s="2650"/>
      <c r="J286" s="2650"/>
      <c r="K286" s="2650"/>
      <c r="L286" s="2650"/>
      <c r="M286" s="2650"/>
      <c r="N286" s="2650"/>
      <c r="O286" s="2650"/>
      <c r="P286" s="2650"/>
      <c r="Q286" s="2650"/>
      <c r="R286" s="2650"/>
      <c r="S286" s="2650"/>
      <c r="T286" s="2650"/>
      <c r="U286" s="2650"/>
      <c r="V286" s="2650"/>
      <c r="W286" s="2650"/>
    </row>
    <row r="287" spans="1:23" x14ac:dyDescent="0.2">
      <c r="A287" s="2426">
        <v>284</v>
      </c>
    </row>
    <row r="288" spans="1:23" x14ac:dyDescent="0.2">
      <c r="A288" s="2426">
        <v>285</v>
      </c>
      <c r="B288" s="2669" t="s">
        <v>347</v>
      </c>
      <c r="C288" s="2673">
        <f>IF((C$177+C$178)=0,0,IF(C$180=0,0,C179/(C$177+C$178)))</f>
        <v>0</v>
      </c>
      <c r="D288" s="2673">
        <f>IF((D$177+D$178)=0,0,IF(D$180=0,0,D179/(D$177+D$178)))</f>
        <v>0</v>
      </c>
      <c r="E288" s="2673">
        <f>IF((E$177+E$178)=0,0,IF(E$180=0,0,E179/(E$177+E$178)))</f>
        <v>0</v>
      </c>
      <c r="F288" s="2673">
        <f>IF((F$177+F$178)=0,0,IF(F$180=0,0,F179/(F$177+F$178)))</f>
        <v>0</v>
      </c>
      <c r="G288" s="2673">
        <f>IF((G$177+G$178)=0,0,IF(G$180=0,0,G179/(G$177+G$178)))</f>
        <v>0</v>
      </c>
      <c r="H288" s="2737">
        <f>AVERAGE(C288:E288)</f>
        <v>0</v>
      </c>
      <c r="I288" s="2737">
        <f>H288</f>
        <v>0</v>
      </c>
      <c r="J288" s="2737">
        <f t="shared" ref="J288:W288" si="283">I288</f>
        <v>0</v>
      </c>
      <c r="K288" s="2737">
        <f t="shared" si="283"/>
        <v>0</v>
      </c>
      <c r="L288" s="2737">
        <f t="shared" si="283"/>
        <v>0</v>
      </c>
      <c r="M288" s="2737">
        <f t="shared" si="283"/>
        <v>0</v>
      </c>
      <c r="N288" s="2737">
        <f t="shared" si="283"/>
        <v>0</v>
      </c>
      <c r="O288" s="2737">
        <f t="shared" si="283"/>
        <v>0</v>
      </c>
      <c r="P288" s="2737">
        <f t="shared" si="283"/>
        <v>0</v>
      </c>
      <c r="Q288" s="2737">
        <f t="shared" si="283"/>
        <v>0</v>
      </c>
      <c r="R288" s="2737">
        <f t="shared" si="283"/>
        <v>0</v>
      </c>
      <c r="S288" s="2737">
        <f t="shared" si="283"/>
        <v>0</v>
      </c>
      <c r="T288" s="2737">
        <f t="shared" si="283"/>
        <v>0</v>
      </c>
      <c r="U288" s="2737">
        <f t="shared" si="283"/>
        <v>0</v>
      </c>
      <c r="V288" s="2737">
        <f t="shared" si="283"/>
        <v>0</v>
      </c>
      <c r="W288" s="2737">
        <f t="shared" si="283"/>
        <v>0</v>
      </c>
    </row>
    <row r="289" spans="1:23" x14ac:dyDescent="0.2">
      <c r="A289" s="2426">
        <v>286</v>
      </c>
      <c r="B289" s="2669" t="s">
        <v>1031</v>
      </c>
      <c r="C289" s="2673">
        <f>IF(C$77=0,0,C111/C$77)</f>
        <v>0</v>
      </c>
      <c r="D289" s="2673">
        <f>IF(D$77=0,0,D111/D$77)</f>
        <v>0</v>
      </c>
      <c r="E289" s="2673">
        <f>IF(E$77=0,0,E111/E$77)</f>
        <v>0</v>
      </c>
      <c r="F289" s="2673">
        <f>IF(F$77=0,0,F111/F$77)</f>
        <v>0</v>
      </c>
      <c r="G289" s="2673">
        <f>IF(G$77=0,0,G111/G$77)</f>
        <v>0</v>
      </c>
      <c r="H289" s="2737">
        <f t="shared" ref="H289:H311" si="284">AVERAGE(C289:E289)</f>
        <v>0</v>
      </c>
      <c r="I289" s="2737">
        <f t="shared" ref="I289:I311" si="285">H289</f>
        <v>0</v>
      </c>
      <c r="J289" s="2737">
        <f t="shared" ref="J289:J311" si="286">I289</f>
        <v>0</v>
      </c>
      <c r="K289" s="2737">
        <f t="shared" ref="K289:K311" si="287">J289</f>
        <v>0</v>
      </c>
      <c r="L289" s="2737">
        <f t="shared" ref="L289:L311" si="288">K289</f>
        <v>0</v>
      </c>
      <c r="M289" s="2737">
        <f t="shared" ref="M289:M311" si="289">L289</f>
        <v>0</v>
      </c>
      <c r="N289" s="2737">
        <f t="shared" ref="N289:N311" si="290">M289</f>
        <v>0</v>
      </c>
      <c r="O289" s="2737">
        <f t="shared" ref="O289:O311" si="291">N289</f>
        <v>0</v>
      </c>
      <c r="P289" s="2737">
        <f t="shared" ref="P289:P311" si="292">O289</f>
        <v>0</v>
      </c>
      <c r="Q289" s="2737">
        <f t="shared" ref="Q289:Q311" si="293">P289</f>
        <v>0</v>
      </c>
      <c r="R289" s="2737">
        <f t="shared" ref="R289:R311" si="294">Q289</f>
        <v>0</v>
      </c>
      <c r="S289" s="2737">
        <f t="shared" ref="S289:S311" si="295">R289</f>
        <v>0</v>
      </c>
      <c r="T289" s="2737">
        <f t="shared" ref="T289:T311" si="296">S289</f>
        <v>0</v>
      </c>
      <c r="U289" s="2737">
        <f t="shared" ref="U289:U311" si="297">T289</f>
        <v>0</v>
      </c>
      <c r="V289" s="2737">
        <f t="shared" ref="V289:V311" si="298">U289</f>
        <v>0</v>
      </c>
      <c r="W289" s="2737">
        <f t="shared" ref="W289:W311" si="299">V289</f>
        <v>0</v>
      </c>
    </row>
    <row r="290" spans="1:23" x14ac:dyDescent="0.2">
      <c r="A290" s="2426">
        <v>287</v>
      </c>
      <c r="B290" s="2669" t="s">
        <v>1132</v>
      </c>
      <c r="C290" s="2673">
        <f>IF(C$77=0,0,C161/C$77)</f>
        <v>0</v>
      </c>
      <c r="D290" s="2673">
        <f>IF(D$77=0,0,D161/D$77)</f>
        <v>0</v>
      </c>
      <c r="E290" s="2673">
        <f>IF(E$77=0,0,E161/E$77)</f>
        <v>0</v>
      </c>
      <c r="F290" s="2673">
        <f>IF(F$77=0,0,F161/F$77)</f>
        <v>0</v>
      </c>
      <c r="G290" s="2673">
        <f>IF(G$77=0,0,G161/G$77)</f>
        <v>0</v>
      </c>
      <c r="H290" s="2737">
        <f t="shared" si="284"/>
        <v>0</v>
      </c>
      <c r="I290" s="2737">
        <f t="shared" si="285"/>
        <v>0</v>
      </c>
      <c r="J290" s="2737">
        <f t="shared" si="286"/>
        <v>0</v>
      </c>
      <c r="K290" s="2737">
        <f t="shared" si="287"/>
        <v>0</v>
      </c>
      <c r="L290" s="2737">
        <f t="shared" si="288"/>
        <v>0</v>
      </c>
      <c r="M290" s="2737">
        <f t="shared" si="289"/>
        <v>0</v>
      </c>
      <c r="N290" s="2737">
        <f t="shared" si="290"/>
        <v>0</v>
      </c>
      <c r="O290" s="2737">
        <f t="shared" si="291"/>
        <v>0</v>
      </c>
      <c r="P290" s="2737">
        <f t="shared" si="292"/>
        <v>0</v>
      </c>
      <c r="Q290" s="2737">
        <f t="shared" si="293"/>
        <v>0</v>
      </c>
      <c r="R290" s="2737">
        <f t="shared" si="294"/>
        <v>0</v>
      </c>
      <c r="S290" s="2737">
        <f t="shared" si="295"/>
        <v>0</v>
      </c>
      <c r="T290" s="2737">
        <f t="shared" si="296"/>
        <v>0</v>
      </c>
      <c r="U290" s="2737">
        <f t="shared" si="297"/>
        <v>0</v>
      </c>
      <c r="V290" s="2737">
        <f t="shared" si="298"/>
        <v>0</v>
      </c>
      <c r="W290" s="2737">
        <f t="shared" si="299"/>
        <v>0</v>
      </c>
    </row>
    <row r="291" spans="1:23" hidden="1" x14ac:dyDescent="0.2">
      <c r="A291" s="2426">
        <v>288</v>
      </c>
      <c r="H291" s="2737" t="e">
        <f t="shared" si="284"/>
        <v>#DIV/0!</v>
      </c>
      <c r="I291" s="2737" t="e">
        <f t="shared" si="285"/>
        <v>#DIV/0!</v>
      </c>
      <c r="J291" s="2737" t="e">
        <f t="shared" si="286"/>
        <v>#DIV/0!</v>
      </c>
      <c r="K291" s="2737" t="e">
        <f t="shared" si="287"/>
        <v>#DIV/0!</v>
      </c>
      <c r="L291" s="2737" t="e">
        <f t="shared" si="288"/>
        <v>#DIV/0!</v>
      </c>
      <c r="M291" s="2737" t="e">
        <f t="shared" si="289"/>
        <v>#DIV/0!</v>
      </c>
      <c r="N291" s="2737" t="e">
        <f t="shared" si="290"/>
        <v>#DIV/0!</v>
      </c>
      <c r="O291" s="2737" t="e">
        <f t="shared" si="291"/>
        <v>#DIV/0!</v>
      </c>
      <c r="P291" s="2737" t="e">
        <f t="shared" si="292"/>
        <v>#DIV/0!</v>
      </c>
      <c r="Q291" s="2737" t="e">
        <f t="shared" si="293"/>
        <v>#DIV/0!</v>
      </c>
      <c r="R291" s="2737" t="e">
        <f t="shared" si="294"/>
        <v>#DIV/0!</v>
      </c>
      <c r="S291" s="2737" t="e">
        <f t="shared" si="295"/>
        <v>#DIV/0!</v>
      </c>
      <c r="T291" s="2737" t="e">
        <f t="shared" si="296"/>
        <v>#DIV/0!</v>
      </c>
      <c r="U291" s="2737" t="e">
        <f t="shared" si="297"/>
        <v>#DIV/0!</v>
      </c>
      <c r="V291" s="2737" t="e">
        <f t="shared" si="298"/>
        <v>#DIV/0!</v>
      </c>
      <c r="W291" s="2737" t="e">
        <f t="shared" si="299"/>
        <v>#DIV/0!</v>
      </c>
    </row>
    <row r="292" spans="1:23" hidden="1" x14ac:dyDescent="0.2">
      <c r="A292" s="2426">
        <v>289</v>
      </c>
      <c r="B292" s="2731" t="str">
        <f>B262</f>
        <v>Cuentas por Cobrar Comerciales</v>
      </c>
      <c r="C292" s="2673">
        <f t="shared" ref="C292:E293" si="300">IF(C$77=0,0,C262/C$77)</f>
        <v>0</v>
      </c>
      <c r="D292" s="2673">
        <f t="shared" si="300"/>
        <v>0</v>
      </c>
      <c r="E292" s="2673">
        <f t="shared" si="300"/>
        <v>0</v>
      </c>
      <c r="F292" s="2673">
        <f>IF(F$77=0,0,F262/F$77)</f>
        <v>0</v>
      </c>
      <c r="G292" s="2673">
        <f>IF(G$77=0,0,G262/G$77)</f>
        <v>0</v>
      </c>
      <c r="H292" s="2737">
        <f t="shared" si="284"/>
        <v>0</v>
      </c>
      <c r="I292" s="2737">
        <f t="shared" si="285"/>
        <v>0</v>
      </c>
      <c r="J292" s="2737">
        <f t="shared" si="286"/>
        <v>0</v>
      </c>
      <c r="K292" s="2737">
        <f t="shared" si="287"/>
        <v>0</v>
      </c>
      <c r="L292" s="2737">
        <f t="shared" si="288"/>
        <v>0</v>
      </c>
      <c r="M292" s="2737">
        <f t="shared" si="289"/>
        <v>0</v>
      </c>
      <c r="N292" s="2737">
        <f t="shared" si="290"/>
        <v>0</v>
      </c>
      <c r="O292" s="2737">
        <f t="shared" si="291"/>
        <v>0</v>
      </c>
      <c r="P292" s="2737">
        <f t="shared" si="292"/>
        <v>0</v>
      </c>
      <c r="Q292" s="2737">
        <f t="shared" si="293"/>
        <v>0</v>
      </c>
      <c r="R292" s="2737">
        <f t="shared" si="294"/>
        <v>0</v>
      </c>
      <c r="S292" s="2737">
        <f t="shared" si="295"/>
        <v>0</v>
      </c>
      <c r="T292" s="2737">
        <f t="shared" si="296"/>
        <v>0</v>
      </c>
      <c r="U292" s="2737">
        <f t="shared" si="297"/>
        <v>0</v>
      </c>
      <c r="V292" s="2737">
        <f t="shared" si="298"/>
        <v>0</v>
      </c>
      <c r="W292" s="2737">
        <f t="shared" si="299"/>
        <v>0</v>
      </c>
    </row>
    <row r="293" spans="1:23" hidden="1" x14ac:dyDescent="0.2">
      <c r="A293" s="2426">
        <v>290</v>
      </c>
      <c r="B293" s="2731" t="str">
        <f>B263</f>
        <v>Cuentas por Cobrar a Grupo (Comerciales)</v>
      </c>
      <c r="C293" s="2673">
        <f t="shared" si="300"/>
        <v>0</v>
      </c>
      <c r="D293" s="2673">
        <f t="shared" si="300"/>
        <v>0</v>
      </c>
      <c r="E293" s="2673">
        <f t="shared" si="300"/>
        <v>0</v>
      </c>
      <c r="F293" s="2673">
        <f>IF(F$77=0,0,F263/F$77)</f>
        <v>0</v>
      </c>
      <c r="G293" s="2673">
        <f>IF(G$77=0,0,G263/G$77)</f>
        <v>0</v>
      </c>
      <c r="H293" s="2737">
        <f t="shared" si="284"/>
        <v>0</v>
      </c>
      <c r="I293" s="2737">
        <f t="shared" si="285"/>
        <v>0</v>
      </c>
      <c r="J293" s="2737">
        <f t="shared" si="286"/>
        <v>0</v>
      </c>
      <c r="K293" s="2737">
        <f t="shared" si="287"/>
        <v>0</v>
      </c>
      <c r="L293" s="2737">
        <f t="shared" si="288"/>
        <v>0</v>
      </c>
      <c r="M293" s="2737">
        <f t="shared" si="289"/>
        <v>0</v>
      </c>
      <c r="N293" s="2737">
        <f t="shared" si="290"/>
        <v>0</v>
      </c>
      <c r="O293" s="2737">
        <f t="shared" si="291"/>
        <v>0</v>
      </c>
      <c r="P293" s="2737">
        <f t="shared" si="292"/>
        <v>0</v>
      </c>
      <c r="Q293" s="2737">
        <f t="shared" si="293"/>
        <v>0</v>
      </c>
      <c r="R293" s="2737">
        <f t="shared" si="294"/>
        <v>0</v>
      </c>
      <c r="S293" s="2737">
        <f t="shared" si="295"/>
        <v>0</v>
      </c>
      <c r="T293" s="2737">
        <f t="shared" si="296"/>
        <v>0</v>
      </c>
      <c r="U293" s="2737">
        <f t="shared" si="297"/>
        <v>0</v>
      </c>
      <c r="V293" s="2737">
        <f t="shared" si="298"/>
        <v>0</v>
      </c>
      <c r="W293" s="2737">
        <f t="shared" si="299"/>
        <v>0</v>
      </c>
    </row>
    <row r="294" spans="1:23" hidden="1" x14ac:dyDescent="0.2">
      <c r="A294" s="2426">
        <v>292</v>
      </c>
      <c r="B294" s="2641"/>
      <c r="C294" s="2738"/>
      <c r="D294" s="2738"/>
      <c r="E294" s="2738"/>
      <c r="F294" s="2738"/>
      <c r="G294" s="2738"/>
      <c r="H294" s="2737" t="e">
        <f t="shared" si="284"/>
        <v>#DIV/0!</v>
      </c>
      <c r="I294" s="2737" t="e">
        <f t="shared" si="285"/>
        <v>#DIV/0!</v>
      </c>
      <c r="J294" s="2737" t="e">
        <f t="shared" si="286"/>
        <v>#DIV/0!</v>
      </c>
      <c r="K294" s="2737" t="e">
        <f t="shared" si="287"/>
        <v>#DIV/0!</v>
      </c>
      <c r="L294" s="2737" t="e">
        <f t="shared" si="288"/>
        <v>#DIV/0!</v>
      </c>
      <c r="M294" s="2737" t="e">
        <f t="shared" si="289"/>
        <v>#DIV/0!</v>
      </c>
      <c r="N294" s="2737" t="e">
        <f t="shared" si="290"/>
        <v>#DIV/0!</v>
      </c>
      <c r="O294" s="2737" t="e">
        <f t="shared" si="291"/>
        <v>#DIV/0!</v>
      </c>
      <c r="P294" s="2737" t="e">
        <f t="shared" si="292"/>
        <v>#DIV/0!</v>
      </c>
      <c r="Q294" s="2737" t="e">
        <f t="shared" si="293"/>
        <v>#DIV/0!</v>
      </c>
      <c r="R294" s="2737" t="e">
        <f t="shared" si="294"/>
        <v>#DIV/0!</v>
      </c>
      <c r="S294" s="2737" t="e">
        <f t="shared" si="295"/>
        <v>#DIV/0!</v>
      </c>
      <c r="T294" s="2737" t="e">
        <f t="shared" si="296"/>
        <v>#DIV/0!</v>
      </c>
      <c r="U294" s="2737" t="e">
        <f t="shared" si="297"/>
        <v>#DIV/0!</v>
      </c>
      <c r="V294" s="2737" t="e">
        <f t="shared" si="298"/>
        <v>#DIV/0!</v>
      </c>
      <c r="W294" s="2737" t="e">
        <f t="shared" si="299"/>
        <v>#DIV/0!</v>
      </c>
    </row>
    <row r="295" spans="1:23" hidden="1" x14ac:dyDescent="0.2">
      <c r="A295" s="2426">
        <v>293</v>
      </c>
      <c r="B295" s="2731" t="str">
        <f>B266</f>
        <v>Inventarios Neto</v>
      </c>
      <c r="C295" s="2673">
        <f>IF(C$77=0,0,C266/C$77)</f>
        <v>0</v>
      </c>
      <c r="D295" s="2673">
        <f>IF(D$77=0,0,D266/D$77)</f>
        <v>0</v>
      </c>
      <c r="E295" s="2673">
        <f>IF(E$77=0,0,E266/E$77)</f>
        <v>0</v>
      </c>
      <c r="F295" s="2673">
        <f>IF(F$77=0,0,F266/F$77)</f>
        <v>0</v>
      </c>
      <c r="G295" s="2673">
        <f>IF(G$77=0,0,G266/G$77)</f>
        <v>0</v>
      </c>
      <c r="H295" s="2737">
        <f t="shared" si="284"/>
        <v>0</v>
      </c>
      <c r="I295" s="2737">
        <f t="shared" si="285"/>
        <v>0</v>
      </c>
      <c r="J295" s="2737">
        <f t="shared" si="286"/>
        <v>0</v>
      </c>
      <c r="K295" s="2737">
        <f t="shared" si="287"/>
        <v>0</v>
      </c>
      <c r="L295" s="2737">
        <f t="shared" si="288"/>
        <v>0</v>
      </c>
      <c r="M295" s="2737">
        <f t="shared" si="289"/>
        <v>0</v>
      </c>
      <c r="N295" s="2737">
        <f t="shared" si="290"/>
        <v>0</v>
      </c>
      <c r="O295" s="2737">
        <f t="shared" si="291"/>
        <v>0</v>
      </c>
      <c r="P295" s="2737">
        <f t="shared" si="292"/>
        <v>0</v>
      </c>
      <c r="Q295" s="2737">
        <f t="shared" si="293"/>
        <v>0</v>
      </c>
      <c r="R295" s="2737">
        <f t="shared" si="294"/>
        <v>0</v>
      </c>
      <c r="S295" s="2737">
        <f t="shared" si="295"/>
        <v>0</v>
      </c>
      <c r="T295" s="2737">
        <f t="shared" si="296"/>
        <v>0</v>
      </c>
      <c r="U295" s="2737">
        <f t="shared" si="297"/>
        <v>0</v>
      </c>
      <c r="V295" s="2737">
        <f t="shared" si="298"/>
        <v>0</v>
      </c>
      <c r="W295" s="2737">
        <f t="shared" si="299"/>
        <v>0</v>
      </c>
    </row>
    <row r="296" spans="1:23" hidden="1" x14ac:dyDescent="0.2">
      <c r="A296" s="2426">
        <v>294</v>
      </c>
      <c r="B296" s="2641"/>
      <c r="C296" s="2738"/>
      <c r="D296" s="2738"/>
      <c r="E296" s="2738"/>
      <c r="F296" s="2738"/>
      <c r="G296" s="2738"/>
      <c r="H296" s="2737" t="e">
        <f t="shared" si="284"/>
        <v>#DIV/0!</v>
      </c>
      <c r="I296" s="2737" t="e">
        <f t="shared" si="285"/>
        <v>#DIV/0!</v>
      </c>
      <c r="J296" s="2737" t="e">
        <f t="shared" si="286"/>
        <v>#DIV/0!</v>
      </c>
      <c r="K296" s="2737" t="e">
        <f t="shared" si="287"/>
        <v>#DIV/0!</v>
      </c>
      <c r="L296" s="2737" t="e">
        <f t="shared" si="288"/>
        <v>#DIV/0!</v>
      </c>
      <c r="M296" s="2737" t="e">
        <f t="shared" si="289"/>
        <v>#DIV/0!</v>
      </c>
      <c r="N296" s="2737" t="e">
        <f t="shared" si="290"/>
        <v>#DIV/0!</v>
      </c>
      <c r="O296" s="2737" t="e">
        <f t="shared" si="291"/>
        <v>#DIV/0!</v>
      </c>
      <c r="P296" s="2737" t="e">
        <f t="shared" si="292"/>
        <v>#DIV/0!</v>
      </c>
      <c r="Q296" s="2737" t="e">
        <f t="shared" si="293"/>
        <v>#DIV/0!</v>
      </c>
      <c r="R296" s="2737" t="e">
        <f t="shared" si="294"/>
        <v>#DIV/0!</v>
      </c>
      <c r="S296" s="2737" t="e">
        <f t="shared" si="295"/>
        <v>#DIV/0!</v>
      </c>
      <c r="T296" s="2737" t="e">
        <f t="shared" si="296"/>
        <v>#DIV/0!</v>
      </c>
      <c r="U296" s="2737" t="e">
        <f t="shared" si="297"/>
        <v>#DIV/0!</v>
      </c>
      <c r="V296" s="2737" t="e">
        <f t="shared" si="298"/>
        <v>#DIV/0!</v>
      </c>
      <c r="W296" s="2737" t="e">
        <f t="shared" si="299"/>
        <v>#DIV/0!</v>
      </c>
    </row>
    <row r="297" spans="1:23" x14ac:dyDescent="0.2">
      <c r="A297" s="2426">
        <v>295</v>
      </c>
      <c r="B297" s="2731" t="str">
        <f t="shared" ref="B297:B302" si="301">B268</f>
        <v>Otras Cuentas (Deudores Varios)</v>
      </c>
      <c r="C297" s="2673">
        <f t="shared" ref="C297:E302" si="302">IF(C$77=0,0,C268/C$77)</f>
        <v>0</v>
      </c>
      <c r="D297" s="2673">
        <f t="shared" si="302"/>
        <v>0</v>
      </c>
      <c r="E297" s="2673">
        <f t="shared" si="302"/>
        <v>0</v>
      </c>
      <c r="F297" s="2673">
        <f t="shared" ref="F297:G302" si="303">IF(F$77=0,0,F268/F$77)</f>
        <v>0</v>
      </c>
      <c r="G297" s="2673">
        <f t="shared" si="303"/>
        <v>0</v>
      </c>
      <c r="H297" s="2737">
        <f t="shared" si="284"/>
        <v>0</v>
      </c>
      <c r="I297" s="2737">
        <f t="shared" si="285"/>
        <v>0</v>
      </c>
      <c r="J297" s="2737">
        <f t="shared" si="286"/>
        <v>0</v>
      </c>
      <c r="K297" s="2737">
        <f t="shared" si="287"/>
        <v>0</v>
      </c>
      <c r="L297" s="2737">
        <f t="shared" si="288"/>
        <v>0</v>
      </c>
      <c r="M297" s="2737">
        <f t="shared" si="289"/>
        <v>0</v>
      </c>
      <c r="N297" s="2737">
        <f t="shared" si="290"/>
        <v>0</v>
      </c>
      <c r="O297" s="2737">
        <f t="shared" si="291"/>
        <v>0</v>
      </c>
      <c r="P297" s="2737">
        <f t="shared" si="292"/>
        <v>0</v>
      </c>
      <c r="Q297" s="2737">
        <f t="shared" si="293"/>
        <v>0</v>
      </c>
      <c r="R297" s="2737">
        <f t="shared" si="294"/>
        <v>0</v>
      </c>
      <c r="S297" s="2737">
        <f t="shared" si="295"/>
        <v>0</v>
      </c>
      <c r="T297" s="2737">
        <f t="shared" si="296"/>
        <v>0</v>
      </c>
      <c r="U297" s="2737">
        <f t="shared" si="297"/>
        <v>0</v>
      </c>
      <c r="V297" s="2737">
        <f t="shared" si="298"/>
        <v>0</v>
      </c>
      <c r="W297" s="2737">
        <f t="shared" si="299"/>
        <v>0</v>
      </c>
    </row>
    <row r="298" spans="1:23" x14ac:dyDescent="0.2">
      <c r="A298" s="2426">
        <v>296</v>
      </c>
      <c r="B298" s="2731" t="str">
        <f t="shared" si="301"/>
        <v>Anticipos y Avances</v>
      </c>
      <c r="C298" s="2673">
        <f t="shared" si="302"/>
        <v>0</v>
      </c>
      <c r="D298" s="2673">
        <f t="shared" si="302"/>
        <v>0</v>
      </c>
      <c r="E298" s="2673">
        <f t="shared" si="302"/>
        <v>0</v>
      </c>
      <c r="F298" s="2673">
        <f t="shared" si="303"/>
        <v>0</v>
      </c>
      <c r="G298" s="2673">
        <f t="shared" si="303"/>
        <v>0</v>
      </c>
      <c r="H298" s="2737">
        <f t="shared" si="284"/>
        <v>0</v>
      </c>
      <c r="I298" s="2737">
        <f t="shared" si="285"/>
        <v>0</v>
      </c>
      <c r="J298" s="2737">
        <f t="shared" si="286"/>
        <v>0</v>
      </c>
      <c r="K298" s="2737">
        <f t="shared" si="287"/>
        <v>0</v>
      </c>
      <c r="L298" s="2737">
        <f t="shared" si="288"/>
        <v>0</v>
      </c>
      <c r="M298" s="2737">
        <f t="shared" si="289"/>
        <v>0</v>
      </c>
      <c r="N298" s="2737">
        <f t="shared" si="290"/>
        <v>0</v>
      </c>
      <c r="O298" s="2737">
        <f t="shared" si="291"/>
        <v>0</v>
      </c>
      <c r="P298" s="2737">
        <f t="shared" si="292"/>
        <v>0</v>
      </c>
      <c r="Q298" s="2737">
        <f t="shared" si="293"/>
        <v>0</v>
      </c>
      <c r="R298" s="2737">
        <f t="shared" si="294"/>
        <v>0</v>
      </c>
      <c r="S298" s="2737">
        <f t="shared" si="295"/>
        <v>0</v>
      </c>
      <c r="T298" s="2737">
        <f t="shared" si="296"/>
        <v>0</v>
      </c>
      <c r="U298" s="2737">
        <f t="shared" si="297"/>
        <v>0</v>
      </c>
      <c r="V298" s="2737">
        <f t="shared" si="298"/>
        <v>0</v>
      </c>
      <c r="W298" s="2737">
        <f t="shared" si="299"/>
        <v>0</v>
      </c>
    </row>
    <row r="299" spans="1:23" x14ac:dyDescent="0.2">
      <c r="A299" s="2426">
        <v>297</v>
      </c>
      <c r="B299" s="2731" t="str">
        <f t="shared" si="301"/>
        <v>Anticipos de Impuestos y Contribuciones</v>
      </c>
      <c r="C299" s="2673">
        <f t="shared" si="302"/>
        <v>0</v>
      </c>
      <c r="D299" s="2673">
        <f t="shared" si="302"/>
        <v>0</v>
      </c>
      <c r="E299" s="2673">
        <f t="shared" si="302"/>
        <v>0</v>
      </c>
      <c r="F299" s="2673">
        <f t="shared" si="303"/>
        <v>0</v>
      </c>
      <c r="G299" s="2673">
        <f t="shared" si="303"/>
        <v>0</v>
      </c>
      <c r="H299" s="2737">
        <f t="shared" si="284"/>
        <v>0</v>
      </c>
      <c r="I299" s="2737">
        <f t="shared" si="285"/>
        <v>0</v>
      </c>
      <c r="J299" s="2737">
        <f t="shared" si="286"/>
        <v>0</v>
      </c>
      <c r="K299" s="2737">
        <f t="shared" si="287"/>
        <v>0</v>
      </c>
      <c r="L299" s="2737">
        <f t="shared" si="288"/>
        <v>0</v>
      </c>
      <c r="M299" s="2737">
        <f t="shared" si="289"/>
        <v>0</v>
      </c>
      <c r="N299" s="2737">
        <f t="shared" si="290"/>
        <v>0</v>
      </c>
      <c r="O299" s="2737">
        <f t="shared" si="291"/>
        <v>0</v>
      </c>
      <c r="P299" s="2737">
        <f t="shared" si="292"/>
        <v>0</v>
      </c>
      <c r="Q299" s="2737">
        <f t="shared" si="293"/>
        <v>0</v>
      </c>
      <c r="R299" s="2737">
        <f t="shared" si="294"/>
        <v>0</v>
      </c>
      <c r="S299" s="2737">
        <f t="shared" si="295"/>
        <v>0</v>
      </c>
      <c r="T299" s="2737">
        <f t="shared" si="296"/>
        <v>0</v>
      </c>
      <c r="U299" s="2737">
        <f t="shared" si="297"/>
        <v>0</v>
      </c>
      <c r="V299" s="2737">
        <f t="shared" si="298"/>
        <v>0</v>
      </c>
      <c r="W299" s="2737">
        <f t="shared" si="299"/>
        <v>0</v>
      </c>
    </row>
    <row r="300" spans="1:23" x14ac:dyDescent="0.2">
      <c r="A300" s="2426">
        <v>298</v>
      </c>
      <c r="B300" s="2731" t="str">
        <f t="shared" si="301"/>
        <v>Otros Activos Circulantes</v>
      </c>
      <c r="C300" s="2673">
        <f t="shared" si="302"/>
        <v>0</v>
      </c>
      <c r="D300" s="2673">
        <f t="shared" si="302"/>
        <v>0</v>
      </c>
      <c r="E300" s="2673">
        <f t="shared" si="302"/>
        <v>0</v>
      </c>
      <c r="F300" s="2673">
        <f t="shared" si="303"/>
        <v>0</v>
      </c>
      <c r="G300" s="2673">
        <f t="shared" si="303"/>
        <v>0</v>
      </c>
      <c r="H300" s="2737">
        <f t="shared" si="284"/>
        <v>0</v>
      </c>
      <c r="I300" s="2737">
        <f t="shared" si="285"/>
        <v>0</v>
      </c>
      <c r="J300" s="2737">
        <f t="shared" si="286"/>
        <v>0</v>
      </c>
      <c r="K300" s="2737">
        <f t="shared" si="287"/>
        <v>0</v>
      </c>
      <c r="L300" s="2737">
        <f t="shared" si="288"/>
        <v>0</v>
      </c>
      <c r="M300" s="2737">
        <f t="shared" si="289"/>
        <v>0</v>
      </c>
      <c r="N300" s="2737">
        <f t="shared" si="290"/>
        <v>0</v>
      </c>
      <c r="O300" s="2737">
        <f t="shared" si="291"/>
        <v>0</v>
      </c>
      <c r="P300" s="2737">
        <f t="shared" si="292"/>
        <v>0</v>
      </c>
      <c r="Q300" s="2737">
        <f t="shared" si="293"/>
        <v>0</v>
      </c>
      <c r="R300" s="2737">
        <f t="shared" si="294"/>
        <v>0</v>
      </c>
      <c r="S300" s="2737">
        <f t="shared" si="295"/>
        <v>0</v>
      </c>
      <c r="T300" s="2737">
        <f t="shared" si="296"/>
        <v>0</v>
      </c>
      <c r="U300" s="2737">
        <f t="shared" si="297"/>
        <v>0</v>
      </c>
      <c r="V300" s="2737">
        <f t="shared" si="298"/>
        <v>0</v>
      </c>
      <c r="W300" s="2737">
        <f t="shared" si="299"/>
        <v>0</v>
      </c>
    </row>
    <row r="301" spans="1:23" x14ac:dyDescent="0.2">
      <c r="A301" s="2426">
        <v>299</v>
      </c>
      <c r="B301" s="2731" t="str">
        <f t="shared" si="301"/>
        <v>Gastos Pagados por Anticipado</v>
      </c>
      <c r="C301" s="2673">
        <f t="shared" si="302"/>
        <v>0</v>
      </c>
      <c r="D301" s="2673">
        <f t="shared" si="302"/>
        <v>0</v>
      </c>
      <c r="E301" s="2673">
        <f t="shared" si="302"/>
        <v>0</v>
      </c>
      <c r="F301" s="2673">
        <f t="shared" si="303"/>
        <v>0</v>
      </c>
      <c r="G301" s="2673">
        <f t="shared" si="303"/>
        <v>0</v>
      </c>
      <c r="H301" s="2737">
        <f t="shared" si="284"/>
        <v>0</v>
      </c>
      <c r="I301" s="2737">
        <f t="shared" si="285"/>
        <v>0</v>
      </c>
      <c r="J301" s="2737">
        <f t="shared" si="286"/>
        <v>0</v>
      </c>
      <c r="K301" s="2737">
        <f t="shared" si="287"/>
        <v>0</v>
      </c>
      <c r="L301" s="2737">
        <f t="shared" si="288"/>
        <v>0</v>
      </c>
      <c r="M301" s="2737">
        <f t="shared" si="289"/>
        <v>0</v>
      </c>
      <c r="N301" s="2737">
        <f t="shared" si="290"/>
        <v>0</v>
      </c>
      <c r="O301" s="2737">
        <f t="shared" si="291"/>
        <v>0</v>
      </c>
      <c r="P301" s="2737">
        <f t="shared" si="292"/>
        <v>0</v>
      </c>
      <c r="Q301" s="2737">
        <f t="shared" si="293"/>
        <v>0</v>
      </c>
      <c r="R301" s="2737">
        <f t="shared" si="294"/>
        <v>0</v>
      </c>
      <c r="S301" s="2737">
        <f t="shared" si="295"/>
        <v>0</v>
      </c>
      <c r="T301" s="2737">
        <f t="shared" si="296"/>
        <v>0</v>
      </c>
      <c r="U301" s="2737">
        <f t="shared" si="297"/>
        <v>0</v>
      </c>
      <c r="V301" s="2737">
        <f t="shared" si="298"/>
        <v>0</v>
      </c>
      <c r="W301" s="2737">
        <f t="shared" si="299"/>
        <v>0</v>
      </c>
    </row>
    <row r="302" spans="1:23" x14ac:dyDescent="0.2">
      <c r="A302" s="2426">
        <v>300</v>
      </c>
      <c r="B302" s="2731" t="str">
        <f t="shared" si="301"/>
        <v>Cuentas por Cobrar a Grupo (Financieras)</v>
      </c>
      <c r="C302" s="2673">
        <f t="shared" si="302"/>
        <v>0</v>
      </c>
      <c r="D302" s="2673">
        <f t="shared" si="302"/>
        <v>0</v>
      </c>
      <c r="E302" s="2673">
        <f t="shared" si="302"/>
        <v>0</v>
      </c>
      <c r="F302" s="2673">
        <f t="shared" si="303"/>
        <v>0</v>
      </c>
      <c r="G302" s="2673">
        <f t="shared" si="303"/>
        <v>0</v>
      </c>
      <c r="H302" s="2737">
        <f t="shared" si="284"/>
        <v>0</v>
      </c>
      <c r="I302" s="2737">
        <f t="shared" si="285"/>
        <v>0</v>
      </c>
      <c r="J302" s="2737">
        <f t="shared" si="286"/>
        <v>0</v>
      </c>
      <c r="K302" s="2737">
        <f t="shared" si="287"/>
        <v>0</v>
      </c>
      <c r="L302" s="2737">
        <f t="shared" si="288"/>
        <v>0</v>
      </c>
      <c r="M302" s="2737">
        <f t="shared" si="289"/>
        <v>0</v>
      </c>
      <c r="N302" s="2737">
        <f t="shared" si="290"/>
        <v>0</v>
      </c>
      <c r="O302" s="2737">
        <f t="shared" si="291"/>
        <v>0</v>
      </c>
      <c r="P302" s="2737">
        <f t="shared" si="292"/>
        <v>0</v>
      </c>
      <c r="Q302" s="2737">
        <f t="shared" si="293"/>
        <v>0</v>
      </c>
      <c r="R302" s="2737">
        <f t="shared" si="294"/>
        <v>0</v>
      </c>
      <c r="S302" s="2737">
        <f t="shared" si="295"/>
        <v>0</v>
      </c>
      <c r="T302" s="2737">
        <f t="shared" si="296"/>
        <v>0</v>
      </c>
      <c r="U302" s="2737">
        <f t="shared" si="297"/>
        <v>0</v>
      </c>
      <c r="V302" s="2737">
        <f t="shared" si="298"/>
        <v>0</v>
      </c>
      <c r="W302" s="2737">
        <f t="shared" si="299"/>
        <v>0</v>
      </c>
    </row>
    <row r="303" spans="1:23" hidden="1" x14ac:dyDescent="0.2">
      <c r="A303" s="2426">
        <v>301</v>
      </c>
      <c r="B303" s="2641"/>
      <c r="C303" s="2738"/>
      <c r="D303" s="2738"/>
      <c r="E303" s="2738"/>
      <c r="F303" s="2738"/>
      <c r="G303" s="2738"/>
      <c r="H303" s="2737" t="e">
        <f t="shared" si="284"/>
        <v>#DIV/0!</v>
      </c>
      <c r="I303" s="2737" t="e">
        <f t="shared" si="285"/>
        <v>#DIV/0!</v>
      </c>
      <c r="J303" s="2737" t="e">
        <f t="shared" si="286"/>
        <v>#DIV/0!</v>
      </c>
      <c r="K303" s="2737" t="e">
        <f t="shared" si="287"/>
        <v>#DIV/0!</v>
      </c>
      <c r="L303" s="2737" t="e">
        <f t="shared" si="288"/>
        <v>#DIV/0!</v>
      </c>
      <c r="M303" s="2737" t="e">
        <f t="shared" si="289"/>
        <v>#DIV/0!</v>
      </c>
      <c r="N303" s="2737" t="e">
        <f t="shared" si="290"/>
        <v>#DIV/0!</v>
      </c>
      <c r="O303" s="2737" t="e">
        <f t="shared" si="291"/>
        <v>#DIV/0!</v>
      </c>
      <c r="P303" s="2737" t="e">
        <f t="shared" si="292"/>
        <v>#DIV/0!</v>
      </c>
      <c r="Q303" s="2737" t="e">
        <f t="shared" si="293"/>
        <v>#DIV/0!</v>
      </c>
      <c r="R303" s="2737" t="e">
        <f t="shared" si="294"/>
        <v>#DIV/0!</v>
      </c>
      <c r="S303" s="2737" t="e">
        <f t="shared" si="295"/>
        <v>#DIV/0!</v>
      </c>
      <c r="T303" s="2737" t="e">
        <f t="shared" si="296"/>
        <v>#DIV/0!</v>
      </c>
      <c r="U303" s="2737" t="e">
        <f t="shared" si="297"/>
        <v>#DIV/0!</v>
      </c>
      <c r="V303" s="2737" t="e">
        <f t="shared" si="298"/>
        <v>#DIV/0!</v>
      </c>
      <c r="W303" s="2737" t="e">
        <f t="shared" si="299"/>
        <v>#DIV/0!</v>
      </c>
    </row>
    <row r="304" spans="1:23" hidden="1" x14ac:dyDescent="0.2">
      <c r="A304" s="2426">
        <v>303</v>
      </c>
      <c r="B304" s="2731" t="str">
        <f t="shared" ref="B304:B311" si="304">B276</f>
        <v>Proveedores</v>
      </c>
      <c r="C304" s="2673">
        <f t="shared" ref="C304:E311" si="305">IF(C$77=0,0,C276/C$77)</f>
        <v>0</v>
      </c>
      <c r="D304" s="2673">
        <f t="shared" si="305"/>
        <v>0</v>
      </c>
      <c r="E304" s="2673">
        <f t="shared" si="305"/>
        <v>0</v>
      </c>
      <c r="F304" s="2673">
        <f t="shared" ref="F304:G311" si="306">IF(F$77=0,0,F276/F$77)</f>
        <v>0</v>
      </c>
      <c r="G304" s="2673">
        <f t="shared" si="306"/>
        <v>0</v>
      </c>
      <c r="H304" s="2737">
        <f t="shared" si="284"/>
        <v>0</v>
      </c>
      <c r="I304" s="2737">
        <f t="shared" si="285"/>
        <v>0</v>
      </c>
      <c r="J304" s="2737">
        <f t="shared" si="286"/>
        <v>0</v>
      </c>
      <c r="K304" s="2737">
        <f t="shared" si="287"/>
        <v>0</v>
      </c>
      <c r="L304" s="2737">
        <f t="shared" si="288"/>
        <v>0</v>
      </c>
      <c r="M304" s="2737">
        <f t="shared" si="289"/>
        <v>0</v>
      </c>
      <c r="N304" s="2737">
        <f t="shared" si="290"/>
        <v>0</v>
      </c>
      <c r="O304" s="2737">
        <f t="shared" si="291"/>
        <v>0</v>
      </c>
      <c r="P304" s="2737">
        <f t="shared" si="292"/>
        <v>0</v>
      </c>
      <c r="Q304" s="2737">
        <f t="shared" si="293"/>
        <v>0</v>
      </c>
      <c r="R304" s="2737">
        <f t="shared" si="294"/>
        <v>0</v>
      </c>
      <c r="S304" s="2737">
        <f t="shared" si="295"/>
        <v>0</v>
      </c>
      <c r="T304" s="2737">
        <f t="shared" si="296"/>
        <v>0</v>
      </c>
      <c r="U304" s="2737">
        <f t="shared" si="297"/>
        <v>0</v>
      </c>
      <c r="V304" s="2737">
        <f t="shared" si="298"/>
        <v>0</v>
      </c>
      <c r="W304" s="2737">
        <f t="shared" si="299"/>
        <v>0</v>
      </c>
    </row>
    <row r="305" spans="1:23" hidden="1" x14ac:dyDescent="0.2">
      <c r="A305" s="2426">
        <v>304</v>
      </c>
      <c r="B305" s="2731" t="str">
        <f t="shared" si="304"/>
        <v>Proveedores Grupo</v>
      </c>
      <c r="C305" s="2673">
        <f t="shared" si="305"/>
        <v>0</v>
      </c>
      <c r="D305" s="2673">
        <f t="shared" si="305"/>
        <v>0</v>
      </c>
      <c r="E305" s="2673">
        <f t="shared" si="305"/>
        <v>0</v>
      </c>
      <c r="F305" s="2673">
        <f t="shared" si="306"/>
        <v>0</v>
      </c>
      <c r="G305" s="2673">
        <f t="shared" si="306"/>
        <v>0</v>
      </c>
      <c r="H305" s="2737">
        <f t="shared" si="284"/>
        <v>0</v>
      </c>
      <c r="I305" s="2737">
        <f t="shared" si="285"/>
        <v>0</v>
      </c>
      <c r="J305" s="2737">
        <f t="shared" si="286"/>
        <v>0</v>
      </c>
      <c r="K305" s="2737">
        <f t="shared" si="287"/>
        <v>0</v>
      </c>
      <c r="L305" s="2737">
        <f t="shared" si="288"/>
        <v>0</v>
      </c>
      <c r="M305" s="2737">
        <f t="shared" si="289"/>
        <v>0</v>
      </c>
      <c r="N305" s="2737">
        <f t="shared" si="290"/>
        <v>0</v>
      </c>
      <c r="O305" s="2737">
        <f t="shared" si="291"/>
        <v>0</v>
      </c>
      <c r="P305" s="2737">
        <f t="shared" si="292"/>
        <v>0</v>
      </c>
      <c r="Q305" s="2737">
        <f t="shared" si="293"/>
        <v>0</v>
      </c>
      <c r="R305" s="2737">
        <f t="shared" si="294"/>
        <v>0</v>
      </c>
      <c r="S305" s="2737">
        <f t="shared" si="295"/>
        <v>0</v>
      </c>
      <c r="T305" s="2737">
        <f t="shared" si="296"/>
        <v>0</v>
      </c>
      <c r="U305" s="2737">
        <f t="shared" si="297"/>
        <v>0</v>
      </c>
      <c r="V305" s="2737">
        <f t="shared" si="298"/>
        <v>0</v>
      </c>
      <c r="W305" s="2737">
        <f t="shared" si="299"/>
        <v>0</v>
      </c>
    </row>
    <row r="306" spans="1:23" x14ac:dyDescent="0.2">
      <c r="A306" s="2426">
        <v>305</v>
      </c>
      <c r="B306" s="2731" t="str">
        <f t="shared" si="304"/>
        <v>Cuentas Financieras a Pagar Grupo</v>
      </c>
      <c r="C306" s="2673">
        <f t="shared" si="305"/>
        <v>0</v>
      </c>
      <c r="D306" s="2673">
        <f t="shared" si="305"/>
        <v>0</v>
      </c>
      <c r="E306" s="2673">
        <f t="shared" si="305"/>
        <v>0</v>
      </c>
      <c r="F306" s="2673">
        <f t="shared" si="306"/>
        <v>0</v>
      </c>
      <c r="G306" s="2673">
        <f t="shared" si="306"/>
        <v>0</v>
      </c>
      <c r="H306" s="2737">
        <f t="shared" si="284"/>
        <v>0</v>
      </c>
      <c r="I306" s="2737">
        <f t="shared" si="285"/>
        <v>0</v>
      </c>
      <c r="J306" s="2737">
        <f t="shared" si="286"/>
        <v>0</v>
      </c>
      <c r="K306" s="2737">
        <f t="shared" si="287"/>
        <v>0</v>
      </c>
      <c r="L306" s="2737">
        <f t="shared" si="288"/>
        <v>0</v>
      </c>
      <c r="M306" s="2737">
        <f t="shared" si="289"/>
        <v>0</v>
      </c>
      <c r="N306" s="2737">
        <f t="shared" si="290"/>
        <v>0</v>
      </c>
      <c r="O306" s="2737">
        <f t="shared" si="291"/>
        <v>0</v>
      </c>
      <c r="P306" s="2737">
        <f t="shared" si="292"/>
        <v>0</v>
      </c>
      <c r="Q306" s="2737">
        <f t="shared" si="293"/>
        <v>0</v>
      </c>
      <c r="R306" s="2737">
        <f t="shared" si="294"/>
        <v>0</v>
      </c>
      <c r="S306" s="2737">
        <f t="shared" si="295"/>
        <v>0</v>
      </c>
      <c r="T306" s="2737">
        <f t="shared" si="296"/>
        <v>0</v>
      </c>
      <c r="U306" s="2737">
        <f t="shared" si="297"/>
        <v>0</v>
      </c>
      <c r="V306" s="2737">
        <f t="shared" si="298"/>
        <v>0</v>
      </c>
      <c r="W306" s="2737">
        <f t="shared" si="299"/>
        <v>0</v>
      </c>
    </row>
    <row r="307" spans="1:23" x14ac:dyDescent="0.2">
      <c r="A307" s="2426">
        <v>306</v>
      </c>
      <c r="B307" s="2731" t="str">
        <f t="shared" si="304"/>
        <v>Costos y Gastos por Pagar (Acreedores Varios)</v>
      </c>
      <c r="C307" s="2673">
        <f t="shared" si="305"/>
        <v>0</v>
      </c>
      <c r="D307" s="2673">
        <f t="shared" si="305"/>
        <v>0</v>
      </c>
      <c r="E307" s="2673">
        <f t="shared" si="305"/>
        <v>0</v>
      </c>
      <c r="F307" s="2673">
        <f t="shared" si="306"/>
        <v>0</v>
      </c>
      <c r="G307" s="2673">
        <f t="shared" si="306"/>
        <v>0</v>
      </c>
      <c r="H307" s="2737">
        <f t="shared" si="284"/>
        <v>0</v>
      </c>
      <c r="I307" s="2737">
        <f t="shared" si="285"/>
        <v>0</v>
      </c>
      <c r="J307" s="2737">
        <f t="shared" si="286"/>
        <v>0</v>
      </c>
      <c r="K307" s="2737">
        <f t="shared" si="287"/>
        <v>0</v>
      </c>
      <c r="L307" s="2737">
        <f t="shared" si="288"/>
        <v>0</v>
      </c>
      <c r="M307" s="2737">
        <f t="shared" si="289"/>
        <v>0</v>
      </c>
      <c r="N307" s="2737">
        <f t="shared" si="290"/>
        <v>0</v>
      </c>
      <c r="O307" s="2737">
        <f t="shared" si="291"/>
        <v>0</v>
      </c>
      <c r="P307" s="2737">
        <f t="shared" si="292"/>
        <v>0</v>
      </c>
      <c r="Q307" s="2737">
        <f t="shared" si="293"/>
        <v>0</v>
      </c>
      <c r="R307" s="2737">
        <f t="shared" si="294"/>
        <v>0</v>
      </c>
      <c r="S307" s="2737">
        <f t="shared" si="295"/>
        <v>0</v>
      </c>
      <c r="T307" s="2737">
        <f t="shared" si="296"/>
        <v>0</v>
      </c>
      <c r="U307" s="2737">
        <f t="shared" si="297"/>
        <v>0</v>
      </c>
      <c r="V307" s="2737">
        <f t="shared" si="298"/>
        <v>0</v>
      </c>
      <c r="W307" s="2737">
        <f t="shared" si="299"/>
        <v>0</v>
      </c>
    </row>
    <row r="308" spans="1:23" x14ac:dyDescent="0.2">
      <c r="A308" s="2426">
        <v>307</v>
      </c>
      <c r="B308" s="2731" t="str">
        <f t="shared" si="304"/>
        <v>Impuestos por Pagar</v>
      </c>
      <c r="C308" s="2673">
        <f t="shared" si="305"/>
        <v>0</v>
      </c>
      <c r="D308" s="2673">
        <f t="shared" si="305"/>
        <v>0</v>
      </c>
      <c r="E308" s="2673">
        <f t="shared" si="305"/>
        <v>0</v>
      </c>
      <c r="F308" s="2673">
        <f t="shared" si="306"/>
        <v>0</v>
      </c>
      <c r="G308" s="2673">
        <f t="shared" si="306"/>
        <v>0</v>
      </c>
      <c r="H308" s="2737">
        <f t="shared" si="284"/>
        <v>0</v>
      </c>
      <c r="I308" s="2737">
        <f t="shared" si="285"/>
        <v>0</v>
      </c>
      <c r="J308" s="2737">
        <f t="shared" si="286"/>
        <v>0</v>
      </c>
      <c r="K308" s="2737">
        <f t="shared" si="287"/>
        <v>0</v>
      </c>
      <c r="L308" s="2737">
        <f t="shared" si="288"/>
        <v>0</v>
      </c>
      <c r="M308" s="2737">
        <f t="shared" si="289"/>
        <v>0</v>
      </c>
      <c r="N308" s="2737">
        <f t="shared" si="290"/>
        <v>0</v>
      </c>
      <c r="O308" s="2737">
        <f t="shared" si="291"/>
        <v>0</v>
      </c>
      <c r="P308" s="2737">
        <f t="shared" si="292"/>
        <v>0</v>
      </c>
      <c r="Q308" s="2737">
        <f t="shared" si="293"/>
        <v>0</v>
      </c>
      <c r="R308" s="2737">
        <f t="shared" si="294"/>
        <v>0</v>
      </c>
      <c r="S308" s="2737">
        <f t="shared" si="295"/>
        <v>0</v>
      </c>
      <c r="T308" s="2737">
        <f t="shared" si="296"/>
        <v>0</v>
      </c>
      <c r="U308" s="2737">
        <f t="shared" si="297"/>
        <v>0</v>
      </c>
      <c r="V308" s="2737">
        <f t="shared" si="298"/>
        <v>0</v>
      </c>
      <c r="W308" s="2737">
        <f t="shared" si="299"/>
        <v>0</v>
      </c>
    </row>
    <row r="309" spans="1:23" x14ac:dyDescent="0.2">
      <c r="A309" s="2426">
        <v>308</v>
      </c>
      <c r="B309" s="2731" t="str">
        <f t="shared" si="304"/>
        <v>Obligaciones Laborales</v>
      </c>
      <c r="C309" s="2673">
        <f t="shared" si="305"/>
        <v>0</v>
      </c>
      <c r="D309" s="2673">
        <f t="shared" si="305"/>
        <v>0</v>
      </c>
      <c r="E309" s="2673">
        <f t="shared" si="305"/>
        <v>0</v>
      </c>
      <c r="F309" s="2673">
        <f t="shared" si="306"/>
        <v>0</v>
      </c>
      <c r="G309" s="2673">
        <f t="shared" si="306"/>
        <v>0</v>
      </c>
      <c r="H309" s="2737">
        <f t="shared" si="284"/>
        <v>0</v>
      </c>
      <c r="I309" s="2737">
        <f t="shared" si="285"/>
        <v>0</v>
      </c>
      <c r="J309" s="2737">
        <f t="shared" si="286"/>
        <v>0</v>
      </c>
      <c r="K309" s="2737">
        <f t="shared" si="287"/>
        <v>0</v>
      </c>
      <c r="L309" s="2737">
        <f t="shared" si="288"/>
        <v>0</v>
      </c>
      <c r="M309" s="2737">
        <f t="shared" si="289"/>
        <v>0</v>
      </c>
      <c r="N309" s="2737">
        <f t="shared" si="290"/>
        <v>0</v>
      </c>
      <c r="O309" s="2737">
        <f t="shared" si="291"/>
        <v>0</v>
      </c>
      <c r="P309" s="2737">
        <f t="shared" si="292"/>
        <v>0</v>
      </c>
      <c r="Q309" s="2737">
        <f t="shared" si="293"/>
        <v>0</v>
      </c>
      <c r="R309" s="2737">
        <f t="shared" si="294"/>
        <v>0</v>
      </c>
      <c r="S309" s="2737">
        <f t="shared" si="295"/>
        <v>0</v>
      </c>
      <c r="T309" s="2737">
        <f t="shared" si="296"/>
        <v>0</v>
      </c>
      <c r="U309" s="2737">
        <f t="shared" si="297"/>
        <v>0</v>
      </c>
      <c r="V309" s="2737">
        <f t="shared" si="298"/>
        <v>0</v>
      </c>
      <c r="W309" s="2737">
        <f t="shared" si="299"/>
        <v>0</v>
      </c>
    </row>
    <row r="310" spans="1:23" x14ac:dyDescent="0.2">
      <c r="A310" s="2426">
        <v>309</v>
      </c>
      <c r="B310" s="2731" t="str">
        <f t="shared" si="304"/>
        <v>Otros Pasivos C/P</v>
      </c>
      <c r="C310" s="2673">
        <f t="shared" si="305"/>
        <v>0</v>
      </c>
      <c r="D310" s="2673">
        <f t="shared" si="305"/>
        <v>0</v>
      </c>
      <c r="E310" s="2673">
        <f t="shared" si="305"/>
        <v>0</v>
      </c>
      <c r="F310" s="2673">
        <f t="shared" si="306"/>
        <v>0</v>
      </c>
      <c r="G310" s="2673">
        <f t="shared" si="306"/>
        <v>0</v>
      </c>
      <c r="H310" s="2737">
        <f t="shared" si="284"/>
        <v>0</v>
      </c>
      <c r="I310" s="2737">
        <f t="shared" si="285"/>
        <v>0</v>
      </c>
      <c r="J310" s="2737">
        <f t="shared" si="286"/>
        <v>0</v>
      </c>
      <c r="K310" s="2737">
        <f t="shared" si="287"/>
        <v>0</v>
      </c>
      <c r="L310" s="2737">
        <f t="shared" si="288"/>
        <v>0</v>
      </c>
      <c r="M310" s="2737">
        <f t="shared" si="289"/>
        <v>0</v>
      </c>
      <c r="N310" s="2737">
        <f t="shared" si="290"/>
        <v>0</v>
      </c>
      <c r="O310" s="2737">
        <f t="shared" si="291"/>
        <v>0</v>
      </c>
      <c r="P310" s="2737">
        <f t="shared" si="292"/>
        <v>0</v>
      </c>
      <c r="Q310" s="2737">
        <f t="shared" si="293"/>
        <v>0</v>
      </c>
      <c r="R310" s="2737">
        <f t="shared" si="294"/>
        <v>0</v>
      </c>
      <c r="S310" s="2737">
        <f t="shared" si="295"/>
        <v>0</v>
      </c>
      <c r="T310" s="2737">
        <f t="shared" si="296"/>
        <v>0</v>
      </c>
      <c r="U310" s="2737">
        <f t="shared" si="297"/>
        <v>0</v>
      </c>
      <c r="V310" s="2737">
        <f t="shared" si="298"/>
        <v>0</v>
      </c>
      <c r="W310" s="2737">
        <f t="shared" si="299"/>
        <v>0</v>
      </c>
    </row>
    <row r="311" spans="1:23" x14ac:dyDescent="0.2">
      <c r="A311" s="2426">
        <v>310</v>
      </c>
      <c r="B311" s="2731" t="str">
        <f t="shared" si="304"/>
        <v>Anticipos recibidos</v>
      </c>
      <c r="C311" s="2673">
        <f t="shared" si="305"/>
        <v>0</v>
      </c>
      <c r="D311" s="2673">
        <f t="shared" si="305"/>
        <v>0</v>
      </c>
      <c r="E311" s="2673">
        <f t="shared" si="305"/>
        <v>0</v>
      </c>
      <c r="F311" s="2673">
        <f t="shared" si="306"/>
        <v>0</v>
      </c>
      <c r="G311" s="2673">
        <f t="shared" si="306"/>
        <v>0</v>
      </c>
      <c r="H311" s="2737">
        <f t="shared" si="284"/>
        <v>0</v>
      </c>
      <c r="I311" s="2737">
        <f t="shared" si="285"/>
        <v>0</v>
      </c>
      <c r="J311" s="2737">
        <f t="shared" si="286"/>
        <v>0</v>
      </c>
      <c r="K311" s="2737">
        <f t="shared" si="287"/>
        <v>0</v>
      </c>
      <c r="L311" s="2737">
        <f t="shared" si="288"/>
        <v>0</v>
      </c>
      <c r="M311" s="2737">
        <f t="shared" si="289"/>
        <v>0</v>
      </c>
      <c r="N311" s="2737">
        <f t="shared" si="290"/>
        <v>0</v>
      </c>
      <c r="O311" s="2737">
        <f t="shared" si="291"/>
        <v>0</v>
      </c>
      <c r="P311" s="2737">
        <f t="shared" si="292"/>
        <v>0</v>
      </c>
      <c r="Q311" s="2737">
        <f t="shared" si="293"/>
        <v>0</v>
      </c>
      <c r="R311" s="2737">
        <f t="shared" si="294"/>
        <v>0</v>
      </c>
      <c r="S311" s="2737">
        <f t="shared" si="295"/>
        <v>0</v>
      </c>
      <c r="T311" s="2737">
        <f t="shared" si="296"/>
        <v>0</v>
      </c>
      <c r="U311" s="2737">
        <f t="shared" si="297"/>
        <v>0</v>
      </c>
      <c r="V311" s="2737">
        <f t="shared" si="298"/>
        <v>0</v>
      </c>
      <c r="W311" s="2737">
        <f t="shared" si="299"/>
        <v>0</v>
      </c>
    </row>
    <row r="312" spans="1:23" x14ac:dyDescent="0.2">
      <c r="A312" s="2426">
        <v>311</v>
      </c>
      <c r="C312" s="2738"/>
      <c r="D312" s="2738"/>
      <c r="E312" s="2738"/>
      <c r="F312" s="2738"/>
      <c r="G312" s="2738"/>
      <c r="H312" s="2739"/>
      <c r="I312" s="2739"/>
      <c r="J312" s="2739"/>
      <c r="K312" s="2739"/>
      <c r="L312" s="2739"/>
      <c r="M312" s="2739"/>
      <c r="N312" s="2739"/>
      <c r="O312" s="2739"/>
      <c r="P312" s="2739"/>
      <c r="Q312" s="2739"/>
      <c r="R312" s="2739"/>
      <c r="S312" s="2739"/>
      <c r="T312" s="2739"/>
      <c r="U312" s="2739"/>
      <c r="V312" s="2739"/>
      <c r="W312" s="2739"/>
    </row>
    <row r="313" spans="1:23" x14ac:dyDescent="0.2">
      <c r="A313" s="2426">
        <v>312</v>
      </c>
    </row>
    <row r="314" spans="1:23" s="2641" customFormat="1" x14ac:dyDescent="0.2">
      <c r="A314" s="2426">
        <v>313</v>
      </c>
      <c r="B314" s="2648" t="s">
        <v>705</v>
      </c>
      <c r="C314" s="2649"/>
      <c r="D314" s="2649"/>
      <c r="E314" s="2649"/>
      <c r="F314" s="2649"/>
      <c r="G314" s="2649"/>
      <c r="H314" s="2650"/>
      <c r="I314" s="2650"/>
      <c r="J314" s="2650"/>
      <c r="K314" s="2650"/>
      <c r="L314" s="2650"/>
      <c r="M314" s="2650"/>
      <c r="N314" s="2650"/>
      <c r="O314" s="2650"/>
      <c r="P314" s="2650"/>
      <c r="Q314" s="2650"/>
      <c r="R314" s="2650"/>
      <c r="S314" s="2650"/>
      <c r="T314" s="2650"/>
      <c r="U314" s="2650"/>
      <c r="V314" s="2650"/>
      <c r="W314" s="2650"/>
    </row>
    <row r="315" spans="1:23" x14ac:dyDescent="0.2">
      <c r="A315" s="2426">
        <v>314</v>
      </c>
    </row>
    <row r="316" spans="1:23" x14ac:dyDescent="0.2">
      <c r="A316" s="2426">
        <v>315</v>
      </c>
      <c r="B316" s="2740" t="s">
        <v>465</v>
      </c>
      <c r="C316" s="2740"/>
      <c r="D316" s="2740"/>
      <c r="E316" s="2740"/>
      <c r="F316" s="2740"/>
      <c r="G316" s="2740"/>
      <c r="H316" s="2740"/>
      <c r="I316" s="2740"/>
      <c r="J316" s="2740"/>
      <c r="K316" s="2740"/>
      <c r="L316" s="2740"/>
      <c r="M316" s="2740"/>
      <c r="N316" s="2740"/>
      <c r="O316" s="2740"/>
      <c r="P316" s="2740"/>
      <c r="Q316" s="2740"/>
      <c r="R316" s="2740"/>
      <c r="S316" s="2740"/>
      <c r="T316" s="2740"/>
      <c r="U316" s="2740"/>
      <c r="V316" s="2740"/>
      <c r="W316" s="2740"/>
    </row>
    <row r="317" spans="1:23" x14ac:dyDescent="0.2">
      <c r="A317" s="2426">
        <v>316</v>
      </c>
      <c r="B317" s="2731" t="s">
        <v>287</v>
      </c>
      <c r="C317" s="2710">
        <f t="shared" ref="C317:H317" si="307">C189+C207</f>
        <v>0</v>
      </c>
      <c r="D317" s="2710">
        <f t="shared" si="307"/>
        <v>0</v>
      </c>
      <c r="E317" s="2710">
        <f t="shared" si="307"/>
        <v>0</v>
      </c>
      <c r="F317" s="2710">
        <f t="shared" si="307"/>
        <v>0</v>
      </c>
      <c r="G317" s="2710">
        <f t="shared" si="307"/>
        <v>0</v>
      </c>
      <c r="H317" s="2710">
        <f t="shared" si="307"/>
        <v>0</v>
      </c>
      <c r="I317" s="2710">
        <f t="shared" ref="I317:W317" si="308">I189+I207</f>
        <v>0</v>
      </c>
      <c r="J317" s="2710">
        <f t="shared" si="308"/>
        <v>0</v>
      </c>
      <c r="K317" s="2710">
        <f t="shared" si="308"/>
        <v>0</v>
      </c>
      <c r="L317" s="2710">
        <f t="shared" si="308"/>
        <v>0</v>
      </c>
      <c r="M317" s="2710">
        <f t="shared" si="308"/>
        <v>0</v>
      </c>
      <c r="N317" s="2710">
        <f t="shared" si="308"/>
        <v>0</v>
      </c>
      <c r="O317" s="2710">
        <f t="shared" si="308"/>
        <v>0</v>
      </c>
      <c r="P317" s="2710">
        <f t="shared" si="308"/>
        <v>0</v>
      </c>
      <c r="Q317" s="2710">
        <f t="shared" si="308"/>
        <v>0</v>
      </c>
      <c r="R317" s="2710">
        <f t="shared" si="308"/>
        <v>0</v>
      </c>
      <c r="S317" s="2710">
        <f t="shared" si="308"/>
        <v>0</v>
      </c>
      <c r="T317" s="2710">
        <f t="shared" si="308"/>
        <v>0</v>
      </c>
      <c r="U317" s="2710">
        <f t="shared" si="308"/>
        <v>0</v>
      </c>
      <c r="V317" s="2710">
        <f t="shared" si="308"/>
        <v>0</v>
      </c>
      <c r="W317" s="2710">
        <f t="shared" si="308"/>
        <v>0</v>
      </c>
    </row>
    <row r="318" spans="1:23" x14ac:dyDescent="0.2">
      <c r="A318" s="2426">
        <v>317</v>
      </c>
      <c r="B318" s="2731" t="s">
        <v>312</v>
      </c>
      <c r="C318" s="2710">
        <f t="shared" ref="C318:H318" si="309">C222+C232</f>
        <v>0</v>
      </c>
      <c r="D318" s="2710">
        <f t="shared" si="309"/>
        <v>0</v>
      </c>
      <c r="E318" s="2710">
        <f t="shared" si="309"/>
        <v>0</v>
      </c>
      <c r="F318" s="2710">
        <f t="shared" si="309"/>
        <v>0</v>
      </c>
      <c r="G318" s="2710">
        <f t="shared" si="309"/>
        <v>0</v>
      </c>
      <c r="H318" s="2710">
        <f t="shared" si="309"/>
        <v>0</v>
      </c>
      <c r="I318" s="2710">
        <f t="shared" ref="I318:W318" si="310">I222+I232</f>
        <v>0</v>
      </c>
      <c r="J318" s="2710">
        <f t="shared" si="310"/>
        <v>0</v>
      </c>
      <c r="K318" s="2710">
        <f t="shared" si="310"/>
        <v>0</v>
      </c>
      <c r="L318" s="2710">
        <f t="shared" si="310"/>
        <v>0</v>
      </c>
      <c r="M318" s="2710">
        <f t="shared" si="310"/>
        <v>0</v>
      </c>
      <c r="N318" s="2710">
        <f t="shared" si="310"/>
        <v>0</v>
      </c>
      <c r="O318" s="2710">
        <f t="shared" si="310"/>
        <v>0</v>
      </c>
      <c r="P318" s="2710">
        <f t="shared" si="310"/>
        <v>0</v>
      </c>
      <c r="Q318" s="2710">
        <f t="shared" si="310"/>
        <v>0</v>
      </c>
      <c r="R318" s="2710">
        <f t="shared" si="310"/>
        <v>0</v>
      </c>
      <c r="S318" s="2710">
        <f t="shared" si="310"/>
        <v>0</v>
      </c>
      <c r="T318" s="2710">
        <f t="shared" si="310"/>
        <v>0</v>
      </c>
      <c r="U318" s="2710">
        <f t="shared" si="310"/>
        <v>0</v>
      </c>
      <c r="V318" s="2710">
        <f t="shared" si="310"/>
        <v>0</v>
      </c>
      <c r="W318" s="2710">
        <f t="shared" si="310"/>
        <v>0</v>
      </c>
    </row>
    <row r="319" spans="1:23" x14ac:dyDescent="0.2">
      <c r="A319" s="2426">
        <v>318</v>
      </c>
      <c r="B319" s="2731" t="s">
        <v>466</v>
      </c>
      <c r="C319" s="2710">
        <f t="shared" ref="C319:H319" si="311">C164</f>
        <v>0</v>
      </c>
      <c r="D319" s="2710">
        <f t="shared" si="311"/>
        <v>0</v>
      </c>
      <c r="E319" s="2710">
        <f t="shared" si="311"/>
        <v>0</v>
      </c>
      <c r="F319" s="2710">
        <f t="shared" si="311"/>
        <v>0</v>
      </c>
      <c r="G319" s="2710">
        <f t="shared" si="311"/>
        <v>0</v>
      </c>
      <c r="H319" s="2710">
        <f t="shared" ca="1" si="311"/>
        <v>0</v>
      </c>
      <c r="I319" s="2710">
        <f t="shared" ref="I319:W319" ca="1" si="312">I164</f>
        <v>0</v>
      </c>
      <c r="J319" s="2710">
        <f t="shared" ca="1" si="312"/>
        <v>0</v>
      </c>
      <c r="K319" s="2710">
        <f t="shared" ca="1" si="312"/>
        <v>0</v>
      </c>
      <c r="L319" s="2710">
        <f t="shared" ca="1" si="312"/>
        <v>0</v>
      </c>
      <c r="M319" s="2710">
        <f t="shared" ca="1" si="312"/>
        <v>0</v>
      </c>
      <c r="N319" s="2710">
        <f t="shared" ca="1" si="312"/>
        <v>0</v>
      </c>
      <c r="O319" s="2710">
        <f t="shared" ca="1" si="312"/>
        <v>0</v>
      </c>
      <c r="P319" s="2710">
        <f t="shared" ca="1" si="312"/>
        <v>0</v>
      </c>
      <c r="Q319" s="2710">
        <f t="shared" ca="1" si="312"/>
        <v>0</v>
      </c>
      <c r="R319" s="2710">
        <f t="shared" ca="1" si="312"/>
        <v>0</v>
      </c>
      <c r="S319" s="2710">
        <f t="shared" ca="1" si="312"/>
        <v>0</v>
      </c>
      <c r="T319" s="2710">
        <f t="shared" ca="1" si="312"/>
        <v>0</v>
      </c>
      <c r="U319" s="2710">
        <f t="shared" ca="1" si="312"/>
        <v>0</v>
      </c>
      <c r="V319" s="2710">
        <f t="shared" ca="1" si="312"/>
        <v>0</v>
      </c>
      <c r="W319" s="2710">
        <f t="shared" ca="1" si="312"/>
        <v>0</v>
      </c>
    </row>
    <row r="320" spans="1:23" x14ac:dyDescent="0.2">
      <c r="A320" s="2426">
        <v>319</v>
      </c>
      <c r="B320" s="2731" t="s">
        <v>467</v>
      </c>
      <c r="C320" s="2710"/>
      <c r="D320" s="2710">
        <f ca="1">-(OFFSET(inicio,318-ROW(inicio),D5003)-OFFSET(inicio,317-ROW(inicio),D5003))</f>
        <v>0</v>
      </c>
      <c r="E320" s="2710">
        <f ca="1">-(OFFSET(inicio,318-ROW(inicio),E5003)-OFFSET(inicio,317-ROW(inicio),E5003))</f>
        <v>0</v>
      </c>
      <c r="F320" s="2710">
        <f ca="1">-(OFFSET(inicio,318-ROW(inicio),F5003)-OFFSET(inicio,317-ROW(inicio),F5003))</f>
        <v>0</v>
      </c>
      <c r="G320" s="2710">
        <f ca="1">-(OFFSET(inicio,318-ROW(inicio),G5003)-OFFSET(inicio,317-ROW(inicio),G5003))</f>
        <v>0</v>
      </c>
      <c r="H320" s="2710">
        <f ca="1">-(OFFSET(inicio,318-ROW(inicio),H5003)-OFFSET(inicio,317-ROW(inicio),H5003))</f>
        <v>0</v>
      </c>
      <c r="I320" s="2710">
        <f t="shared" ref="I320:W320" si="313">-(H318-H317)</f>
        <v>0</v>
      </c>
      <c r="J320" s="2710">
        <f t="shared" si="313"/>
        <v>0</v>
      </c>
      <c r="K320" s="2710">
        <f t="shared" si="313"/>
        <v>0</v>
      </c>
      <c r="L320" s="2710">
        <f t="shared" si="313"/>
        <v>0</v>
      </c>
      <c r="M320" s="2710">
        <f t="shared" si="313"/>
        <v>0</v>
      </c>
      <c r="N320" s="2710">
        <f t="shared" si="313"/>
        <v>0</v>
      </c>
      <c r="O320" s="2710">
        <f t="shared" si="313"/>
        <v>0</v>
      </c>
      <c r="P320" s="2710">
        <f t="shared" si="313"/>
        <v>0</v>
      </c>
      <c r="Q320" s="2710">
        <f t="shared" si="313"/>
        <v>0</v>
      </c>
      <c r="R320" s="2710">
        <f t="shared" si="313"/>
        <v>0</v>
      </c>
      <c r="S320" s="2710">
        <f t="shared" si="313"/>
        <v>0</v>
      </c>
      <c r="T320" s="2710">
        <f t="shared" si="313"/>
        <v>0</v>
      </c>
      <c r="U320" s="2710">
        <f t="shared" si="313"/>
        <v>0</v>
      </c>
      <c r="V320" s="2710">
        <f t="shared" si="313"/>
        <v>0</v>
      </c>
      <c r="W320" s="2710">
        <f t="shared" si="313"/>
        <v>0</v>
      </c>
    </row>
    <row r="321" spans="1:23" x14ac:dyDescent="0.2">
      <c r="A321" s="2426">
        <v>320</v>
      </c>
      <c r="B321" s="2731" t="s">
        <v>468</v>
      </c>
      <c r="C321" s="2710"/>
      <c r="D321" s="2710">
        <f>-D317</f>
        <v>0</v>
      </c>
      <c r="E321" s="2710">
        <f>-E317</f>
        <v>0</v>
      </c>
      <c r="F321" s="2710">
        <f>-F317</f>
        <v>0</v>
      </c>
      <c r="G321" s="2710">
        <f>-G317</f>
        <v>0</v>
      </c>
      <c r="H321" s="2710">
        <f>-H317</f>
        <v>0</v>
      </c>
      <c r="I321" s="2710">
        <f t="shared" ref="I321:W321" si="314">-I317</f>
        <v>0</v>
      </c>
      <c r="J321" s="2710">
        <f t="shared" si="314"/>
        <v>0</v>
      </c>
      <c r="K321" s="2710">
        <f t="shared" si="314"/>
        <v>0</v>
      </c>
      <c r="L321" s="2710">
        <f t="shared" si="314"/>
        <v>0</v>
      </c>
      <c r="M321" s="2710">
        <f t="shared" si="314"/>
        <v>0</v>
      </c>
      <c r="N321" s="2710">
        <f t="shared" si="314"/>
        <v>0</v>
      </c>
      <c r="O321" s="2710">
        <f t="shared" si="314"/>
        <v>0</v>
      </c>
      <c r="P321" s="2710">
        <f t="shared" si="314"/>
        <v>0</v>
      </c>
      <c r="Q321" s="2710">
        <f t="shared" si="314"/>
        <v>0</v>
      </c>
      <c r="R321" s="2710">
        <f t="shared" si="314"/>
        <v>0</v>
      </c>
      <c r="S321" s="2710">
        <f t="shared" si="314"/>
        <v>0</v>
      </c>
      <c r="T321" s="2710">
        <f t="shared" si="314"/>
        <v>0</v>
      </c>
      <c r="U321" s="2710">
        <f t="shared" si="314"/>
        <v>0</v>
      </c>
      <c r="V321" s="2710">
        <f t="shared" si="314"/>
        <v>0</v>
      </c>
      <c r="W321" s="2710">
        <f t="shared" si="314"/>
        <v>0</v>
      </c>
    </row>
    <row r="322" spans="1:23" x14ac:dyDescent="0.2">
      <c r="A322" s="2426">
        <v>321</v>
      </c>
      <c r="B322" s="2731" t="s">
        <v>469</v>
      </c>
      <c r="C322" s="2710"/>
      <c r="D322" s="2710">
        <f>+D318-D319</f>
        <v>0</v>
      </c>
      <c r="E322" s="2710">
        <f>+E318-E319</f>
        <v>0</v>
      </c>
      <c r="F322" s="2710">
        <f>+F318-F319</f>
        <v>0</v>
      </c>
      <c r="G322" s="2710">
        <f>+G318-G319</f>
        <v>0</v>
      </c>
      <c r="H322" s="2710">
        <f ca="1">+H318-H319</f>
        <v>0</v>
      </c>
      <c r="I322" s="2710">
        <f t="shared" ref="I322:W322" ca="1" si="315">+I318-I319</f>
        <v>0</v>
      </c>
      <c r="J322" s="2710">
        <f t="shared" ca="1" si="315"/>
        <v>0</v>
      </c>
      <c r="K322" s="2710">
        <f t="shared" ca="1" si="315"/>
        <v>0</v>
      </c>
      <c r="L322" s="2710">
        <f t="shared" ca="1" si="315"/>
        <v>0</v>
      </c>
      <c r="M322" s="2710">
        <f t="shared" ca="1" si="315"/>
        <v>0</v>
      </c>
      <c r="N322" s="2710">
        <f t="shared" ca="1" si="315"/>
        <v>0</v>
      </c>
      <c r="O322" s="2710">
        <f t="shared" ca="1" si="315"/>
        <v>0</v>
      </c>
      <c r="P322" s="2710">
        <f t="shared" ca="1" si="315"/>
        <v>0</v>
      </c>
      <c r="Q322" s="2710">
        <f t="shared" ca="1" si="315"/>
        <v>0</v>
      </c>
      <c r="R322" s="2710">
        <f t="shared" ca="1" si="315"/>
        <v>0</v>
      </c>
      <c r="S322" s="2710">
        <f t="shared" ca="1" si="315"/>
        <v>0</v>
      </c>
      <c r="T322" s="2710">
        <f t="shared" ca="1" si="315"/>
        <v>0</v>
      </c>
      <c r="U322" s="2710">
        <f t="shared" ca="1" si="315"/>
        <v>0</v>
      </c>
      <c r="V322" s="2710">
        <f t="shared" ca="1" si="315"/>
        <v>0</v>
      </c>
      <c r="W322" s="2710">
        <f t="shared" ca="1" si="315"/>
        <v>0</v>
      </c>
    </row>
    <row r="323" spans="1:23" x14ac:dyDescent="0.2">
      <c r="A323" s="2426">
        <v>322</v>
      </c>
      <c r="B323" s="2741" t="s">
        <v>470</v>
      </c>
      <c r="C323" s="2742"/>
      <c r="D323" s="2742">
        <f t="shared" ref="D323:W323" ca="1" si="316">SUM(D320:D322)</f>
        <v>0</v>
      </c>
      <c r="E323" s="2742">
        <f t="shared" ca="1" si="316"/>
        <v>0</v>
      </c>
      <c r="F323" s="2742">
        <f t="shared" ca="1" si="316"/>
        <v>0</v>
      </c>
      <c r="G323" s="2742">
        <f t="shared" ca="1" si="316"/>
        <v>0</v>
      </c>
      <c r="H323" s="2742">
        <f t="shared" ca="1" si="316"/>
        <v>0</v>
      </c>
      <c r="I323" s="2742">
        <f t="shared" ca="1" si="316"/>
        <v>0</v>
      </c>
      <c r="J323" s="2742">
        <f t="shared" ca="1" si="316"/>
        <v>0</v>
      </c>
      <c r="K323" s="2742">
        <f t="shared" ca="1" si="316"/>
        <v>0</v>
      </c>
      <c r="L323" s="2742">
        <f t="shared" ca="1" si="316"/>
        <v>0</v>
      </c>
      <c r="M323" s="2742">
        <f t="shared" ca="1" si="316"/>
        <v>0</v>
      </c>
      <c r="N323" s="2742">
        <f t="shared" ca="1" si="316"/>
        <v>0</v>
      </c>
      <c r="O323" s="2742">
        <f t="shared" ca="1" si="316"/>
        <v>0</v>
      </c>
      <c r="P323" s="2742">
        <f t="shared" ca="1" si="316"/>
        <v>0</v>
      </c>
      <c r="Q323" s="2742">
        <f t="shared" ca="1" si="316"/>
        <v>0</v>
      </c>
      <c r="R323" s="2742">
        <f t="shared" ca="1" si="316"/>
        <v>0</v>
      </c>
      <c r="S323" s="2742">
        <f t="shared" ca="1" si="316"/>
        <v>0</v>
      </c>
      <c r="T323" s="2742">
        <f t="shared" ca="1" si="316"/>
        <v>0</v>
      </c>
      <c r="U323" s="2742">
        <f t="shared" ca="1" si="316"/>
        <v>0</v>
      </c>
      <c r="V323" s="2742">
        <f t="shared" ca="1" si="316"/>
        <v>0</v>
      </c>
      <c r="W323" s="2742">
        <f t="shared" ca="1" si="316"/>
        <v>0</v>
      </c>
    </row>
    <row r="324" spans="1:23" x14ac:dyDescent="0.2">
      <c r="A324" s="2426">
        <v>323</v>
      </c>
    </row>
    <row r="325" spans="1:23" x14ac:dyDescent="0.2">
      <c r="A325" s="2426">
        <v>324</v>
      </c>
      <c r="B325" s="2740" t="s">
        <v>59</v>
      </c>
      <c r="C325" s="2740"/>
      <c r="D325" s="2740"/>
      <c r="E325" s="2740"/>
      <c r="F325" s="2740"/>
      <c r="G325" s="2740"/>
      <c r="H325" s="2740"/>
      <c r="I325" s="2740"/>
      <c r="J325" s="2740"/>
      <c r="K325" s="2740"/>
      <c r="L325" s="2740"/>
      <c r="M325" s="2740"/>
      <c r="N325" s="2740"/>
      <c r="O325" s="2740"/>
      <c r="P325" s="2740"/>
      <c r="Q325" s="2740"/>
      <c r="R325" s="2740"/>
      <c r="S325" s="2740"/>
      <c r="T325" s="2740"/>
      <c r="U325" s="2740"/>
      <c r="V325" s="2740"/>
      <c r="W325" s="2740"/>
    </row>
    <row r="326" spans="1:23" x14ac:dyDescent="0.2">
      <c r="A326" s="2426">
        <v>325</v>
      </c>
      <c r="B326" s="2743" t="s">
        <v>63</v>
      </c>
      <c r="C326" s="2642"/>
      <c r="D326" s="2642">
        <f ca="1">(D241+D244)-(OFFSET(inicio,241-ROW(inicio),D5003)+OFFSET(inicio,244-ROW(inicio),D5003))+D396-D328</f>
        <v>0</v>
      </c>
      <c r="E326" s="2642">
        <f ca="1">(E241+E244)-(OFFSET(inicio,241-ROW(inicio),E5003)+OFFSET(inicio,244-ROW(inicio),E5003))+E396-E328</f>
        <v>0</v>
      </c>
      <c r="F326" s="2642">
        <f ca="1">(F241+F244)-(OFFSET(inicio,241-ROW(inicio),F5003)+OFFSET(inicio,244-ROW(inicio),F5003))+F396-F328</f>
        <v>0</v>
      </c>
      <c r="G326" s="2642">
        <f ca="1">(G241+G244)-(OFFSET(inicio,241-ROW(inicio),G5003)+OFFSET(inicio,244-ROW(inicio),G5003))+G396-G328</f>
        <v>0</v>
      </c>
      <c r="H326" s="2642">
        <f ca="1">(H241+H244)-(OFFSET(inicio,241-ROW(inicio),H5003)+OFFSET(inicio,244-ROW(inicio),H5003))+H396-H328</f>
        <v>0</v>
      </c>
      <c r="I326" s="2642">
        <f ca="1">(I241+I244)-(H241+H244)+I396-I328</f>
        <v>0</v>
      </c>
      <c r="J326" s="2642">
        <f t="shared" ref="J326:W326" ca="1" si="317">(J241+J244)-(I241+I244)+J396-J328</f>
        <v>0</v>
      </c>
      <c r="K326" s="2642">
        <f t="shared" ca="1" si="317"/>
        <v>0</v>
      </c>
      <c r="L326" s="2642">
        <f t="shared" ca="1" si="317"/>
        <v>0</v>
      </c>
      <c r="M326" s="2642">
        <f t="shared" ca="1" si="317"/>
        <v>0</v>
      </c>
      <c r="N326" s="2642">
        <f t="shared" ca="1" si="317"/>
        <v>0</v>
      </c>
      <c r="O326" s="2642">
        <f t="shared" ca="1" si="317"/>
        <v>0</v>
      </c>
      <c r="P326" s="2642">
        <f t="shared" ca="1" si="317"/>
        <v>0</v>
      </c>
      <c r="Q326" s="2642">
        <f t="shared" ca="1" si="317"/>
        <v>0</v>
      </c>
      <c r="R326" s="2642">
        <f t="shared" ca="1" si="317"/>
        <v>0</v>
      </c>
      <c r="S326" s="2642">
        <f t="shared" ca="1" si="317"/>
        <v>0</v>
      </c>
      <c r="T326" s="2642">
        <f t="shared" ca="1" si="317"/>
        <v>0</v>
      </c>
      <c r="U326" s="2642">
        <f t="shared" ca="1" si="317"/>
        <v>0</v>
      </c>
      <c r="V326" s="2642">
        <f t="shared" ca="1" si="317"/>
        <v>0</v>
      </c>
      <c r="W326" s="2642">
        <f t="shared" ca="1" si="317"/>
        <v>0</v>
      </c>
    </row>
    <row r="327" spans="1:23" x14ac:dyDescent="0.2">
      <c r="A327" s="2426">
        <v>326</v>
      </c>
      <c r="B327" s="2743" t="s">
        <v>64</v>
      </c>
      <c r="C327" s="2642"/>
      <c r="D327" s="2642"/>
      <c r="E327" s="2642"/>
      <c r="F327" s="2642"/>
      <c r="G327" s="2642"/>
      <c r="H327" s="2658"/>
      <c r="I327" s="2658"/>
      <c r="J327" s="2658"/>
      <c r="K327" s="2658"/>
      <c r="L327" s="2658"/>
      <c r="M327" s="2658"/>
      <c r="N327" s="2658"/>
      <c r="O327" s="2658"/>
      <c r="P327" s="2658"/>
      <c r="Q327" s="2658"/>
      <c r="R327" s="2658"/>
      <c r="S327" s="2658"/>
      <c r="T327" s="2658"/>
      <c r="U327" s="2658"/>
      <c r="V327" s="2658"/>
      <c r="W327" s="2658"/>
    </row>
    <row r="328" spans="1:23" x14ac:dyDescent="0.2">
      <c r="A328" s="2426">
        <v>327</v>
      </c>
      <c r="B328" s="2626" t="s">
        <v>699</v>
      </c>
      <c r="C328" s="2658"/>
      <c r="D328" s="2658"/>
      <c r="E328" s="2658"/>
      <c r="F328" s="2658"/>
      <c r="G328" s="2658"/>
      <c r="H328" s="2658"/>
      <c r="I328" s="2658"/>
      <c r="J328" s="2658"/>
      <c r="K328" s="2658"/>
      <c r="L328" s="2658"/>
      <c r="M328" s="2658"/>
      <c r="N328" s="2658"/>
      <c r="O328" s="2658"/>
      <c r="P328" s="2658"/>
      <c r="Q328" s="2658"/>
      <c r="R328" s="2658"/>
      <c r="S328" s="2658"/>
      <c r="T328" s="2658"/>
      <c r="U328" s="2658"/>
      <c r="V328" s="2658"/>
      <c r="W328" s="2658"/>
    </row>
    <row r="329" spans="1:23" x14ac:dyDescent="0.2">
      <c r="A329" s="2426">
        <v>328</v>
      </c>
      <c r="B329" s="2743" t="s">
        <v>60</v>
      </c>
      <c r="C329" s="2642"/>
      <c r="D329" s="2642">
        <f ca="1">-Cuadros!N47</f>
        <v>0</v>
      </c>
      <c r="E329" s="2642">
        <f ca="1">-Cuadros!O47</f>
        <v>0</v>
      </c>
      <c r="F329" s="2642">
        <f ca="1">-Cuadros!AG47</f>
        <v>0</v>
      </c>
      <c r="G329" s="2642">
        <f ca="1">-Cuadros!AH47</f>
        <v>0</v>
      </c>
      <c r="H329" s="2642">
        <f ca="1">H330*OFFSET(inicio,168-ROW(inicio),H5003)</f>
        <v>0</v>
      </c>
      <c r="I329" s="2642">
        <f t="shared" ref="I329:W329" ca="1" si="318">I330*H168</f>
        <v>0</v>
      </c>
      <c r="J329" s="2642">
        <f t="shared" ca="1" si="318"/>
        <v>0</v>
      </c>
      <c r="K329" s="2642">
        <f t="shared" ca="1" si="318"/>
        <v>0</v>
      </c>
      <c r="L329" s="2642">
        <f t="shared" ca="1" si="318"/>
        <v>0</v>
      </c>
      <c r="M329" s="2642">
        <f t="shared" ca="1" si="318"/>
        <v>0</v>
      </c>
      <c r="N329" s="2642">
        <f t="shared" ca="1" si="318"/>
        <v>0</v>
      </c>
      <c r="O329" s="2642">
        <f t="shared" ca="1" si="318"/>
        <v>0</v>
      </c>
      <c r="P329" s="2642">
        <f t="shared" ca="1" si="318"/>
        <v>0</v>
      </c>
      <c r="Q329" s="2642">
        <f t="shared" ca="1" si="318"/>
        <v>0</v>
      </c>
      <c r="R329" s="2642">
        <f t="shared" ca="1" si="318"/>
        <v>0</v>
      </c>
      <c r="S329" s="2642">
        <f t="shared" ca="1" si="318"/>
        <v>0</v>
      </c>
      <c r="T329" s="2642">
        <f t="shared" ca="1" si="318"/>
        <v>0</v>
      </c>
      <c r="U329" s="2642">
        <f t="shared" ca="1" si="318"/>
        <v>0</v>
      </c>
      <c r="V329" s="2642">
        <f t="shared" ca="1" si="318"/>
        <v>0</v>
      </c>
      <c r="W329" s="2642">
        <f t="shared" ca="1" si="318"/>
        <v>0</v>
      </c>
    </row>
    <row r="330" spans="1:23" x14ac:dyDescent="0.2">
      <c r="A330" s="2426">
        <v>329</v>
      </c>
      <c r="B330" s="2743" t="s">
        <v>61</v>
      </c>
      <c r="C330" s="2642"/>
      <c r="D330" s="2744">
        <f ca="1">IF(OFFSET(inicio,165-ROW(inicio),D5003)=0,0,D329/OFFSET(inicio,165-ROW(inicio),D5003))</f>
        <v>0</v>
      </c>
      <c r="E330" s="2744">
        <f ca="1">IF(OFFSET(inicio,165-ROW(inicio),E5003)=0,0,E329/OFFSET(inicio,165-ROW(inicio),E5003))</f>
        <v>0</v>
      </c>
      <c r="F330" s="2744">
        <f ca="1">IF(OFFSET(inicio,165-ROW(inicio),F5003)=0,0,F329/OFFSET(inicio,165-ROW(inicio),F5003))</f>
        <v>0</v>
      </c>
      <c r="G330" s="2744">
        <f ca="1">IF(OFFSET(inicio,165-ROW(inicio),G5003)=0,0,G329/OFFSET(inicio,165-ROW(inicio),G5003))</f>
        <v>0</v>
      </c>
      <c r="H330" s="2744"/>
      <c r="I330" s="2744"/>
      <c r="J330" s="2744"/>
      <c r="K330" s="2744"/>
      <c r="L330" s="2744"/>
      <c r="M330" s="2744"/>
      <c r="N330" s="2744"/>
      <c r="O330" s="2744"/>
      <c r="P330" s="2744"/>
      <c r="Q330" s="2744"/>
      <c r="R330" s="2744"/>
      <c r="S330" s="2744"/>
      <c r="T330" s="2744"/>
      <c r="U330" s="2744"/>
      <c r="V330" s="2744"/>
      <c r="W330" s="2744"/>
    </row>
    <row r="331" spans="1:23" x14ac:dyDescent="0.2">
      <c r="A331" s="2426">
        <v>330</v>
      </c>
      <c r="B331" s="2743" t="s">
        <v>62</v>
      </c>
      <c r="C331" s="2642"/>
      <c r="D331" s="2642"/>
      <c r="E331" s="2642"/>
      <c r="F331" s="2642"/>
      <c r="G331" s="2642"/>
      <c r="H331" s="2642">
        <f ca="1">IF(AND(OFFSET(inicio,249-ROW(inicio),H5003)&lt;(OFFSET(inicio,241-ROW(inicio),H5003)*50%),OFFSET(inicio,247-ROW(inicio),H5003)&gt;0),MIN(OFFSET(inicio,247-ROW(inicio),H5003)*10%,(OFFSET(inicio,241-ROW(inicio),H5003)*50%)-OFFSET(inicio,249-ROW(inicio),H5003)),0)</f>
        <v>0</v>
      </c>
      <c r="I331" s="2642">
        <f ca="1">IFERROR(IF(AND(H249&lt;(H241*50%),H247&gt;0),MIN(H247*10%,(H241*50%)-H249),0),0)</f>
        <v>0</v>
      </c>
      <c r="J331" s="2642">
        <f t="shared" ref="J331:W331" ca="1" si="319">IFERROR(IF(AND(I249&lt;(I241*50%),I247&gt;0),MIN(I247*10%,(I241*50%)-I249),0),0)</f>
        <v>0</v>
      </c>
      <c r="K331" s="2642">
        <f t="shared" ca="1" si="319"/>
        <v>0</v>
      </c>
      <c r="L331" s="2642">
        <f t="shared" ca="1" si="319"/>
        <v>0</v>
      </c>
      <c r="M331" s="2642">
        <f t="shared" ca="1" si="319"/>
        <v>0</v>
      </c>
      <c r="N331" s="2642">
        <f t="shared" ca="1" si="319"/>
        <v>0</v>
      </c>
      <c r="O331" s="2642">
        <f t="shared" ca="1" si="319"/>
        <v>0</v>
      </c>
      <c r="P331" s="2642">
        <f t="shared" ca="1" si="319"/>
        <v>0</v>
      </c>
      <c r="Q331" s="2642">
        <f t="shared" ca="1" si="319"/>
        <v>0</v>
      </c>
      <c r="R331" s="2642">
        <f t="shared" ca="1" si="319"/>
        <v>0</v>
      </c>
      <c r="S331" s="2642">
        <f t="shared" ca="1" si="319"/>
        <v>0</v>
      </c>
      <c r="T331" s="2642">
        <f t="shared" ca="1" si="319"/>
        <v>0</v>
      </c>
      <c r="U331" s="2642">
        <f t="shared" ca="1" si="319"/>
        <v>0</v>
      </c>
      <c r="V331" s="2642">
        <f t="shared" ca="1" si="319"/>
        <v>0</v>
      </c>
      <c r="W331" s="2642">
        <f t="shared" ca="1" si="319"/>
        <v>0</v>
      </c>
    </row>
    <row r="332" spans="1:23" x14ac:dyDescent="0.2">
      <c r="A332" s="2426">
        <v>331</v>
      </c>
      <c r="B332" s="2745"/>
      <c r="C332" s="2653"/>
      <c r="D332" s="2653"/>
      <c r="E332" s="2653"/>
      <c r="F332" s="2653"/>
      <c r="G332" s="2653"/>
      <c r="H332" s="2653"/>
      <c r="I332" s="2653"/>
      <c r="J332" s="2653"/>
      <c r="K332" s="2653"/>
      <c r="L332" s="2653"/>
      <c r="M332" s="2653"/>
      <c r="N332" s="2653"/>
      <c r="O332" s="2653"/>
      <c r="P332" s="2653"/>
      <c r="Q332" s="2653"/>
      <c r="R332" s="2653"/>
      <c r="S332" s="2653"/>
      <c r="T332" s="2653"/>
      <c r="U332" s="2653"/>
      <c r="V332" s="2653"/>
      <c r="W332" s="2653"/>
    </row>
    <row r="333" spans="1:23" x14ac:dyDescent="0.2">
      <c r="A333" s="2426">
        <v>332</v>
      </c>
      <c r="B333" s="2731" t="s">
        <v>313</v>
      </c>
      <c r="C333" s="2710">
        <f t="shared" ref="C333:H333" si="320">C223</f>
        <v>0</v>
      </c>
      <c r="D333" s="2710">
        <f t="shared" si="320"/>
        <v>0</v>
      </c>
      <c r="E333" s="2710">
        <f t="shared" si="320"/>
        <v>0</v>
      </c>
      <c r="F333" s="2710">
        <f t="shared" si="320"/>
        <v>0</v>
      </c>
      <c r="G333" s="2710">
        <f t="shared" si="320"/>
        <v>0</v>
      </c>
      <c r="H333" s="2710">
        <f t="shared" si="320"/>
        <v>0</v>
      </c>
      <c r="I333" s="2710">
        <f t="shared" ref="I333:W333" si="321">I223</f>
        <v>0</v>
      </c>
      <c r="J333" s="2710">
        <f t="shared" si="321"/>
        <v>0</v>
      </c>
      <c r="K333" s="2710">
        <f t="shared" si="321"/>
        <v>0</v>
      </c>
      <c r="L333" s="2710">
        <f t="shared" si="321"/>
        <v>0</v>
      </c>
      <c r="M333" s="2710">
        <f t="shared" si="321"/>
        <v>0</v>
      </c>
      <c r="N333" s="2710">
        <f t="shared" si="321"/>
        <v>0</v>
      </c>
      <c r="O333" s="2710">
        <f t="shared" si="321"/>
        <v>0</v>
      </c>
      <c r="P333" s="2710">
        <f t="shared" si="321"/>
        <v>0</v>
      </c>
      <c r="Q333" s="2710">
        <f t="shared" si="321"/>
        <v>0</v>
      </c>
      <c r="R333" s="2710">
        <f t="shared" si="321"/>
        <v>0</v>
      </c>
      <c r="S333" s="2710">
        <f t="shared" si="321"/>
        <v>0</v>
      </c>
      <c r="T333" s="2710">
        <f t="shared" si="321"/>
        <v>0</v>
      </c>
      <c r="U333" s="2710">
        <f t="shared" si="321"/>
        <v>0</v>
      </c>
      <c r="V333" s="2710">
        <f t="shared" si="321"/>
        <v>0</v>
      </c>
      <c r="W333" s="2710">
        <f t="shared" si="321"/>
        <v>0</v>
      </c>
    </row>
    <row r="334" spans="1:23" x14ac:dyDescent="0.2">
      <c r="A334" s="2426">
        <v>333</v>
      </c>
      <c r="B334" s="2731" t="s">
        <v>471</v>
      </c>
      <c r="C334" s="2710">
        <f t="shared" ref="C334:H334" si="322">C245</f>
        <v>0</v>
      </c>
      <c r="D334" s="2710">
        <f t="shared" si="322"/>
        <v>0</v>
      </c>
      <c r="E334" s="2710">
        <f t="shared" si="322"/>
        <v>0</v>
      </c>
      <c r="F334" s="2710">
        <f t="shared" si="322"/>
        <v>0</v>
      </c>
      <c r="G334" s="2710">
        <f t="shared" si="322"/>
        <v>0</v>
      </c>
      <c r="H334" s="2710">
        <f t="shared" si="322"/>
        <v>0</v>
      </c>
      <c r="I334" s="2710">
        <f t="shared" ref="I334:W334" ca="1" si="323">I245</f>
        <v>0</v>
      </c>
      <c r="J334" s="2710">
        <f t="shared" ca="1" si="323"/>
        <v>0</v>
      </c>
      <c r="K334" s="2710">
        <f t="shared" ca="1" si="323"/>
        <v>0</v>
      </c>
      <c r="L334" s="2710">
        <f t="shared" ca="1" si="323"/>
        <v>0</v>
      </c>
      <c r="M334" s="2710">
        <f t="shared" ca="1" si="323"/>
        <v>0</v>
      </c>
      <c r="N334" s="2710">
        <f t="shared" ca="1" si="323"/>
        <v>0</v>
      </c>
      <c r="O334" s="2710">
        <f t="shared" ca="1" si="323"/>
        <v>0</v>
      </c>
      <c r="P334" s="2710">
        <f t="shared" ca="1" si="323"/>
        <v>0</v>
      </c>
      <c r="Q334" s="2710">
        <f t="shared" ca="1" si="323"/>
        <v>0</v>
      </c>
      <c r="R334" s="2710">
        <f t="shared" ca="1" si="323"/>
        <v>0</v>
      </c>
      <c r="S334" s="2710">
        <f t="shared" ca="1" si="323"/>
        <v>0</v>
      </c>
      <c r="T334" s="2710">
        <f t="shared" ca="1" si="323"/>
        <v>0</v>
      </c>
      <c r="U334" s="2710">
        <f t="shared" ca="1" si="323"/>
        <v>0</v>
      </c>
      <c r="V334" s="2710">
        <f t="shared" ca="1" si="323"/>
        <v>0</v>
      </c>
      <c r="W334" s="2710">
        <f t="shared" ca="1" si="323"/>
        <v>0</v>
      </c>
    </row>
    <row r="335" spans="1:23" x14ac:dyDescent="0.2">
      <c r="A335" s="2426">
        <v>334</v>
      </c>
      <c r="B335" s="2731" t="s">
        <v>472</v>
      </c>
      <c r="C335" s="2710">
        <f t="shared" ref="C335:H335" si="324">C247</f>
        <v>0</v>
      </c>
      <c r="D335" s="2710">
        <f t="shared" si="324"/>
        <v>0</v>
      </c>
      <c r="E335" s="2710">
        <f t="shared" si="324"/>
        <v>0</v>
      </c>
      <c r="F335" s="2710">
        <f t="shared" si="324"/>
        <v>0</v>
      </c>
      <c r="G335" s="2710">
        <f t="shared" si="324"/>
        <v>0</v>
      </c>
      <c r="H335" s="2710">
        <f t="shared" ca="1" si="324"/>
        <v>0</v>
      </c>
      <c r="I335" s="2710">
        <f t="shared" ref="I335:W335" ca="1" si="325">I247</f>
        <v>0</v>
      </c>
      <c r="J335" s="2710">
        <f t="shared" ca="1" si="325"/>
        <v>0</v>
      </c>
      <c r="K335" s="2710">
        <f t="shared" ca="1" si="325"/>
        <v>0</v>
      </c>
      <c r="L335" s="2710">
        <f t="shared" ca="1" si="325"/>
        <v>0</v>
      </c>
      <c r="M335" s="2710">
        <f t="shared" ca="1" si="325"/>
        <v>0</v>
      </c>
      <c r="N335" s="2710">
        <f t="shared" ca="1" si="325"/>
        <v>0</v>
      </c>
      <c r="O335" s="2710">
        <f t="shared" ca="1" si="325"/>
        <v>0</v>
      </c>
      <c r="P335" s="2710">
        <f t="shared" ca="1" si="325"/>
        <v>0</v>
      </c>
      <c r="Q335" s="2710">
        <f t="shared" ca="1" si="325"/>
        <v>0</v>
      </c>
      <c r="R335" s="2710">
        <f t="shared" ca="1" si="325"/>
        <v>0</v>
      </c>
      <c r="S335" s="2710">
        <f t="shared" ca="1" si="325"/>
        <v>0</v>
      </c>
      <c r="T335" s="2710">
        <f t="shared" ca="1" si="325"/>
        <v>0</v>
      </c>
      <c r="U335" s="2710">
        <f t="shared" ca="1" si="325"/>
        <v>0</v>
      </c>
      <c r="V335" s="2710">
        <f t="shared" ca="1" si="325"/>
        <v>0</v>
      </c>
      <c r="W335" s="2710">
        <f t="shared" ca="1" si="325"/>
        <v>0</v>
      </c>
    </row>
    <row r="336" spans="1:23" x14ac:dyDescent="0.2">
      <c r="A336" s="2426">
        <v>335</v>
      </c>
      <c r="B336" s="2731" t="s">
        <v>473</v>
      </c>
      <c r="C336" s="2710">
        <f t="shared" ref="C336:H336" si="326">C249</f>
        <v>0</v>
      </c>
      <c r="D336" s="2710">
        <f t="shared" si="326"/>
        <v>0</v>
      </c>
      <c r="E336" s="2710">
        <f t="shared" si="326"/>
        <v>0</v>
      </c>
      <c r="F336" s="2710">
        <f t="shared" si="326"/>
        <v>0</v>
      </c>
      <c r="G336" s="2710">
        <f t="shared" si="326"/>
        <v>0</v>
      </c>
      <c r="H336" s="2710">
        <f t="shared" ca="1" si="326"/>
        <v>0</v>
      </c>
      <c r="I336" s="2710">
        <f t="shared" ref="I336:W336" ca="1" si="327">I249</f>
        <v>0</v>
      </c>
      <c r="J336" s="2710">
        <f t="shared" ca="1" si="327"/>
        <v>0</v>
      </c>
      <c r="K336" s="2710">
        <f t="shared" ca="1" si="327"/>
        <v>0</v>
      </c>
      <c r="L336" s="2710">
        <f t="shared" ca="1" si="327"/>
        <v>0</v>
      </c>
      <c r="M336" s="2710">
        <f t="shared" ca="1" si="327"/>
        <v>0</v>
      </c>
      <c r="N336" s="2710">
        <f t="shared" ca="1" si="327"/>
        <v>0</v>
      </c>
      <c r="O336" s="2710">
        <f t="shared" ca="1" si="327"/>
        <v>0</v>
      </c>
      <c r="P336" s="2710">
        <f t="shared" ca="1" si="327"/>
        <v>0</v>
      </c>
      <c r="Q336" s="2710">
        <f t="shared" ca="1" si="327"/>
        <v>0</v>
      </c>
      <c r="R336" s="2710">
        <f t="shared" ca="1" si="327"/>
        <v>0</v>
      </c>
      <c r="S336" s="2710">
        <f t="shared" ca="1" si="327"/>
        <v>0</v>
      </c>
      <c r="T336" s="2710">
        <f t="shared" ca="1" si="327"/>
        <v>0</v>
      </c>
      <c r="U336" s="2710">
        <f t="shared" ca="1" si="327"/>
        <v>0</v>
      </c>
      <c r="V336" s="2710">
        <f t="shared" ca="1" si="327"/>
        <v>0</v>
      </c>
      <c r="W336" s="2710">
        <f t="shared" ca="1" si="327"/>
        <v>0</v>
      </c>
    </row>
    <row r="337" spans="1:23" x14ac:dyDescent="0.2">
      <c r="A337" s="2426">
        <v>336</v>
      </c>
      <c r="B337" s="2741" t="s">
        <v>474</v>
      </c>
      <c r="C337" s="2742"/>
      <c r="D337" s="2742">
        <f ca="1">-(D336+D334)+(OFFSET(inicio,336-ROW(inicio),D5003)+OFFSET(inicio,334-ROW(inicio),D5003)+OFFSET(inicio,335-ROW(inicio),D5003))+(OFFSET(inicio,333-ROW(inicio),D5003)-D333)-D328</f>
        <v>0</v>
      </c>
      <c r="E337" s="2742">
        <f ca="1">-(E336+E334)+(OFFSET(inicio,336-ROW(inicio),E5003)+OFFSET(inicio,334-ROW(inicio),E5003)+OFFSET(inicio,335-ROW(inicio),E5003))+(OFFSET(inicio,333-ROW(inicio),E5003)-E333)-E328</f>
        <v>0</v>
      </c>
      <c r="F337" s="2742">
        <f ca="1">-(F336+F334)+(OFFSET(inicio,336-ROW(inicio),F5003)+OFFSET(inicio,334-ROW(inicio),F5003)+OFFSET(inicio,335-ROW(inicio),F5003))+(OFFSET(inicio,333-ROW(inicio),F5003)-F333)-F328</f>
        <v>0</v>
      </c>
      <c r="G337" s="2742">
        <f ca="1">-(G336+G334)+(OFFSET(inicio,336-ROW(inicio),G5003)+OFFSET(inicio,334-ROW(inicio),G5003)+OFFSET(inicio,335-ROW(inicio),G5003))+(OFFSET(inicio,333-ROW(inicio),G5003)-G333)-G328</f>
        <v>0</v>
      </c>
      <c r="H337" s="2742">
        <f ca="1">-(H336+H334)+(OFFSET(inicio,336-ROW(inicio),H5003)+OFFSET(inicio,334-ROW(inicio),H5003)+OFFSET(inicio,335-ROW(inicio),H5003))+(OFFSET(inicio,333-ROW(inicio),H5003)-H333)-H328</f>
        <v>0</v>
      </c>
      <c r="I337" s="2742">
        <f t="shared" ref="I337:W337" ca="1" si="328">-(I336+I334)+(H336+H334+H335)+(H333-I333)-I328</f>
        <v>0</v>
      </c>
      <c r="J337" s="2742">
        <f t="shared" ca="1" si="328"/>
        <v>0</v>
      </c>
      <c r="K337" s="2742">
        <f t="shared" ca="1" si="328"/>
        <v>0</v>
      </c>
      <c r="L337" s="2742">
        <f t="shared" ca="1" si="328"/>
        <v>0</v>
      </c>
      <c r="M337" s="2742">
        <f t="shared" ca="1" si="328"/>
        <v>0</v>
      </c>
      <c r="N337" s="2742">
        <f t="shared" ca="1" si="328"/>
        <v>0</v>
      </c>
      <c r="O337" s="2742">
        <f t="shared" ca="1" si="328"/>
        <v>0</v>
      </c>
      <c r="P337" s="2742">
        <f t="shared" ca="1" si="328"/>
        <v>0</v>
      </c>
      <c r="Q337" s="2742">
        <f t="shared" ca="1" si="328"/>
        <v>0</v>
      </c>
      <c r="R337" s="2742">
        <f t="shared" ca="1" si="328"/>
        <v>0</v>
      </c>
      <c r="S337" s="2742">
        <f t="shared" ca="1" si="328"/>
        <v>0</v>
      </c>
      <c r="T337" s="2742">
        <f t="shared" ca="1" si="328"/>
        <v>0</v>
      </c>
      <c r="U337" s="2742">
        <f t="shared" ca="1" si="328"/>
        <v>0</v>
      </c>
      <c r="V337" s="2742">
        <f t="shared" ca="1" si="328"/>
        <v>0</v>
      </c>
      <c r="W337" s="2742">
        <f t="shared" ca="1" si="328"/>
        <v>0</v>
      </c>
    </row>
    <row r="338" spans="1:23" x14ac:dyDescent="0.2">
      <c r="A338" s="2426">
        <v>337</v>
      </c>
    </row>
    <row r="339" spans="1:23" x14ac:dyDescent="0.2">
      <c r="A339" s="2426">
        <v>338</v>
      </c>
      <c r="B339" s="2740" t="s">
        <v>700</v>
      </c>
      <c r="C339" s="2740"/>
      <c r="D339" s="2740"/>
      <c r="E339" s="2740"/>
      <c r="F339" s="2740"/>
      <c r="G339" s="2740"/>
      <c r="H339" s="2740"/>
      <c r="I339" s="2740"/>
      <c r="J339" s="2740"/>
      <c r="K339" s="2740"/>
      <c r="L339" s="2740"/>
      <c r="M339" s="2740"/>
      <c r="N339" s="2740"/>
      <c r="O339" s="2740"/>
      <c r="P339" s="2740"/>
      <c r="Q339" s="2740"/>
      <c r="R339" s="2740"/>
      <c r="S339" s="2740"/>
      <c r="T339" s="2740"/>
      <c r="U339" s="2740"/>
      <c r="V339" s="2740"/>
      <c r="W339" s="2740"/>
    </row>
    <row r="340" spans="1:23" x14ac:dyDescent="0.2">
      <c r="A340" s="2426">
        <v>339</v>
      </c>
      <c r="B340" s="2731" t="s">
        <v>565</v>
      </c>
      <c r="C340" s="2710"/>
      <c r="D340" s="2710">
        <f ca="1">D200-OFFSET(inicio,200-ROW(inicio),D5003)</f>
        <v>0</v>
      </c>
      <c r="E340" s="2710">
        <f ca="1">E200-OFFSET(inicio,200-ROW(inicio),E5003)</f>
        <v>0</v>
      </c>
      <c r="F340" s="2710">
        <f ca="1">F200-OFFSET(inicio,200-ROW(inicio),F5003)</f>
        <v>0</v>
      </c>
      <c r="G340" s="2710">
        <f ca="1">G200-OFFSET(inicio,200-ROW(inicio),G5003)</f>
        <v>0</v>
      </c>
      <c r="H340" s="2710">
        <f ca="1">H200-OFFSET(inicio,200-ROW(inicio),H5003)</f>
        <v>0</v>
      </c>
      <c r="I340" s="2710">
        <f ca="1">I200-H200</f>
        <v>0</v>
      </c>
      <c r="J340" s="2710">
        <f t="shared" ref="J340:W340" ca="1" si="329">J200-I200</f>
        <v>0</v>
      </c>
      <c r="K340" s="2710">
        <f t="shared" ca="1" si="329"/>
        <v>0</v>
      </c>
      <c r="L340" s="2710">
        <f t="shared" ca="1" si="329"/>
        <v>0</v>
      </c>
      <c r="M340" s="2710">
        <f t="shared" ca="1" si="329"/>
        <v>0</v>
      </c>
      <c r="N340" s="2710">
        <f t="shared" ca="1" si="329"/>
        <v>0</v>
      </c>
      <c r="O340" s="2710">
        <f t="shared" ca="1" si="329"/>
        <v>0</v>
      </c>
      <c r="P340" s="2710">
        <f t="shared" ca="1" si="329"/>
        <v>0</v>
      </c>
      <c r="Q340" s="2710">
        <f t="shared" ca="1" si="329"/>
        <v>0</v>
      </c>
      <c r="R340" s="2710">
        <f t="shared" ca="1" si="329"/>
        <v>0</v>
      </c>
      <c r="S340" s="2710">
        <f t="shared" ca="1" si="329"/>
        <v>0</v>
      </c>
      <c r="T340" s="2710">
        <f t="shared" ca="1" si="329"/>
        <v>0</v>
      </c>
      <c r="U340" s="2710">
        <f t="shared" ca="1" si="329"/>
        <v>0</v>
      </c>
      <c r="V340" s="2710">
        <f t="shared" ca="1" si="329"/>
        <v>0</v>
      </c>
      <c r="W340" s="2710">
        <f t="shared" ca="1" si="329"/>
        <v>0</v>
      </c>
    </row>
    <row r="341" spans="1:23" hidden="1" x14ac:dyDescent="0.2">
      <c r="A341" s="2426">
        <v>340</v>
      </c>
      <c r="B341" s="2731" t="s">
        <v>706</v>
      </c>
      <c r="C341" s="2710"/>
      <c r="D341" s="2710">
        <f>-D134</f>
        <v>0</v>
      </c>
      <c r="E341" s="2710">
        <f>-E134</f>
        <v>0</v>
      </c>
      <c r="F341" s="2710">
        <f>-F134</f>
        <v>0</v>
      </c>
      <c r="G341" s="2710">
        <f>-G134</f>
        <v>0</v>
      </c>
      <c r="H341" s="2710">
        <f ca="1">OFFSET(inicio,197-ROW(inicio),H5003)-H197</f>
        <v>0</v>
      </c>
      <c r="I341" s="2710">
        <f>H197-I197</f>
        <v>0</v>
      </c>
      <c r="J341" s="2710">
        <f t="shared" ref="J341:W341" si="330">I197-J197</f>
        <v>0</v>
      </c>
      <c r="K341" s="2710">
        <f t="shared" si="330"/>
        <v>0</v>
      </c>
      <c r="L341" s="2710">
        <f t="shared" si="330"/>
        <v>0</v>
      </c>
      <c r="M341" s="2710">
        <f t="shared" si="330"/>
        <v>0</v>
      </c>
      <c r="N341" s="2710">
        <f t="shared" si="330"/>
        <v>0</v>
      </c>
      <c r="O341" s="2710">
        <f t="shared" si="330"/>
        <v>0</v>
      </c>
      <c r="P341" s="2710">
        <f t="shared" si="330"/>
        <v>0</v>
      </c>
      <c r="Q341" s="2710">
        <f t="shared" si="330"/>
        <v>0</v>
      </c>
      <c r="R341" s="2710">
        <f t="shared" si="330"/>
        <v>0</v>
      </c>
      <c r="S341" s="2710">
        <f t="shared" si="330"/>
        <v>0</v>
      </c>
      <c r="T341" s="2710">
        <f t="shared" si="330"/>
        <v>0</v>
      </c>
      <c r="U341" s="2710">
        <f t="shared" si="330"/>
        <v>0</v>
      </c>
      <c r="V341" s="2710">
        <f t="shared" si="330"/>
        <v>0</v>
      </c>
      <c r="W341" s="2710">
        <f t="shared" si="330"/>
        <v>0</v>
      </c>
    </row>
    <row r="342" spans="1:23" hidden="1" x14ac:dyDescent="0.2">
      <c r="A342" s="2426">
        <v>341</v>
      </c>
      <c r="B342" s="2731" t="s">
        <v>566</v>
      </c>
      <c r="C342" s="2710"/>
      <c r="D342" s="2710">
        <f>D139</f>
        <v>0</v>
      </c>
      <c r="E342" s="2710">
        <f>E139</f>
        <v>0</v>
      </c>
      <c r="F342" s="2710">
        <f>F139</f>
        <v>0</v>
      </c>
      <c r="G342" s="2710">
        <f>G139</f>
        <v>0</v>
      </c>
      <c r="H342" s="2710">
        <f ca="1">OFFSET(inicio,199-ROW(inicio),H5003)-H199</f>
        <v>0</v>
      </c>
      <c r="I342" s="2710">
        <f>H199-I199</f>
        <v>0</v>
      </c>
      <c r="J342" s="2710">
        <f t="shared" ref="J342:W342" si="331">I199-J199</f>
        <v>0</v>
      </c>
      <c r="K342" s="2710">
        <f t="shared" si="331"/>
        <v>0</v>
      </c>
      <c r="L342" s="2710">
        <f t="shared" si="331"/>
        <v>0</v>
      </c>
      <c r="M342" s="2710">
        <f t="shared" si="331"/>
        <v>0</v>
      </c>
      <c r="N342" s="2710">
        <f t="shared" si="331"/>
        <v>0</v>
      </c>
      <c r="O342" s="2710">
        <f t="shared" si="331"/>
        <v>0</v>
      </c>
      <c r="P342" s="2710">
        <f t="shared" si="331"/>
        <v>0</v>
      </c>
      <c r="Q342" s="2710">
        <f t="shared" si="331"/>
        <v>0</v>
      </c>
      <c r="R342" s="2710">
        <f t="shared" si="331"/>
        <v>0</v>
      </c>
      <c r="S342" s="2710">
        <f t="shared" si="331"/>
        <v>0</v>
      </c>
      <c r="T342" s="2710">
        <f t="shared" si="331"/>
        <v>0</v>
      </c>
      <c r="U342" s="2710">
        <f t="shared" si="331"/>
        <v>0</v>
      </c>
      <c r="V342" s="2710">
        <f t="shared" si="331"/>
        <v>0</v>
      </c>
      <c r="W342" s="2710">
        <f t="shared" si="331"/>
        <v>0</v>
      </c>
    </row>
    <row r="343" spans="1:23" x14ac:dyDescent="0.2">
      <c r="A343" s="2426">
        <v>342</v>
      </c>
      <c r="B343" s="2731" t="s">
        <v>567</v>
      </c>
      <c r="C343" s="2710"/>
      <c r="D343" s="2710">
        <f>D116</f>
        <v>0</v>
      </c>
      <c r="E343" s="2710">
        <f>E116</f>
        <v>0</v>
      </c>
      <c r="F343" s="2710">
        <f>F116</f>
        <v>0</v>
      </c>
      <c r="G343" s="2710">
        <f>G116</f>
        <v>0</v>
      </c>
      <c r="H343" s="2710">
        <f>H116</f>
        <v>0</v>
      </c>
      <c r="I343" s="2710">
        <f t="shared" ref="I343:W343" si="332">I116</f>
        <v>0</v>
      </c>
      <c r="J343" s="2710">
        <f t="shared" si="332"/>
        <v>0</v>
      </c>
      <c r="K343" s="2710">
        <f t="shared" si="332"/>
        <v>0</v>
      </c>
      <c r="L343" s="2710">
        <f t="shared" si="332"/>
        <v>0</v>
      </c>
      <c r="M343" s="2710">
        <f t="shared" si="332"/>
        <v>0</v>
      </c>
      <c r="N343" s="2710">
        <f t="shared" si="332"/>
        <v>0</v>
      </c>
      <c r="O343" s="2710">
        <f t="shared" si="332"/>
        <v>0</v>
      </c>
      <c r="P343" s="2710">
        <f t="shared" si="332"/>
        <v>0</v>
      </c>
      <c r="Q343" s="2710">
        <f t="shared" si="332"/>
        <v>0</v>
      </c>
      <c r="R343" s="2710">
        <f t="shared" si="332"/>
        <v>0</v>
      </c>
      <c r="S343" s="2710">
        <f t="shared" si="332"/>
        <v>0</v>
      </c>
      <c r="T343" s="2710">
        <f t="shared" si="332"/>
        <v>0</v>
      </c>
      <c r="U343" s="2710">
        <f t="shared" si="332"/>
        <v>0</v>
      </c>
      <c r="V343" s="2710">
        <f t="shared" si="332"/>
        <v>0</v>
      </c>
      <c r="W343" s="2710">
        <f t="shared" si="332"/>
        <v>0</v>
      </c>
    </row>
    <row r="344" spans="1:23" x14ac:dyDescent="0.2">
      <c r="A344" s="2426">
        <v>343</v>
      </c>
      <c r="B344" s="2731" t="s">
        <v>568</v>
      </c>
      <c r="C344" s="2710"/>
      <c r="D344" s="2710">
        <f ca="1">-SUM(D340:D343)-D345</f>
        <v>0</v>
      </c>
      <c r="E344" s="2710">
        <f ca="1">-SUM(E340:E343)-E345</f>
        <v>0</v>
      </c>
      <c r="F344" s="2710">
        <f ca="1">-SUM(F340:F343)-F345</f>
        <v>0</v>
      </c>
      <c r="G344" s="2710">
        <f ca="1">-SUM(G340:G343)-G345</f>
        <v>0</v>
      </c>
      <c r="H344" s="2710"/>
      <c r="I344" s="2710"/>
      <c r="J344" s="2710"/>
      <c r="K344" s="2710"/>
      <c r="L344" s="2710"/>
      <c r="M344" s="2710"/>
      <c r="N344" s="2710"/>
      <c r="O344" s="2710"/>
      <c r="P344" s="2710"/>
      <c r="Q344" s="2710"/>
      <c r="R344" s="2710"/>
      <c r="S344" s="2710"/>
      <c r="T344" s="2710"/>
      <c r="U344" s="2710"/>
      <c r="V344" s="2710"/>
      <c r="W344" s="2710"/>
    </row>
    <row r="345" spans="1:23" x14ac:dyDescent="0.2">
      <c r="A345" s="2426">
        <v>344</v>
      </c>
      <c r="B345" s="2731" t="s">
        <v>560</v>
      </c>
      <c r="C345" s="2710"/>
      <c r="D345" s="2710"/>
      <c r="E345" s="2710"/>
      <c r="F345" s="2710"/>
      <c r="G345" s="2710"/>
      <c r="H345" s="2710">
        <f>SUM(H346:H348)</f>
        <v>0</v>
      </c>
      <c r="I345" s="2710">
        <f t="shared" ref="I345:W345" si="333">SUM(I346:I348)</f>
        <v>0</v>
      </c>
      <c r="J345" s="2710">
        <f t="shared" si="333"/>
        <v>0</v>
      </c>
      <c r="K345" s="2710">
        <f t="shared" si="333"/>
        <v>0</v>
      </c>
      <c r="L345" s="2710">
        <f t="shared" si="333"/>
        <v>0</v>
      </c>
      <c r="M345" s="2710">
        <f t="shared" si="333"/>
        <v>0</v>
      </c>
      <c r="N345" s="2710">
        <f t="shared" si="333"/>
        <v>0</v>
      </c>
      <c r="O345" s="2710">
        <f t="shared" si="333"/>
        <v>0</v>
      </c>
      <c r="P345" s="2710">
        <f t="shared" si="333"/>
        <v>0</v>
      </c>
      <c r="Q345" s="2710">
        <f t="shared" si="333"/>
        <v>0</v>
      </c>
      <c r="R345" s="2710">
        <f t="shared" si="333"/>
        <v>0</v>
      </c>
      <c r="S345" s="2710">
        <f t="shared" si="333"/>
        <v>0</v>
      </c>
      <c r="T345" s="2710">
        <f t="shared" si="333"/>
        <v>0</v>
      </c>
      <c r="U345" s="2710">
        <f t="shared" si="333"/>
        <v>0</v>
      </c>
      <c r="V345" s="2710">
        <f t="shared" si="333"/>
        <v>0</v>
      </c>
      <c r="W345" s="2710">
        <f t="shared" si="333"/>
        <v>0</v>
      </c>
    </row>
    <row r="346" spans="1:23" x14ac:dyDescent="0.2">
      <c r="A346" s="2426">
        <v>345</v>
      </c>
      <c r="B346" s="2746" t="s">
        <v>290</v>
      </c>
      <c r="C346" s="2710"/>
      <c r="D346" s="2710"/>
      <c r="E346" s="2710"/>
      <c r="F346" s="2710"/>
      <c r="G346" s="2710"/>
      <c r="H346" s="2720"/>
      <c r="I346" s="2720"/>
      <c r="J346" s="2720"/>
      <c r="K346" s="2720"/>
      <c r="L346" s="2720"/>
      <c r="M346" s="2720"/>
      <c r="N346" s="2720"/>
      <c r="O346" s="2720"/>
      <c r="P346" s="2720"/>
      <c r="Q346" s="2720"/>
      <c r="R346" s="2720"/>
      <c r="S346" s="2720"/>
      <c r="T346" s="2720"/>
      <c r="U346" s="2720"/>
      <c r="V346" s="2720"/>
      <c r="W346" s="2720"/>
    </row>
    <row r="347" spans="1:23" x14ac:dyDescent="0.2">
      <c r="A347" s="2426">
        <v>346</v>
      </c>
      <c r="B347" s="2746" t="s">
        <v>291</v>
      </c>
      <c r="C347" s="2710"/>
      <c r="D347" s="2710"/>
      <c r="E347" s="2710"/>
      <c r="F347" s="2710"/>
      <c r="G347" s="2710"/>
      <c r="H347" s="2720"/>
      <c r="I347" s="2720"/>
      <c r="J347" s="2720"/>
      <c r="K347" s="2720"/>
      <c r="L347" s="2720"/>
      <c r="M347" s="2720"/>
      <c r="N347" s="2720"/>
      <c r="O347" s="2720"/>
      <c r="P347" s="2720"/>
      <c r="Q347" s="2720"/>
      <c r="R347" s="2720"/>
      <c r="S347" s="2720"/>
      <c r="T347" s="2720"/>
      <c r="U347" s="2720"/>
      <c r="V347" s="2720"/>
      <c r="W347" s="2720"/>
    </row>
    <row r="348" spans="1:23" x14ac:dyDescent="0.2">
      <c r="A348" s="2426">
        <v>347</v>
      </c>
      <c r="B348" s="2746" t="s">
        <v>292</v>
      </c>
      <c r="C348" s="2710"/>
      <c r="D348" s="2710"/>
      <c r="E348" s="2710"/>
      <c r="F348" s="2710"/>
      <c r="G348" s="2710"/>
      <c r="H348" s="2766">
        <f>IFERROR(-'Bases Proy'!F80,0)</f>
        <v>0</v>
      </c>
      <c r="I348" s="2766">
        <f>IFERROR(-'Bases Proy'!G80,0)</f>
        <v>0</v>
      </c>
      <c r="J348" s="2766">
        <f>IFERROR(-'Bases Proy'!H80,0)</f>
        <v>0</v>
      </c>
      <c r="K348" s="2766">
        <f>IFERROR(-'Bases Proy'!I80,0)</f>
        <v>0</v>
      </c>
      <c r="L348" s="2766">
        <f>IFERROR(-'Bases Proy'!J80,0)</f>
        <v>0</v>
      </c>
      <c r="M348" s="2766">
        <f>IFERROR(-'Bases Proy'!K80,0)</f>
        <v>0</v>
      </c>
      <c r="N348" s="2766">
        <f>IFERROR(-'Bases Proy'!L80,0)</f>
        <v>0</v>
      </c>
      <c r="O348" s="2766">
        <f>IFERROR(-'Bases Proy'!M80,0)</f>
        <v>0</v>
      </c>
      <c r="P348" s="2766">
        <f>IFERROR(-'Bases Proy'!N80,0)</f>
        <v>0</v>
      </c>
      <c r="Q348" s="2766">
        <f>IFERROR(-'Bases Proy'!O80,0)</f>
        <v>0</v>
      </c>
      <c r="R348" s="2766">
        <f>IFERROR(-'Bases Proy'!P80,0)</f>
        <v>0</v>
      </c>
      <c r="S348" s="2766">
        <f>IFERROR(-'Bases Proy'!Q80,0)</f>
        <v>0</v>
      </c>
      <c r="T348" s="2766">
        <f>IFERROR(-'Bases Proy'!R80,0)</f>
        <v>0</v>
      </c>
      <c r="U348" s="2766">
        <f>IFERROR(-'Bases Proy'!S80,0)</f>
        <v>0</v>
      </c>
      <c r="V348" s="2766">
        <f>IFERROR(-'Bases Proy'!T80,0)</f>
        <v>0</v>
      </c>
      <c r="W348" s="2766">
        <f>IFERROR(-'Bases Proy'!U80,0)</f>
        <v>0</v>
      </c>
    </row>
    <row r="349" spans="1:23" x14ac:dyDescent="0.2">
      <c r="A349" s="2426">
        <v>348</v>
      </c>
      <c r="B349" s="2741" t="s">
        <v>569</v>
      </c>
      <c r="C349" s="2742"/>
      <c r="D349" s="2742">
        <f ca="1">SUM(D340:D345)</f>
        <v>0</v>
      </c>
      <c r="E349" s="2742">
        <f ca="1">SUM(E340:E345)</f>
        <v>0</v>
      </c>
      <c r="F349" s="2742">
        <f ca="1">SUM(F340:F345)</f>
        <v>0</v>
      </c>
      <c r="G349" s="2742">
        <f ca="1">SUM(G340:G345)</f>
        <v>0</v>
      </c>
      <c r="H349" s="2742">
        <f ca="1">SUM(H340:H345)</f>
        <v>0</v>
      </c>
      <c r="I349" s="2742">
        <f t="shared" ref="I349:W349" ca="1" si="334">SUM(I340:I345)</f>
        <v>0</v>
      </c>
      <c r="J349" s="2742">
        <f t="shared" ca="1" si="334"/>
        <v>0</v>
      </c>
      <c r="K349" s="2742">
        <f t="shared" ca="1" si="334"/>
        <v>0</v>
      </c>
      <c r="L349" s="2742">
        <f t="shared" ca="1" si="334"/>
        <v>0</v>
      </c>
      <c r="M349" s="2742">
        <f t="shared" ca="1" si="334"/>
        <v>0</v>
      </c>
      <c r="N349" s="2742">
        <f t="shared" ca="1" si="334"/>
        <v>0</v>
      </c>
      <c r="O349" s="2742">
        <f t="shared" ca="1" si="334"/>
        <v>0</v>
      </c>
      <c r="P349" s="2742">
        <f t="shared" ca="1" si="334"/>
        <v>0</v>
      </c>
      <c r="Q349" s="2742">
        <f t="shared" ca="1" si="334"/>
        <v>0</v>
      </c>
      <c r="R349" s="2742">
        <f t="shared" ca="1" si="334"/>
        <v>0</v>
      </c>
      <c r="S349" s="2742">
        <f t="shared" ca="1" si="334"/>
        <v>0</v>
      </c>
      <c r="T349" s="2742">
        <f t="shared" ca="1" si="334"/>
        <v>0</v>
      </c>
      <c r="U349" s="2742">
        <f t="shared" ca="1" si="334"/>
        <v>0</v>
      </c>
      <c r="V349" s="2742">
        <f t="shared" ca="1" si="334"/>
        <v>0</v>
      </c>
      <c r="W349" s="2742">
        <f t="shared" ca="1" si="334"/>
        <v>0</v>
      </c>
    </row>
    <row r="350" spans="1:23" x14ac:dyDescent="0.2">
      <c r="A350" s="2426">
        <v>349</v>
      </c>
      <c r="B350" s="2732" t="s">
        <v>55</v>
      </c>
      <c r="C350" s="2710"/>
      <c r="D350" s="2644">
        <f>IF(D77=0,0,-D344/D77)</f>
        <v>0</v>
      </c>
      <c r="E350" s="2644">
        <f>IF(E77=0,0,-E344/E77)</f>
        <v>0</v>
      </c>
      <c r="F350" s="2644">
        <f>IF(F77=0,0,-F344/F77)</f>
        <v>0</v>
      </c>
      <c r="G350" s="2644">
        <f>IF(G77=0,0,-G344/G77)</f>
        <v>0</v>
      </c>
      <c r="H350" s="2644">
        <f>IFERROR(H345/H77,0)</f>
        <v>0</v>
      </c>
      <c r="I350" s="2644">
        <f t="shared" ref="I350:W350" si="335">IFERROR(I345/I77,0)</f>
        <v>0</v>
      </c>
      <c r="J350" s="2644">
        <f t="shared" si="335"/>
        <v>0</v>
      </c>
      <c r="K350" s="2644">
        <f t="shared" si="335"/>
        <v>0</v>
      </c>
      <c r="L350" s="2644">
        <f t="shared" si="335"/>
        <v>0</v>
      </c>
      <c r="M350" s="2644">
        <f t="shared" si="335"/>
        <v>0</v>
      </c>
      <c r="N350" s="2644">
        <f t="shared" si="335"/>
        <v>0</v>
      </c>
      <c r="O350" s="2644">
        <f t="shared" si="335"/>
        <v>0</v>
      </c>
      <c r="P350" s="2644">
        <f t="shared" si="335"/>
        <v>0</v>
      </c>
      <c r="Q350" s="2644">
        <f t="shared" si="335"/>
        <v>0</v>
      </c>
      <c r="R350" s="2644">
        <f t="shared" si="335"/>
        <v>0</v>
      </c>
      <c r="S350" s="2644">
        <f t="shared" si="335"/>
        <v>0</v>
      </c>
      <c r="T350" s="2644">
        <f t="shared" si="335"/>
        <v>0</v>
      </c>
      <c r="U350" s="2644">
        <f t="shared" si="335"/>
        <v>0</v>
      </c>
      <c r="V350" s="2644">
        <f t="shared" si="335"/>
        <v>0</v>
      </c>
      <c r="W350" s="2644">
        <f t="shared" si="335"/>
        <v>0</v>
      </c>
    </row>
    <row r="351" spans="1:23" x14ac:dyDescent="0.2">
      <c r="A351" s="2426">
        <v>350</v>
      </c>
      <c r="B351" s="2732" t="s">
        <v>567</v>
      </c>
      <c r="C351" s="2710"/>
      <c r="D351" s="2710">
        <f>D116</f>
        <v>0</v>
      </c>
      <c r="E351" s="2710">
        <f>E116</f>
        <v>0</v>
      </c>
      <c r="F351" s="2710">
        <f>F116</f>
        <v>0</v>
      </c>
      <c r="G351" s="2710">
        <f>G116</f>
        <v>0</v>
      </c>
      <c r="H351" s="2766">
        <f>IFERROR('Bases Proy'!F61,0)</f>
        <v>0</v>
      </c>
      <c r="I351" s="2766">
        <f>IFERROR('Bases Proy'!G61,0)</f>
        <v>0</v>
      </c>
      <c r="J351" s="2766">
        <f>IFERROR('Bases Proy'!H61,0)</f>
        <v>0</v>
      </c>
      <c r="K351" s="2766">
        <f>IFERROR('Bases Proy'!I61,0)</f>
        <v>0</v>
      </c>
      <c r="L351" s="2766">
        <f>IFERROR('Bases Proy'!J61,0)</f>
        <v>0</v>
      </c>
      <c r="M351" s="2766">
        <f>IFERROR('Bases Proy'!K61,0)</f>
        <v>0</v>
      </c>
      <c r="N351" s="2766">
        <f>IFERROR('Bases Proy'!L61,0)</f>
        <v>0</v>
      </c>
      <c r="O351" s="2766">
        <f>IFERROR('Bases Proy'!M61,0)</f>
        <v>0</v>
      </c>
      <c r="P351" s="2766">
        <f>IFERROR('Bases Proy'!N61,0)</f>
        <v>0</v>
      </c>
      <c r="Q351" s="2766">
        <f>IFERROR('Bases Proy'!O61,0)</f>
        <v>0</v>
      </c>
      <c r="R351" s="2766">
        <f>IFERROR('Bases Proy'!P61,0)</f>
        <v>0</v>
      </c>
      <c r="S351" s="2766">
        <f>IFERROR('Bases Proy'!Q61,0)</f>
        <v>0</v>
      </c>
      <c r="T351" s="2766">
        <f>IFERROR('Bases Proy'!R61,0)</f>
        <v>0</v>
      </c>
      <c r="U351" s="2766">
        <f>IFERROR('Bases Proy'!S61,0)</f>
        <v>0</v>
      </c>
      <c r="V351" s="2766">
        <f>IFERROR('Bases Proy'!T61,0)</f>
        <v>0</v>
      </c>
      <c r="W351" s="2766">
        <f>IFERROR('Bases Proy'!U61,0)</f>
        <v>0</v>
      </c>
    </row>
    <row r="352" spans="1:23" x14ac:dyDescent="0.2">
      <c r="A352" s="2426">
        <v>351</v>
      </c>
      <c r="B352" s="2732" t="s">
        <v>56</v>
      </c>
      <c r="C352" s="2710"/>
      <c r="D352" s="2644">
        <f ca="1">IF((OFFSET(inicio,194-ROW(inicio),D5003)+OFFSET(inicio,195-ROW(inicio),D5003)+OFFSET(inicio,196-ROW(inicio),D5003)+OFFSET(inicio,197-ROW(inicio),D5003)+D194+D195+D196+D197)=0,0,D351/((OFFSET(inicio,194-ROW(inicio),D5003)+OFFSET(inicio,195-ROW(inicio),D5003)+OFFSET(inicio,196-ROW(inicio),D5003)+OFFSET(inicio,197-ROW(inicio),D5003)+D194+D195+D196+D197)/2))</f>
        <v>0</v>
      </c>
      <c r="E352" s="2644">
        <f ca="1">IF((OFFSET(inicio,194-ROW(inicio),E5003)+OFFSET(inicio,195-ROW(inicio),E5003)+OFFSET(inicio,196-ROW(inicio),E5003)+OFFSET(inicio,197-ROW(inicio),E5003)+E194+E195+E196+E197)=0,0,E351/((OFFSET(inicio,194-ROW(inicio),E5003)+OFFSET(inicio,195-ROW(inicio),E5003)+OFFSET(inicio,196-ROW(inicio),E5003)+OFFSET(inicio,197-ROW(inicio),E5003)+E194+E195+E196+E197)/2))</f>
        <v>0</v>
      </c>
      <c r="F352" s="2644">
        <f ca="1">IF((OFFSET(inicio,194-ROW(inicio),F5003)+OFFSET(inicio,195-ROW(inicio),F5003)+OFFSET(inicio,196-ROW(inicio),F5003)+OFFSET(inicio,197-ROW(inicio),F5003)+F194+F195+F196+F197)=0,0,((F351/MONTH(F1))*12)/((OFFSET(inicio,194-ROW(inicio),F5003)+OFFSET(inicio,195-ROW(inicio),F5003)+OFFSET(inicio,196-ROW(inicio),F5003)+OFFSET(inicio,197-ROW(inicio),F5003)+F194+F195+F196+F197)/2))</f>
        <v>0</v>
      </c>
      <c r="G352" s="2644" t="e">
        <f>((G351/MONTH(G1))*12)/((E194+E195+E196+E197+G194+G195+G196+G197)/2)</f>
        <v>#DIV/0!</v>
      </c>
      <c r="H352" s="2737">
        <v>0</v>
      </c>
      <c r="I352" s="2737">
        <f>+H352</f>
        <v>0</v>
      </c>
      <c r="J352" s="2737">
        <f t="shared" ref="J352:W352" si="336">I352</f>
        <v>0</v>
      </c>
      <c r="K352" s="2737">
        <f t="shared" si="336"/>
        <v>0</v>
      </c>
      <c r="L352" s="2737">
        <f t="shared" si="336"/>
        <v>0</v>
      </c>
      <c r="M352" s="2737">
        <f t="shared" si="336"/>
        <v>0</v>
      </c>
      <c r="N352" s="2737">
        <f t="shared" si="336"/>
        <v>0</v>
      </c>
      <c r="O352" s="2737">
        <f t="shared" si="336"/>
        <v>0</v>
      </c>
      <c r="P352" s="2737">
        <f t="shared" si="336"/>
        <v>0</v>
      </c>
      <c r="Q352" s="2737">
        <f t="shared" si="336"/>
        <v>0</v>
      </c>
      <c r="R352" s="2737">
        <f t="shared" si="336"/>
        <v>0</v>
      </c>
      <c r="S352" s="2737">
        <f t="shared" si="336"/>
        <v>0</v>
      </c>
      <c r="T352" s="2737">
        <f t="shared" si="336"/>
        <v>0</v>
      </c>
      <c r="U352" s="2737">
        <f t="shared" si="336"/>
        <v>0</v>
      </c>
      <c r="V352" s="2737">
        <f t="shared" si="336"/>
        <v>0</v>
      </c>
      <c r="W352" s="2737">
        <f t="shared" si="336"/>
        <v>0</v>
      </c>
    </row>
    <row r="353" spans="1:23" x14ac:dyDescent="0.2">
      <c r="A353" s="2426">
        <v>352</v>
      </c>
      <c r="B353" s="2427" t="s">
        <v>475</v>
      </c>
      <c r="C353" s="2747"/>
      <c r="D353" s="2747">
        <f ca="1">D344</f>
        <v>0</v>
      </c>
      <c r="E353" s="2747">
        <f ca="1">E344</f>
        <v>0</v>
      </c>
      <c r="F353" s="2747">
        <f ca="1">F344</f>
        <v>0</v>
      </c>
      <c r="G353" s="2747">
        <f ca="1">G344</f>
        <v>0</v>
      </c>
      <c r="H353" s="2747"/>
      <c r="I353" s="2747"/>
      <c r="J353" s="2747"/>
      <c r="K353" s="2747"/>
      <c r="L353" s="2747"/>
      <c r="M353" s="2747"/>
      <c r="N353" s="2747"/>
      <c r="O353" s="2747"/>
      <c r="P353" s="2747"/>
      <c r="Q353" s="2747"/>
      <c r="R353" s="2747"/>
      <c r="S353" s="2747"/>
      <c r="T353" s="2747"/>
      <c r="U353" s="2747"/>
      <c r="V353" s="2747"/>
      <c r="W353" s="2747"/>
    </row>
    <row r="354" spans="1:23" x14ac:dyDescent="0.2">
      <c r="A354" s="2426">
        <v>353</v>
      </c>
      <c r="C354" s="2651"/>
      <c r="D354" s="2651"/>
      <c r="E354" s="2651"/>
      <c r="F354" s="2651"/>
      <c r="G354" s="2651"/>
    </row>
    <row r="355" spans="1:23" x14ac:dyDescent="0.2">
      <c r="A355" s="2426">
        <v>354</v>
      </c>
      <c r="B355" s="2740" t="s">
        <v>478</v>
      </c>
      <c r="C355" s="2740"/>
      <c r="D355" s="2740"/>
      <c r="E355" s="2740"/>
      <c r="F355" s="2740"/>
      <c r="G355" s="2740"/>
      <c r="H355" s="2740"/>
      <c r="I355" s="2740"/>
      <c r="J355" s="2740"/>
      <c r="K355" s="2740"/>
      <c r="L355" s="2740"/>
      <c r="M355" s="2740"/>
      <c r="N355" s="2740"/>
      <c r="O355" s="2740"/>
      <c r="P355" s="2740"/>
      <c r="Q355" s="2740"/>
      <c r="R355" s="2740"/>
      <c r="S355" s="2740"/>
      <c r="T355" s="2740"/>
      <c r="U355" s="2740"/>
      <c r="V355" s="2740"/>
      <c r="W355" s="2740"/>
    </row>
    <row r="356" spans="1:23" x14ac:dyDescent="0.2">
      <c r="A356" s="2426">
        <v>355</v>
      </c>
      <c r="B356" s="2731" t="s">
        <v>65</v>
      </c>
      <c r="C356" s="2710"/>
      <c r="D356" s="2710"/>
      <c r="E356" s="2710"/>
      <c r="F356" s="2710"/>
      <c r="G356" s="2710"/>
      <c r="H356" s="2720"/>
      <c r="I356" s="2720"/>
      <c r="J356" s="2720"/>
      <c r="K356" s="2720"/>
      <c r="L356" s="2720"/>
      <c r="M356" s="2720"/>
      <c r="N356" s="2720"/>
      <c r="O356" s="2720"/>
      <c r="P356" s="2720"/>
      <c r="Q356" s="2720"/>
      <c r="R356" s="2720"/>
      <c r="S356" s="2720"/>
      <c r="T356" s="2720"/>
      <c r="U356" s="2720"/>
      <c r="V356" s="2720"/>
      <c r="W356" s="2720"/>
    </row>
    <row r="357" spans="1:23" x14ac:dyDescent="0.2">
      <c r="A357" s="2426">
        <v>356</v>
      </c>
      <c r="B357" s="2731" t="s">
        <v>66</v>
      </c>
      <c r="C357" s="2710"/>
      <c r="D357" s="2710"/>
      <c r="E357" s="2710"/>
      <c r="F357" s="2710"/>
      <c r="G357" s="2710"/>
      <c r="H357" s="2720">
        <f>+H98</f>
        <v>0</v>
      </c>
      <c r="I357" s="2720">
        <f>+I98</f>
        <v>0</v>
      </c>
      <c r="J357" s="2720">
        <f t="shared" ref="J357:L357" si="337">+J98</f>
        <v>0</v>
      </c>
      <c r="K357" s="2720">
        <f t="shared" si="337"/>
        <v>0</v>
      </c>
      <c r="L357" s="2720">
        <f t="shared" si="337"/>
        <v>0</v>
      </c>
      <c r="M357" s="2720">
        <f>+M98</f>
        <v>0</v>
      </c>
      <c r="N357" s="2720"/>
      <c r="O357" s="2720"/>
      <c r="P357" s="2720"/>
      <c r="Q357" s="2720"/>
      <c r="R357" s="2720"/>
      <c r="S357" s="2720"/>
      <c r="T357" s="2720"/>
      <c r="U357" s="2720"/>
      <c r="V357" s="2720"/>
      <c r="W357" s="2720"/>
    </row>
    <row r="358" spans="1:23" x14ac:dyDescent="0.2">
      <c r="A358" s="2426">
        <v>357</v>
      </c>
      <c r="B358" s="2731" t="s">
        <v>67</v>
      </c>
      <c r="C358" s="2710"/>
      <c r="D358" s="2710"/>
      <c r="E358" s="2710"/>
      <c r="F358" s="2710"/>
      <c r="G358" s="2710"/>
      <c r="H358" s="2710">
        <f>E203-H356</f>
        <v>0</v>
      </c>
      <c r="I358" s="2710">
        <f>H358-I356</f>
        <v>0</v>
      </c>
      <c r="J358" s="2710">
        <f t="shared" ref="J358:W358" si="338">I358-J356</f>
        <v>0</v>
      </c>
      <c r="K358" s="2710">
        <f t="shared" si="338"/>
        <v>0</v>
      </c>
      <c r="L358" s="2710">
        <f t="shared" si="338"/>
        <v>0</v>
      </c>
      <c r="M358" s="2710">
        <f t="shared" si="338"/>
        <v>0</v>
      </c>
      <c r="N358" s="2710">
        <f t="shared" si="338"/>
        <v>0</v>
      </c>
      <c r="O358" s="2710">
        <f t="shared" si="338"/>
        <v>0</v>
      </c>
      <c r="P358" s="2710">
        <f t="shared" si="338"/>
        <v>0</v>
      </c>
      <c r="Q358" s="2710">
        <f t="shared" si="338"/>
        <v>0</v>
      </c>
      <c r="R358" s="2710">
        <f t="shared" si="338"/>
        <v>0</v>
      </c>
      <c r="S358" s="2710">
        <f t="shared" si="338"/>
        <v>0</v>
      </c>
      <c r="T358" s="2710">
        <f t="shared" si="338"/>
        <v>0</v>
      </c>
      <c r="U358" s="2710">
        <f t="shared" si="338"/>
        <v>0</v>
      </c>
      <c r="V358" s="2710">
        <f t="shared" si="338"/>
        <v>0</v>
      </c>
      <c r="W358" s="2710">
        <f t="shared" si="338"/>
        <v>0</v>
      </c>
    </row>
    <row r="359" spans="1:23" x14ac:dyDescent="0.2">
      <c r="A359" s="2426">
        <v>358</v>
      </c>
      <c r="B359" s="2731" t="s">
        <v>68</v>
      </c>
      <c r="C359" s="2710"/>
      <c r="D359" s="2710"/>
      <c r="E359" s="2710"/>
      <c r="F359" s="2710"/>
      <c r="G359" s="2710"/>
      <c r="H359" s="2710">
        <f ca="1">SUM($H$362:H362)</f>
        <v>0</v>
      </c>
      <c r="I359" s="2710">
        <f ca="1">SUM($H$362:I362)</f>
        <v>0</v>
      </c>
      <c r="J359" s="2710">
        <f ca="1">SUM($H$362:J362)</f>
        <v>0</v>
      </c>
      <c r="K359" s="2710">
        <f ca="1">SUM($H$362:K362)</f>
        <v>0</v>
      </c>
      <c r="L359" s="2710">
        <f ca="1">SUM($H$362:L362)</f>
        <v>0</v>
      </c>
      <c r="M359" s="2710">
        <f ca="1">SUM($H$362:M362)</f>
        <v>0</v>
      </c>
      <c r="N359" s="2710">
        <f ca="1">SUM($H$362:N362)</f>
        <v>0</v>
      </c>
      <c r="O359" s="2710">
        <f ca="1">SUM($H$362:O362)</f>
        <v>0</v>
      </c>
      <c r="P359" s="2710">
        <f ca="1">SUM($H$362:P362)</f>
        <v>0</v>
      </c>
      <c r="Q359" s="2710">
        <f ca="1">SUM($H$362:Q362)</f>
        <v>0</v>
      </c>
      <c r="R359" s="2710">
        <f ca="1">SUM($H$362:R362)</f>
        <v>0</v>
      </c>
      <c r="S359" s="2710">
        <f ca="1">SUM($H$362:S362)</f>
        <v>0</v>
      </c>
      <c r="T359" s="2710">
        <f ca="1">SUM($H$362:T362)</f>
        <v>0</v>
      </c>
      <c r="U359" s="2710">
        <f ca="1">SUM($H$362:U362)</f>
        <v>0</v>
      </c>
      <c r="V359" s="2710">
        <f ca="1">SUM($H$362:V362)</f>
        <v>0</v>
      </c>
      <c r="W359" s="2710">
        <f ca="1">SUM($H$362:W362)</f>
        <v>0</v>
      </c>
    </row>
    <row r="360" spans="1:23" x14ac:dyDescent="0.2">
      <c r="A360" s="2426">
        <v>359</v>
      </c>
      <c r="B360" s="2731" t="s">
        <v>71</v>
      </c>
      <c r="C360" s="2710"/>
      <c r="D360" s="2710"/>
      <c r="E360" s="2710"/>
      <c r="F360" s="2710"/>
      <c r="G360" s="2710"/>
      <c r="H360" s="2710">
        <f>SUM($H$357:H357)</f>
        <v>0</v>
      </c>
      <c r="I360" s="2710">
        <f>SUM($H$357:I357)</f>
        <v>0</v>
      </c>
      <c r="J360" s="2710">
        <f>SUM($H$357:J357)</f>
        <v>0</v>
      </c>
      <c r="K360" s="2710">
        <f>SUM($H$357:K357)</f>
        <v>0</v>
      </c>
      <c r="L360" s="2710">
        <f>SUM($H$357:L357)</f>
        <v>0</v>
      </c>
      <c r="M360" s="2710">
        <f>SUM($H$357:M357)</f>
        <v>0</v>
      </c>
      <c r="N360" s="2710">
        <f>SUM($H$357:N357)</f>
        <v>0</v>
      </c>
      <c r="O360" s="2710">
        <f>SUM($H$357:O357)</f>
        <v>0</v>
      </c>
      <c r="P360" s="2710">
        <f>SUM($H$357:P357)</f>
        <v>0</v>
      </c>
      <c r="Q360" s="2710">
        <f>SUM($H$357:Q357)</f>
        <v>0</v>
      </c>
      <c r="R360" s="2710">
        <f>SUM($H$357:R357)</f>
        <v>0</v>
      </c>
      <c r="S360" s="2710">
        <f>SUM($H$357:S357)</f>
        <v>0</v>
      </c>
      <c r="T360" s="2710">
        <f>SUM($H$357:T357)</f>
        <v>0</v>
      </c>
      <c r="U360" s="2710">
        <f>SUM($H$357:U357)</f>
        <v>0</v>
      </c>
      <c r="V360" s="2710">
        <f>SUM($H$357:V357)</f>
        <v>0</v>
      </c>
      <c r="W360" s="2710">
        <f>SUM($H$357:W357)</f>
        <v>0</v>
      </c>
    </row>
    <row r="361" spans="1:23" x14ac:dyDescent="0.2">
      <c r="A361" s="2426">
        <v>360</v>
      </c>
      <c r="B361" s="2731" t="s">
        <v>72</v>
      </c>
      <c r="C361" s="2710"/>
      <c r="D361" s="2710"/>
      <c r="E361" s="2710"/>
      <c r="F361" s="2710"/>
      <c r="G361" s="2710"/>
      <c r="H361" s="2710">
        <f>SUM($H$363:H363)</f>
        <v>0</v>
      </c>
      <c r="I361" s="2710">
        <f>SUM($H$363:I363)</f>
        <v>0</v>
      </c>
      <c r="J361" s="2710">
        <f>SUM($H$363:J363)</f>
        <v>0</v>
      </c>
      <c r="K361" s="2710">
        <f>SUM($H$363:K363)</f>
        <v>0</v>
      </c>
      <c r="L361" s="2710">
        <f>SUM($H$363:L363)</f>
        <v>0</v>
      </c>
      <c r="M361" s="2710">
        <f>SUM($H$363:M363)</f>
        <v>0</v>
      </c>
      <c r="N361" s="2710">
        <f>SUM($H$363:N363)</f>
        <v>0</v>
      </c>
      <c r="O361" s="2710">
        <f>SUM($H$363:O363)</f>
        <v>0</v>
      </c>
      <c r="P361" s="2710">
        <f>SUM($H$363:P363)</f>
        <v>0</v>
      </c>
      <c r="Q361" s="2710">
        <f>SUM($H$363:Q363)</f>
        <v>0</v>
      </c>
      <c r="R361" s="2710">
        <f>SUM($H$363:R363)</f>
        <v>0</v>
      </c>
      <c r="S361" s="2710">
        <f>SUM($H$363:S363)</f>
        <v>0</v>
      </c>
      <c r="T361" s="2710">
        <f>SUM($H$363:T363)</f>
        <v>0</v>
      </c>
      <c r="U361" s="2710">
        <f>SUM($H$363:U363)</f>
        <v>0</v>
      </c>
      <c r="V361" s="2710">
        <f>SUM($H$363:V363)</f>
        <v>0</v>
      </c>
      <c r="W361" s="2710">
        <f>SUM($H$363:W363)</f>
        <v>0</v>
      </c>
    </row>
    <row r="362" spans="1:23" x14ac:dyDescent="0.2">
      <c r="A362" s="2426">
        <v>361</v>
      </c>
      <c r="B362" s="2731" t="s">
        <v>69</v>
      </c>
      <c r="C362" s="2710"/>
      <c r="D362" s="2710"/>
      <c r="E362" s="2710"/>
      <c r="F362" s="2710"/>
      <c r="G362" s="2710"/>
      <c r="H362" s="2710">
        <f ca="1">(OFFSET(inicio,203-ROW(inicio),H5003)-(H356/2))*H2*$G$260</f>
        <v>0</v>
      </c>
      <c r="I362" s="2710">
        <f t="shared" ref="I362:W362" ca="1" si="339">(H358+H359-(I356/2))*I2*$G$260</f>
        <v>0</v>
      </c>
      <c r="J362" s="2710">
        <f t="shared" ca="1" si="339"/>
        <v>0</v>
      </c>
      <c r="K362" s="2710">
        <f t="shared" ca="1" si="339"/>
        <v>0</v>
      </c>
      <c r="L362" s="2710">
        <f t="shared" ca="1" si="339"/>
        <v>0</v>
      </c>
      <c r="M362" s="2710">
        <f t="shared" ca="1" si="339"/>
        <v>0</v>
      </c>
      <c r="N362" s="2710">
        <f t="shared" ca="1" si="339"/>
        <v>0</v>
      </c>
      <c r="O362" s="2710">
        <f t="shared" ca="1" si="339"/>
        <v>0</v>
      </c>
      <c r="P362" s="2710">
        <f t="shared" ca="1" si="339"/>
        <v>0</v>
      </c>
      <c r="Q362" s="2710">
        <f t="shared" ca="1" si="339"/>
        <v>0</v>
      </c>
      <c r="R362" s="2710">
        <f t="shared" ca="1" si="339"/>
        <v>0</v>
      </c>
      <c r="S362" s="2710">
        <f t="shared" ca="1" si="339"/>
        <v>0</v>
      </c>
      <c r="T362" s="2710">
        <f t="shared" ca="1" si="339"/>
        <v>0</v>
      </c>
      <c r="U362" s="2710">
        <f t="shared" ca="1" si="339"/>
        <v>0</v>
      </c>
      <c r="V362" s="2710">
        <f t="shared" ca="1" si="339"/>
        <v>0</v>
      </c>
      <c r="W362" s="2710">
        <f t="shared" ca="1" si="339"/>
        <v>0</v>
      </c>
    </row>
    <row r="363" spans="1:23" x14ac:dyDescent="0.2">
      <c r="A363" s="2426">
        <v>362</v>
      </c>
      <c r="B363" s="2731" t="s">
        <v>70</v>
      </c>
      <c r="C363" s="2710"/>
      <c r="D363" s="2710"/>
      <c r="E363" s="2710"/>
      <c r="F363" s="2710"/>
      <c r="G363" s="2710"/>
      <c r="H363" s="2710">
        <f>(H357/2)*H2*$G$260</f>
        <v>0</v>
      </c>
      <c r="I363" s="2710">
        <f t="shared" ref="I363:W363" si="340">(H360+H361+(I357/2))*I2*$G$260</f>
        <v>0</v>
      </c>
      <c r="J363" s="2710">
        <f t="shared" si="340"/>
        <v>0</v>
      </c>
      <c r="K363" s="2710">
        <f t="shared" si="340"/>
        <v>0</v>
      </c>
      <c r="L363" s="2710">
        <f t="shared" si="340"/>
        <v>0</v>
      </c>
      <c r="M363" s="2710">
        <f t="shared" si="340"/>
        <v>0</v>
      </c>
      <c r="N363" s="2710">
        <f t="shared" si="340"/>
        <v>0</v>
      </c>
      <c r="O363" s="2710">
        <f t="shared" si="340"/>
        <v>0</v>
      </c>
      <c r="P363" s="2710">
        <f t="shared" si="340"/>
        <v>0</v>
      </c>
      <c r="Q363" s="2710">
        <f t="shared" si="340"/>
        <v>0</v>
      </c>
      <c r="R363" s="2710">
        <f t="shared" si="340"/>
        <v>0</v>
      </c>
      <c r="S363" s="2710">
        <f t="shared" si="340"/>
        <v>0</v>
      </c>
      <c r="T363" s="2710">
        <f t="shared" si="340"/>
        <v>0</v>
      </c>
      <c r="U363" s="2710">
        <f t="shared" si="340"/>
        <v>0</v>
      </c>
      <c r="V363" s="2710">
        <f t="shared" si="340"/>
        <v>0</v>
      </c>
      <c r="W363" s="2710">
        <f t="shared" si="340"/>
        <v>0</v>
      </c>
    </row>
    <row r="364" spans="1:23" x14ac:dyDescent="0.2">
      <c r="A364" s="2426">
        <v>363</v>
      </c>
      <c r="B364" s="2748"/>
      <c r="C364" s="2748"/>
      <c r="D364" s="2748"/>
      <c r="E364" s="2748"/>
      <c r="F364" s="2748"/>
      <c r="G364" s="2748"/>
      <c r="H364" s="2748"/>
      <c r="I364" s="2748"/>
      <c r="J364" s="2748"/>
      <c r="K364" s="2748"/>
      <c r="L364" s="2748"/>
      <c r="M364" s="2748"/>
      <c r="N364" s="2748"/>
      <c r="O364" s="2748"/>
      <c r="P364" s="2748"/>
      <c r="Q364" s="2748"/>
      <c r="R364" s="2748"/>
      <c r="S364" s="2748"/>
      <c r="T364" s="2748"/>
      <c r="U364" s="2748"/>
      <c r="V364" s="2748"/>
      <c r="W364" s="2748"/>
    </row>
    <row r="365" spans="1:23" x14ac:dyDescent="0.2">
      <c r="A365" s="2426">
        <v>364</v>
      </c>
      <c r="B365" s="2731" t="s">
        <v>639</v>
      </c>
      <c r="C365" s="2710">
        <f t="shared" ref="C365:W365" si="341">C191+C203</f>
        <v>0</v>
      </c>
      <c r="D365" s="2710">
        <f t="shared" si="341"/>
        <v>0</v>
      </c>
      <c r="E365" s="2710">
        <f t="shared" si="341"/>
        <v>0</v>
      </c>
      <c r="F365" s="2710">
        <f t="shared" si="341"/>
        <v>0</v>
      </c>
      <c r="G365" s="2710">
        <f t="shared" si="341"/>
        <v>0</v>
      </c>
      <c r="H365" s="2710">
        <f t="shared" ca="1" si="341"/>
        <v>0</v>
      </c>
      <c r="I365" s="2710">
        <f t="shared" ca="1" si="341"/>
        <v>0</v>
      </c>
      <c r="J365" s="2710">
        <f t="shared" ca="1" si="341"/>
        <v>0</v>
      </c>
      <c r="K365" s="2710">
        <f t="shared" ca="1" si="341"/>
        <v>0</v>
      </c>
      <c r="L365" s="2710">
        <f t="shared" ca="1" si="341"/>
        <v>0</v>
      </c>
      <c r="M365" s="2710">
        <f t="shared" ca="1" si="341"/>
        <v>0</v>
      </c>
      <c r="N365" s="2710">
        <f t="shared" ca="1" si="341"/>
        <v>0</v>
      </c>
      <c r="O365" s="2710">
        <f t="shared" ca="1" si="341"/>
        <v>0</v>
      </c>
      <c r="P365" s="2710">
        <f t="shared" ca="1" si="341"/>
        <v>0</v>
      </c>
      <c r="Q365" s="2710">
        <f t="shared" ca="1" si="341"/>
        <v>0</v>
      </c>
      <c r="R365" s="2710">
        <f t="shared" ca="1" si="341"/>
        <v>0</v>
      </c>
      <c r="S365" s="2710">
        <f t="shared" ca="1" si="341"/>
        <v>0</v>
      </c>
      <c r="T365" s="2710">
        <f t="shared" ca="1" si="341"/>
        <v>0</v>
      </c>
      <c r="U365" s="2710">
        <f t="shared" ca="1" si="341"/>
        <v>0</v>
      </c>
      <c r="V365" s="2710">
        <f t="shared" ca="1" si="341"/>
        <v>0</v>
      </c>
      <c r="W365" s="2710">
        <f t="shared" ca="1" si="341"/>
        <v>0</v>
      </c>
    </row>
    <row r="366" spans="1:23" x14ac:dyDescent="0.2">
      <c r="A366" s="2426">
        <v>365</v>
      </c>
      <c r="B366" s="2731" t="s">
        <v>479</v>
      </c>
      <c r="C366" s="2710">
        <f t="shared" ref="C366:W366" si="342">C117</f>
        <v>0</v>
      </c>
      <c r="D366" s="2710">
        <f t="shared" si="342"/>
        <v>0</v>
      </c>
      <c r="E366" s="2710">
        <f t="shared" si="342"/>
        <v>0</v>
      </c>
      <c r="F366" s="2710">
        <f t="shared" si="342"/>
        <v>0</v>
      </c>
      <c r="G366" s="2710">
        <f t="shared" si="342"/>
        <v>0</v>
      </c>
      <c r="H366" s="2710">
        <f t="shared" si="342"/>
        <v>0</v>
      </c>
      <c r="I366" s="2710">
        <f t="shared" si="342"/>
        <v>0</v>
      </c>
      <c r="J366" s="2710">
        <f t="shared" si="342"/>
        <v>0</v>
      </c>
      <c r="K366" s="2710">
        <f t="shared" si="342"/>
        <v>0</v>
      </c>
      <c r="L366" s="2710">
        <f t="shared" si="342"/>
        <v>0</v>
      </c>
      <c r="M366" s="2710">
        <f t="shared" si="342"/>
        <v>0</v>
      </c>
      <c r="N366" s="2710">
        <f t="shared" si="342"/>
        <v>0</v>
      </c>
      <c r="O366" s="2710">
        <f t="shared" si="342"/>
        <v>0</v>
      </c>
      <c r="P366" s="2710">
        <f t="shared" si="342"/>
        <v>0</v>
      </c>
      <c r="Q366" s="2710">
        <f t="shared" si="342"/>
        <v>0</v>
      </c>
      <c r="R366" s="2710">
        <f t="shared" si="342"/>
        <v>0</v>
      </c>
      <c r="S366" s="2710">
        <f t="shared" si="342"/>
        <v>0</v>
      </c>
      <c r="T366" s="2710">
        <f t="shared" si="342"/>
        <v>0</v>
      </c>
      <c r="U366" s="2710">
        <f t="shared" si="342"/>
        <v>0</v>
      </c>
      <c r="V366" s="2710">
        <f t="shared" si="342"/>
        <v>0</v>
      </c>
      <c r="W366" s="2710">
        <f t="shared" si="342"/>
        <v>0</v>
      </c>
    </row>
    <row r="367" spans="1:23" x14ac:dyDescent="0.2">
      <c r="A367" s="2426">
        <v>366</v>
      </c>
      <c r="B367" s="2741" t="s">
        <v>480</v>
      </c>
      <c r="C367" s="2742"/>
      <c r="D367" s="2742">
        <f ca="1">+D365-OFFSET(inicio,365-ROW(inicio),D5003)-D135+D366</f>
        <v>0</v>
      </c>
      <c r="E367" s="2742">
        <f ca="1">+E365-OFFSET(inicio,365-ROW(inicio),E5003)-E135+E366</f>
        <v>0</v>
      </c>
      <c r="F367" s="2742">
        <f ca="1">+F365-OFFSET(inicio,365-ROW(inicio),F5003)-F135+F366</f>
        <v>0</v>
      </c>
      <c r="G367" s="2742">
        <f ca="1">+G365-OFFSET(inicio,365-ROW(inicio),G5003)-G135+G366</f>
        <v>0</v>
      </c>
      <c r="H367" s="2742">
        <f ca="1">+H365-OFFSET(inicio,365-ROW(inicio),H5003)-H135+H366</f>
        <v>0</v>
      </c>
      <c r="I367" s="2742">
        <f t="shared" ref="I367:W367" ca="1" si="343">+I365-H365-I135+I366</f>
        <v>0</v>
      </c>
      <c r="J367" s="2742">
        <f t="shared" ca="1" si="343"/>
        <v>0</v>
      </c>
      <c r="K367" s="2742">
        <f t="shared" ca="1" si="343"/>
        <v>0</v>
      </c>
      <c r="L367" s="2742">
        <f t="shared" ca="1" si="343"/>
        <v>0</v>
      </c>
      <c r="M367" s="2742">
        <f t="shared" ca="1" si="343"/>
        <v>0</v>
      </c>
      <c r="N367" s="2742">
        <f t="shared" ca="1" si="343"/>
        <v>0</v>
      </c>
      <c r="O367" s="2742">
        <f t="shared" ca="1" si="343"/>
        <v>0</v>
      </c>
      <c r="P367" s="2742">
        <f t="shared" ca="1" si="343"/>
        <v>0</v>
      </c>
      <c r="Q367" s="2742">
        <f t="shared" ca="1" si="343"/>
        <v>0</v>
      </c>
      <c r="R367" s="2742">
        <f t="shared" ca="1" si="343"/>
        <v>0</v>
      </c>
      <c r="S367" s="2742">
        <f t="shared" ca="1" si="343"/>
        <v>0</v>
      </c>
      <c r="T367" s="2742">
        <f t="shared" ca="1" si="343"/>
        <v>0</v>
      </c>
      <c r="U367" s="2742">
        <f t="shared" ca="1" si="343"/>
        <v>0</v>
      </c>
      <c r="V367" s="2742">
        <f t="shared" ca="1" si="343"/>
        <v>0</v>
      </c>
      <c r="W367" s="2742">
        <f t="shared" ca="1" si="343"/>
        <v>0</v>
      </c>
    </row>
    <row r="368" spans="1:23" x14ac:dyDescent="0.2">
      <c r="A368" s="2426">
        <v>367</v>
      </c>
      <c r="C368" s="2651"/>
      <c r="D368" s="2651"/>
      <c r="E368" s="2651"/>
      <c r="F368" s="2651"/>
      <c r="G368" s="2651"/>
    </row>
    <row r="369" spans="1:23" x14ac:dyDescent="0.2">
      <c r="A369" s="2426">
        <v>368</v>
      </c>
      <c r="B369" s="2740" t="s">
        <v>73</v>
      </c>
      <c r="C369" s="2740"/>
      <c r="D369" s="2740"/>
      <c r="E369" s="2740"/>
      <c r="F369" s="2740"/>
      <c r="G369" s="2740"/>
      <c r="H369" s="2740"/>
      <c r="I369" s="2740"/>
      <c r="J369" s="2740"/>
      <c r="K369" s="2740"/>
      <c r="L369" s="2740"/>
      <c r="M369" s="2740"/>
      <c r="N369" s="2740"/>
      <c r="O369" s="2740"/>
      <c r="P369" s="2740"/>
      <c r="Q369" s="2740"/>
      <c r="R369" s="2740"/>
      <c r="S369" s="2740"/>
      <c r="T369" s="2740"/>
      <c r="U369" s="2740"/>
      <c r="V369" s="2740"/>
      <c r="W369" s="2740"/>
    </row>
    <row r="370" spans="1:23" x14ac:dyDescent="0.2">
      <c r="A370" s="2426">
        <v>371</v>
      </c>
      <c r="B370" s="2731" t="s">
        <v>76</v>
      </c>
      <c r="C370" s="2710"/>
      <c r="D370" s="2710"/>
      <c r="E370" s="2710"/>
      <c r="F370" s="2710"/>
      <c r="G370" s="2710"/>
      <c r="H370" s="2766">
        <f>IFERROR('Bases Proy'!F81,0)</f>
        <v>0</v>
      </c>
      <c r="I370" s="2766">
        <f>IFERROR('Bases Proy'!G81,0)</f>
        <v>0</v>
      </c>
      <c r="J370" s="2766">
        <f>IFERROR('Bases Proy'!H81,0)</f>
        <v>0</v>
      </c>
      <c r="K370" s="2766">
        <f>IFERROR('Bases Proy'!I81,0)</f>
        <v>0</v>
      </c>
      <c r="L370" s="2766">
        <f>IFERROR('Bases Proy'!J81,0)</f>
        <v>0</v>
      </c>
      <c r="M370" s="2766">
        <f>IFERROR('Bases Proy'!K81,0)</f>
        <v>0</v>
      </c>
      <c r="N370" s="2766">
        <f>IFERROR('Bases Proy'!L81,0)</f>
        <v>0</v>
      </c>
      <c r="O370" s="2766">
        <f>IFERROR('Bases Proy'!M81,0)</f>
        <v>0</v>
      </c>
      <c r="P370" s="2766">
        <f>IFERROR('Bases Proy'!N81,0)</f>
        <v>0</v>
      </c>
      <c r="Q370" s="2766">
        <f>IFERROR('Bases Proy'!O81,0)</f>
        <v>0</v>
      </c>
      <c r="R370" s="2766">
        <f>IFERROR('Bases Proy'!P81,0)</f>
        <v>0</v>
      </c>
      <c r="S370" s="2766">
        <f>IFERROR('Bases Proy'!Q81,0)</f>
        <v>0</v>
      </c>
      <c r="T370" s="2766">
        <f>IFERROR('Bases Proy'!R81,0)</f>
        <v>0</v>
      </c>
      <c r="U370" s="2766">
        <f>IFERROR('Bases Proy'!S81,0)</f>
        <v>0</v>
      </c>
      <c r="V370" s="2766">
        <f>IFERROR('Bases Proy'!T81,0)</f>
        <v>0</v>
      </c>
      <c r="W370" s="2766">
        <f>IFERROR('Bases Proy'!U81,0)</f>
        <v>0</v>
      </c>
    </row>
    <row r="371" spans="1:23" x14ac:dyDescent="0.2">
      <c r="A371" s="2426">
        <v>372</v>
      </c>
      <c r="B371" s="2731" t="s">
        <v>66</v>
      </c>
      <c r="C371" s="2710"/>
      <c r="D371" s="2710"/>
      <c r="E371" s="2710"/>
      <c r="F371" s="2710"/>
      <c r="G371" s="2710"/>
      <c r="H371" s="2766">
        <f>IFERROR('Bases Proy'!F67,0)</f>
        <v>0</v>
      </c>
      <c r="I371" s="2766">
        <f>IFERROR('Bases Proy'!G67,0)</f>
        <v>0</v>
      </c>
      <c r="J371" s="2766">
        <f>IFERROR('Bases Proy'!H67,0)</f>
        <v>0</v>
      </c>
      <c r="K371" s="2766">
        <f>IFERROR('Bases Proy'!I67,0)</f>
        <v>0</v>
      </c>
      <c r="L371" s="2766">
        <f>IFERROR('Bases Proy'!J67,0)</f>
        <v>0</v>
      </c>
      <c r="M371" s="2766">
        <f>IFERROR('Bases Proy'!K67,0)</f>
        <v>0</v>
      </c>
      <c r="N371" s="2766">
        <f>IFERROR('Bases Proy'!L67,0)</f>
        <v>0</v>
      </c>
      <c r="O371" s="2766">
        <f>IFERROR('Bases Proy'!M67,0)</f>
        <v>0</v>
      </c>
      <c r="P371" s="2766">
        <f>IFERROR('Bases Proy'!N67,0)</f>
        <v>0</v>
      </c>
      <c r="Q371" s="2766">
        <f>IFERROR('Bases Proy'!O67,0)</f>
        <v>0</v>
      </c>
      <c r="R371" s="2766">
        <f>IFERROR('Bases Proy'!P67,0)</f>
        <v>0</v>
      </c>
      <c r="S371" s="2766">
        <f>IFERROR('Bases Proy'!Q67,0)</f>
        <v>0</v>
      </c>
      <c r="T371" s="2766">
        <f>IFERROR('Bases Proy'!R67,0)</f>
        <v>0</v>
      </c>
      <c r="U371" s="2766">
        <f>IFERROR('Bases Proy'!S67,0)</f>
        <v>0</v>
      </c>
      <c r="V371" s="2766">
        <f>IFERROR('Bases Proy'!T67,0)</f>
        <v>0</v>
      </c>
      <c r="W371" s="2766">
        <f>IFERROR('Bases Proy'!U67,0)</f>
        <v>0</v>
      </c>
    </row>
    <row r="372" spans="1:23" x14ac:dyDescent="0.2">
      <c r="A372" s="2426">
        <v>373</v>
      </c>
      <c r="B372" s="2731" t="s">
        <v>74</v>
      </c>
      <c r="C372" s="2710">
        <f>C201</f>
        <v>0</v>
      </c>
      <c r="D372" s="2710">
        <f>D201</f>
        <v>0</v>
      </c>
      <c r="E372" s="2710">
        <f>E201</f>
        <v>0</v>
      </c>
      <c r="F372" s="2710">
        <f>F201</f>
        <v>0</v>
      </c>
      <c r="G372" s="2710">
        <f>G201</f>
        <v>0</v>
      </c>
      <c r="H372" s="2710">
        <f ca="1">OFFSET(inicio,372-ROW(inicio),H5003)-H370</f>
        <v>0</v>
      </c>
      <c r="I372" s="2710">
        <f ca="1">H372-I370</f>
        <v>0</v>
      </c>
      <c r="J372" s="2710">
        <f t="shared" ref="J372:W372" ca="1" si="344">I372-J370</f>
        <v>0</v>
      </c>
      <c r="K372" s="2710">
        <f t="shared" ca="1" si="344"/>
        <v>0</v>
      </c>
      <c r="L372" s="2710">
        <f t="shared" ca="1" si="344"/>
        <v>0</v>
      </c>
      <c r="M372" s="2710">
        <f t="shared" ca="1" si="344"/>
        <v>0</v>
      </c>
      <c r="N372" s="2710">
        <f t="shared" ca="1" si="344"/>
        <v>0</v>
      </c>
      <c r="O372" s="2710">
        <f t="shared" ca="1" si="344"/>
        <v>0</v>
      </c>
      <c r="P372" s="2710">
        <f t="shared" ca="1" si="344"/>
        <v>0</v>
      </c>
      <c r="Q372" s="2710">
        <f t="shared" ca="1" si="344"/>
        <v>0</v>
      </c>
      <c r="R372" s="2710">
        <f t="shared" ca="1" si="344"/>
        <v>0</v>
      </c>
      <c r="S372" s="2710">
        <f t="shared" ca="1" si="344"/>
        <v>0</v>
      </c>
      <c r="T372" s="2710">
        <f t="shared" ca="1" si="344"/>
        <v>0</v>
      </c>
      <c r="U372" s="2710">
        <f t="shared" ca="1" si="344"/>
        <v>0</v>
      </c>
      <c r="V372" s="2710">
        <f t="shared" ca="1" si="344"/>
        <v>0</v>
      </c>
      <c r="W372" s="2710">
        <f t="shared" ca="1" si="344"/>
        <v>0</v>
      </c>
    </row>
    <row r="373" spans="1:23" x14ac:dyDescent="0.2">
      <c r="A373" s="2426">
        <v>374</v>
      </c>
      <c r="B373" s="2731" t="s">
        <v>75</v>
      </c>
      <c r="C373" s="2710"/>
      <c r="D373" s="2710"/>
      <c r="E373" s="2710"/>
      <c r="F373" s="2710"/>
      <c r="G373" s="2710"/>
      <c r="H373" s="2710">
        <f ca="1">SUM($H$376:H376)</f>
        <v>0</v>
      </c>
      <c r="I373" s="2710">
        <f ca="1">SUM($H$376:I376)</f>
        <v>0</v>
      </c>
      <c r="J373" s="2710">
        <f ca="1">SUM($H$376:J376)</f>
        <v>0</v>
      </c>
      <c r="K373" s="2710">
        <f ca="1">SUM($H$376:K376)</f>
        <v>0</v>
      </c>
      <c r="L373" s="2710">
        <f ca="1">SUM($H$376:L376)</f>
        <v>0</v>
      </c>
      <c r="M373" s="2710">
        <f ca="1">SUM($H$376:M376)</f>
        <v>0</v>
      </c>
      <c r="N373" s="2710">
        <f ca="1">SUM($H$376:N376)</f>
        <v>0</v>
      </c>
      <c r="O373" s="2710">
        <f ca="1">SUM($H$376:O376)</f>
        <v>0</v>
      </c>
      <c r="P373" s="2710">
        <f ca="1">SUM($H$376:P376)</f>
        <v>0</v>
      </c>
      <c r="Q373" s="2710">
        <f ca="1">SUM($H$376:Q376)</f>
        <v>0</v>
      </c>
      <c r="R373" s="2710">
        <f ca="1">SUM($H$376:R376)</f>
        <v>0</v>
      </c>
      <c r="S373" s="2710">
        <f ca="1">SUM($H$376:S376)</f>
        <v>0</v>
      </c>
      <c r="T373" s="2710">
        <f ca="1">SUM($H$376:T376)</f>
        <v>0</v>
      </c>
      <c r="U373" s="2710">
        <f ca="1">SUM($H$376:U376)</f>
        <v>0</v>
      </c>
      <c r="V373" s="2710">
        <f ca="1">SUM($H$376:V376)</f>
        <v>0</v>
      </c>
      <c r="W373" s="2710">
        <f ca="1">SUM($H$376:W376)</f>
        <v>0</v>
      </c>
    </row>
    <row r="374" spans="1:23" x14ac:dyDescent="0.2">
      <c r="A374" s="2426">
        <v>375</v>
      </c>
      <c r="B374" s="2731" t="s">
        <v>71</v>
      </c>
      <c r="C374" s="2710"/>
      <c r="D374" s="2710"/>
      <c r="E374" s="2710"/>
      <c r="F374" s="2710"/>
      <c r="G374" s="2710"/>
      <c r="H374" s="2710">
        <f>SUM($H$371:H371)</f>
        <v>0</v>
      </c>
      <c r="I374" s="2710">
        <f>SUM($H$371:I371)</f>
        <v>0</v>
      </c>
      <c r="J374" s="2710">
        <f>SUM($H$371:J371)</f>
        <v>0</v>
      </c>
      <c r="K374" s="2710">
        <f>SUM($H$371:K371)</f>
        <v>0</v>
      </c>
      <c r="L374" s="2710">
        <f>SUM($H$371:L371)</f>
        <v>0</v>
      </c>
      <c r="M374" s="2710">
        <f>SUM($H$371:M371)</f>
        <v>0</v>
      </c>
      <c r="N374" s="2710">
        <f>SUM($H$371:N371)</f>
        <v>0</v>
      </c>
      <c r="O374" s="2710">
        <f>SUM($H$371:O371)</f>
        <v>0</v>
      </c>
      <c r="P374" s="2710">
        <f>SUM($H$371:P371)</f>
        <v>0</v>
      </c>
      <c r="Q374" s="2710">
        <f>SUM($H$371:Q371)</f>
        <v>0</v>
      </c>
      <c r="R374" s="2710">
        <f>SUM($H$371:R371)</f>
        <v>0</v>
      </c>
      <c r="S374" s="2710">
        <f>SUM($H$371:S371)</f>
        <v>0</v>
      </c>
      <c r="T374" s="2710">
        <f>SUM($H$371:T371)</f>
        <v>0</v>
      </c>
      <c r="U374" s="2710">
        <f>SUM($H$371:U371)</f>
        <v>0</v>
      </c>
      <c r="V374" s="2710">
        <f>SUM($H$371:V371)</f>
        <v>0</v>
      </c>
      <c r="W374" s="2710">
        <f>SUM($H$371:W371)</f>
        <v>0</v>
      </c>
    </row>
    <row r="375" spans="1:23" x14ac:dyDescent="0.2">
      <c r="A375" s="2426">
        <v>376</v>
      </c>
      <c r="B375" s="2731" t="s">
        <v>72</v>
      </c>
      <c r="C375" s="2710"/>
      <c r="D375" s="2710"/>
      <c r="E375" s="2710"/>
      <c r="F375" s="2710"/>
      <c r="G375" s="2710"/>
      <c r="H375" s="2710">
        <f>SUM($H$377:H377)</f>
        <v>0</v>
      </c>
      <c r="I375" s="2710">
        <f>SUM($H$377:I377)</f>
        <v>0</v>
      </c>
      <c r="J375" s="2710">
        <f>SUM($H$377:J377)</f>
        <v>0</v>
      </c>
      <c r="K375" s="2710">
        <f>SUM($H$377:K377)</f>
        <v>0</v>
      </c>
      <c r="L375" s="2710">
        <f>SUM($H$377:L377)</f>
        <v>0</v>
      </c>
      <c r="M375" s="2710">
        <f>SUM($H$377:M377)</f>
        <v>0</v>
      </c>
      <c r="N375" s="2710">
        <f>SUM($H$377:N377)</f>
        <v>0</v>
      </c>
      <c r="O375" s="2710">
        <f>SUM($H$377:O377)</f>
        <v>0</v>
      </c>
      <c r="P375" s="2710">
        <f>SUM($H$377:P377)</f>
        <v>0</v>
      </c>
      <c r="Q375" s="2710">
        <f>SUM($H$377:Q377)</f>
        <v>0</v>
      </c>
      <c r="R375" s="2710">
        <f>SUM($H$377:R377)</f>
        <v>0</v>
      </c>
      <c r="S375" s="2710">
        <f>SUM($H$377:S377)</f>
        <v>0</v>
      </c>
      <c r="T375" s="2710">
        <f>SUM($H$377:T377)</f>
        <v>0</v>
      </c>
      <c r="U375" s="2710">
        <f>SUM($H$377:U377)</f>
        <v>0</v>
      </c>
      <c r="V375" s="2710">
        <f>SUM($H$377:V377)</f>
        <v>0</v>
      </c>
      <c r="W375" s="2710">
        <f>SUM($H$377:W377)</f>
        <v>0</v>
      </c>
    </row>
    <row r="376" spans="1:23" hidden="1" x14ac:dyDescent="0.2">
      <c r="A376" s="2426">
        <v>377</v>
      </c>
      <c r="B376" s="2731" t="s">
        <v>77</v>
      </c>
      <c r="C376" s="2710"/>
      <c r="D376" s="2710"/>
      <c r="E376" s="2710"/>
      <c r="F376" s="2710"/>
      <c r="G376" s="2710"/>
      <c r="H376" s="2710">
        <f ca="1">(OFFSET(inicio,201-ROW(inicio),H5003)-(H370/2))*H2*$G$260</f>
        <v>0</v>
      </c>
      <c r="I376" s="2710">
        <f t="shared" ref="I376:W376" ca="1" si="345">(H372+H373-(I370/2))*I2*$G$260</f>
        <v>0</v>
      </c>
      <c r="J376" s="2710">
        <f t="shared" ca="1" si="345"/>
        <v>0</v>
      </c>
      <c r="K376" s="2710">
        <f t="shared" ca="1" si="345"/>
        <v>0</v>
      </c>
      <c r="L376" s="2710">
        <f t="shared" ca="1" si="345"/>
        <v>0</v>
      </c>
      <c r="M376" s="2710">
        <f t="shared" ca="1" si="345"/>
        <v>0</v>
      </c>
      <c r="N376" s="2710">
        <f t="shared" ca="1" si="345"/>
        <v>0</v>
      </c>
      <c r="O376" s="2710">
        <f t="shared" ca="1" si="345"/>
        <v>0</v>
      </c>
      <c r="P376" s="2710">
        <f t="shared" ca="1" si="345"/>
        <v>0</v>
      </c>
      <c r="Q376" s="2710">
        <f t="shared" ca="1" si="345"/>
        <v>0</v>
      </c>
      <c r="R376" s="2710">
        <f t="shared" ca="1" si="345"/>
        <v>0</v>
      </c>
      <c r="S376" s="2710">
        <f t="shared" ca="1" si="345"/>
        <v>0</v>
      </c>
      <c r="T376" s="2710">
        <f t="shared" ca="1" si="345"/>
        <v>0</v>
      </c>
      <c r="U376" s="2710">
        <f t="shared" ca="1" si="345"/>
        <v>0</v>
      </c>
      <c r="V376" s="2710">
        <f t="shared" ca="1" si="345"/>
        <v>0</v>
      </c>
      <c r="W376" s="2710">
        <f t="shared" ca="1" si="345"/>
        <v>0</v>
      </c>
    </row>
    <row r="377" spans="1:23" hidden="1" x14ac:dyDescent="0.2">
      <c r="A377" s="2426">
        <v>378</v>
      </c>
      <c r="B377" s="2731" t="s">
        <v>70</v>
      </c>
      <c r="C377" s="2710"/>
      <c r="D377" s="2710"/>
      <c r="E377" s="2710"/>
      <c r="F377" s="2710"/>
      <c r="G377" s="2710"/>
      <c r="H377" s="2710">
        <f>(H371/2)*H2*$G$260</f>
        <v>0</v>
      </c>
      <c r="I377" s="2710">
        <f t="shared" ref="I377:W377" si="346">(H374+H375+(I371/2))*I2*$G$260</f>
        <v>0</v>
      </c>
      <c r="J377" s="2710">
        <f t="shared" si="346"/>
        <v>0</v>
      </c>
      <c r="K377" s="2710">
        <f t="shared" si="346"/>
        <v>0</v>
      </c>
      <c r="L377" s="2710">
        <f t="shared" si="346"/>
        <v>0</v>
      </c>
      <c r="M377" s="2710">
        <f t="shared" si="346"/>
        <v>0</v>
      </c>
      <c r="N377" s="2710">
        <f t="shared" si="346"/>
        <v>0</v>
      </c>
      <c r="O377" s="2710">
        <f t="shared" si="346"/>
        <v>0</v>
      </c>
      <c r="P377" s="2710">
        <f t="shared" si="346"/>
        <v>0</v>
      </c>
      <c r="Q377" s="2710">
        <f t="shared" si="346"/>
        <v>0</v>
      </c>
      <c r="R377" s="2710">
        <f t="shared" si="346"/>
        <v>0</v>
      </c>
      <c r="S377" s="2710">
        <f t="shared" si="346"/>
        <v>0</v>
      </c>
      <c r="T377" s="2710">
        <f t="shared" si="346"/>
        <v>0</v>
      </c>
      <c r="U377" s="2710">
        <f t="shared" si="346"/>
        <v>0</v>
      </c>
      <c r="V377" s="2710">
        <f t="shared" si="346"/>
        <v>0</v>
      </c>
      <c r="W377" s="2710">
        <f t="shared" si="346"/>
        <v>0</v>
      </c>
    </row>
    <row r="378" spans="1:23" x14ac:dyDescent="0.2">
      <c r="A378" s="2426">
        <v>379</v>
      </c>
    </row>
    <row r="379" spans="1:23" x14ac:dyDescent="0.2">
      <c r="A379" s="2426">
        <v>380</v>
      </c>
      <c r="B379" s="2740" t="s">
        <v>476</v>
      </c>
      <c r="C379" s="2740"/>
      <c r="D379" s="2740"/>
      <c r="E379" s="2740"/>
      <c r="F379" s="2740"/>
      <c r="G379" s="2740"/>
      <c r="H379" s="2740"/>
      <c r="I379" s="2740"/>
      <c r="J379" s="2740"/>
      <c r="K379" s="2740"/>
      <c r="L379" s="2740"/>
      <c r="M379" s="2740"/>
      <c r="N379" s="2740"/>
      <c r="O379" s="2740"/>
      <c r="P379" s="2740"/>
      <c r="Q379" s="2740"/>
      <c r="R379" s="2740"/>
      <c r="S379" s="2740"/>
      <c r="T379" s="2740"/>
      <c r="U379" s="2740"/>
      <c r="V379" s="2740"/>
      <c r="W379" s="2740"/>
    </row>
    <row r="380" spans="1:23" x14ac:dyDescent="0.2">
      <c r="A380" s="2426">
        <v>381</v>
      </c>
      <c r="B380" s="2731" t="s">
        <v>296</v>
      </c>
      <c r="C380" s="2710">
        <f t="shared" ref="C380:G380" si="347">C204</f>
        <v>0</v>
      </c>
      <c r="D380" s="2710">
        <f t="shared" si="347"/>
        <v>0</v>
      </c>
      <c r="E380" s="2710">
        <f t="shared" si="347"/>
        <v>0</v>
      </c>
      <c r="F380" s="2710">
        <f t="shared" si="347"/>
        <v>0</v>
      </c>
      <c r="G380" s="2710">
        <f t="shared" si="347"/>
        <v>0</v>
      </c>
      <c r="H380" s="2710">
        <f>H204</f>
        <v>0</v>
      </c>
      <c r="I380" s="2710">
        <f t="shared" ref="I380:W380" si="348">I204</f>
        <v>0</v>
      </c>
      <c r="J380" s="2710">
        <f t="shared" si="348"/>
        <v>0</v>
      </c>
      <c r="K380" s="2710">
        <f t="shared" si="348"/>
        <v>0</v>
      </c>
      <c r="L380" s="2710">
        <f t="shared" si="348"/>
        <v>0</v>
      </c>
      <c r="M380" s="2710">
        <f t="shared" si="348"/>
        <v>0</v>
      </c>
      <c r="N380" s="2710">
        <f t="shared" si="348"/>
        <v>0</v>
      </c>
      <c r="O380" s="2710">
        <f t="shared" si="348"/>
        <v>0</v>
      </c>
      <c r="P380" s="2710">
        <f t="shared" si="348"/>
        <v>0</v>
      </c>
      <c r="Q380" s="2710">
        <f t="shared" si="348"/>
        <v>0</v>
      </c>
      <c r="R380" s="2710">
        <f t="shared" si="348"/>
        <v>0</v>
      </c>
      <c r="S380" s="2710">
        <f t="shared" si="348"/>
        <v>0</v>
      </c>
      <c r="T380" s="2710">
        <f t="shared" si="348"/>
        <v>0</v>
      </c>
      <c r="U380" s="2710">
        <f t="shared" si="348"/>
        <v>0</v>
      </c>
      <c r="V380" s="2710">
        <f t="shared" si="348"/>
        <v>0</v>
      </c>
      <c r="W380" s="2710">
        <f t="shared" si="348"/>
        <v>0</v>
      </c>
    </row>
    <row r="381" spans="1:23" x14ac:dyDescent="0.2">
      <c r="A381" s="2426">
        <v>382</v>
      </c>
      <c r="B381" s="2731" t="s">
        <v>570</v>
      </c>
      <c r="C381" s="2710"/>
      <c r="D381" s="2710">
        <f ca="1">D380-OFFSET(inicio,380-ROW(inicio),D5003)</f>
        <v>0</v>
      </c>
      <c r="E381" s="2710">
        <f ca="1">E380-OFFSET(inicio,380-ROW(inicio),E5003)</f>
        <v>0</v>
      </c>
      <c r="F381" s="2710">
        <f ca="1">F380-OFFSET(inicio,380-ROW(inicio),F5003)</f>
        <v>0</v>
      </c>
      <c r="G381" s="2710">
        <f ca="1">G380-OFFSET(inicio,380-ROW(inicio),G5003)</f>
        <v>0</v>
      </c>
      <c r="H381" s="2720">
        <f ca="1">H380-OFFSET(inicio,380-ROW(inicio),H5003)</f>
        <v>0</v>
      </c>
      <c r="I381" s="2720">
        <f t="shared" ref="I381:W381" si="349">I380-H380</f>
        <v>0</v>
      </c>
      <c r="J381" s="2720">
        <f t="shared" si="349"/>
        <v>0</v>
      </c>
      <c r="K381" s="2720">
        <f t="shared" si="349"/>
        <v>0</v>
      </c>
      <c r="L381" s="2720">
        <f t="shared" si="349"/>
        <v>0</v>
      </c>
      <c r="M381" s="2720">
        <f t="shared" si="349"/>
        <v>0</v>
      </c>
      <c r="N381" s="2720">
        <f t="shared" si="349"/>
        <v>0</v>
      </c>
      <c r="O381" s="2720">
        <f t="shared" si="349"/>
        <v>0</v>
      </c>
      <c r="P381" s="2720">
        <f t="shared" si="349"/>
        <v>0</v>
      </c>
      <c r="Q381" s="2720">
        <f t="shared" si="349"/>
        <v>0</v>
      </c>
      <c r="R381" s="2720">
        <f t="shared" si="349"/>
        <v>0</v>
      </c>
      <c r="S381" s="2720">
        <f t="shared" si="349"/>
        <v>0</v>
      </c>
      <c r="T381" s="2720">
        <f t="shared" si="349"/>
        <v>0</v>
      </c>
      <c r="U381" s="2720">
        <f t="shared" si="349"/>
        <v>0</v>
      </c>
      <c r="V381" s="2720">
        <f t="shared" si="349"/>
        <v>0</v>
      </c>
      <c r="W381" s="2720">
        <f t="shared" si="349"/>
        <v>0</v>
      </c>
    </row>
    <row r="382" spans="1:23" x14ac:dyDescent="0.2">
      <c r="A382" s="2426">
        <v>383</v>
      </c>
      <c r="B382" s="2731" t="s">
        <v>571</v>
      </c>
      <c r="C382" s="2710">
        <f>-C132</f>
        <v>0</v>
      </c>
      <c r="D382" s="2710">
        <f>-D132</f>
        <v>0</v>
      </c>
      <c r="E382" s="2710">
        <f>-E132</f>
        <v>0</v>
      </c>
      <c r="F382" s="2710">
        <f>-F132</f>
        <v>0</v>
      </c>
      <c r="G382" s="2710">
        <f>-G132</f>
        <v>0</v>
      </c>
      <c r="H382" s="2720"/>
      <c r="I382" s="2720"/>
      <c r="J382" s="2720"/>
      <c r="K382" s="2720"/>
      <c r="L382" s="2720">
        <f t="shared" ref="L382:W382" si="350">+K382</f>
        <v>0</v>
      </c>
      <c r="M382" s="2720">
        <f t="shared" si="350"/>
        <v>0</v>
      </c>
      <c r="N382" s="2720">
        <f t="shared" si="350"/>
        <v>0</v>
      </c>
      <c r="O382" s="2720">
        <f t="shared" si="350"/>
        <v>0</v>
      </c>
      <c r="P382" s="2720">
        <f t="shared" si="350"/>
        <v>0</v>
      </c>
      <c r="Q382" s="2720">
        <f t="shared" si="350"/>
        <v>0</v>
      </c>
      <c r="R382" s="2720">
        <f t="shared" si="350"/>
        <v>0</v>
      </c>
      <c r="S382" s="2720">
        <f t="shared" si="350"/>
        <v>0</v>
      </c>
      <c r="T382" s="2720">
        <f t="shared" si="350"/>
        <v>0</v>
      </c>
      <c r="U382" s="2720">
        <f t="shared" si="350"/>
        <v>0</v>
      </c>
      <c r="V382" s="2720">
        <f t="shared" si="350"/>
        <v>0</v>
      </c>
      <c r="W382" s="2720">
        <f t="shared" si="350"/>
        <v>0</v>
      </c>
    </row>
    <row r="383" spans="1:23" x14ac:dyDescent="0.2">
      <c r="A383" s="2426">
        <v>384</v>
      </c>
      <c r="B383" s="2731" t="s">
        <v>572</v>
      </c>
      <c r="C383" s="2710"/>
      <c r="D383" s="2710">
        <f ca="1">-SUM(D381:D382,D384)</f>
        <v>0</v>
      </c>
      <c r="E383" s="2710">
        <f ca="1">-SUM(E381:E382,E384)</f>
        <v>0</v>
      </c>
      <c r="F383" s="2710">
        <f ca="1">-SUM(F381:F382,F384)</f>
        <v>0</v>
      </c>
      <c r="G383" s="2710">
        <f ca="1">-SUM(G381:G382,G384)</f>
        <v>0</v>
      </c>
      <c r="H383" s="2720">
        <f t="shared" ref="H383:K383" ca="1" si="351">-SUM(H381:H382,H384)</f>
        <v>0</v>
      </c>
      <c r="I383" s="2720">
        <f t="shared" si="351"/>
        <v>0</v>
      </c>
      <c r="J383" s="2720">
        <f t="shared" si="351"/>
        <v>0</v>
      </c>
      <c r="K383" s="2720">
        <f t="shared" si="351"/>
        <v>0</v>
      </c>
      <c r="L383" s="2720">
        <f t="shared" ref="L383:W383" si="352">-SUM(L381:L382,L384)</f>
        <v>0</v>
      </c>
      <c r="M383" s="2720">
        <f t="shared" si="352"/>
        <v>0</v>
      </c>
      <c r="N383" s="2720">
        <f t="shared" si="352"/>
        <v>0</v>
      </c>
      <c r="O383" s="2720">
        <f t="shared" si="352"/>
        <v>0</v>
      </c>
      <c r="P383" s="2720">
        <f t="shared" si="352"/>
        <v>0</v>
      </c>
      <c r="Q383" s="2720">
        <f t="shared" si="352"/>
        <v>0</v>
      </c>
      <c r="R383" s="2720">
        <f t="shared" si="352"/>
        <v>0</v>
      </c>
      <c r="S383" s="2720">
        <f t="shared" si="352"/>
        <v>0</v>
      </c>
      <c r="T383" s="2720">
        <f t="shared" si="352"/>
        <v>0</v>
      </c>
      <c r="U383" s="2720">
        <f t="shared" si="352"/>
        <v>0</v>
      </c>
      <c r="V383" s="2720">
        <f t="shared" si="352"/>
        <v>0</v>
      </c>
      <c r="W383" s="2720">
        <f t="shared" si="352"/>
        <v>0</v>
      </c>
    </row>
    <row r="384" spans="1:23" x14ac:dyDescent="0.2">
      <c r="A384" s="2426">
        <v>385</v>
      </c>
      <c r="B384" s="2731" t="s">
        <v>573</v>
      </c>
      <c r="C384" s="2710"/>
      <c r="D384" s="2710"/>
      <c r="E384" s="2710"/>
      <c r="F384" s="2710"/>
      <c r="G384" s="2710"/>
      <c r="H384" s="2766">
        <f>IFERROR('Bases Proy'!F82,0)</f>
        <v>0</v>
      </c>
      <c r="I384" s="2766">
        <f>IFERROR('Bases Proy'!G82,0)</f>
        <v>0</v>
      </c>
      <c r="J384" s="2766">
        <f>IFERROR('Bases Proy'!H82,0)</f>
        <v>0</v>
      </c>
      <c r="K384" s="2766">
        <f>IFERROR('Bases Proy'!I82,0)</f>
        <v>0</v>
      </c>
      <c r="L384" s="2766">
        <f>IFERROR('Bases Proy'!J82,0)</f>
        <v>0</v>
      </c>
      <c r="M384" s="2766">
        <f>IFERROR('Bases Proy'!K82,0)</f>
        <v>0</v>
      </c>
      <c r="N384" s="2766">
        <f>IFERROR('Bases Proy'!L82,0)</f>
        <v>0</v>
      </c>
      <c r="O384" s="2766">
        <f>IFERROR('Bases Proy'!M82,0)</f>
        <v>0</v>
      </c>
      <c r="P384" s="2766">
        <f>IFERROR('Bases Proy'!N82,0)</f>
        <v>0</v>
      </c>
      <c r="Q384" s="2766">
        <f>IFERROR('Bases Proy'!O82,0)</f>
        <v>0</v>
      </c>
      <c r="R384" s="2766">
        <f>IFERROR('Bases Proy'!P82,0)</f>
        <v>0</v>
      </c>
      <c r="S384" s="2766">
        <f>IFERROR('Bases Proy'!Q82,0)</f>
        <v>0</v>
      </c>
      <c r="T384" s="2766">
        <f>IFERROR('Bases Proy'!R82,0)</f>
        <v>0</v>
      </c>
      <c r="U384" s="2766">
        <f>IFERROR('Bases Proy'!S82,0)</f>
        <v>0</v>
      </c>
      <c r="V384" s="2766">
        <f>IFERROR('Bases Proy'!T82,0)</f>
        <v>0</v>
      </c>
      <c r="W384" s="2766">
        <f>IFERROR('Bases Proy'!U82,0)</f>
        <v>0</v>
      </c>
    </row>
    <row r="385" spans="1:23" x14ac:dyDescent="0.2">
      <c r="A385" s="2426">
        <v>386</v>
      </c>
      <c r="B385" s="2741" t="s">
        <v>569</v>
      </c>
      <c r="C385" s="2742"/>
      <c r="D385" s="2742">
        <f t="shared" ref="D385:W385" ca="1" si="353">SUM(D381:D384)</f>
        <v>0</v>
      </c>
      <c r="E385" s="2742">
        <f t="shared" ca="1" si="353"/>
        <v>0</v>
      </c>
      <c r="F385" s="2742">
        <f t="shared" ca="1" si="353"/>
        <v>0</v>
      </c>
      <c r="G385" s="2742">
        <f t="shared" ca="1" si="353"/>
        <v>0</v>
      </c>
      <c r="H385" s="2742">
        <f t="shared" ca="1" si="353"/>
        <v>0</v>
      </c>
      <c r="I385" s="2742">
        <f t="shared" si="353"/>
        <v>0</v>
      </c>
      <c r="J385" s="2742">
        <f t="shared" si="353"/>
        <v>0</v>
      </c>
      <c r="K385" s="2742">
        <f t="shared" si="353"/>
        <v>0</v>
      </c>
      <c r="L385" s="2742">
        <f t="shared" si="353"/>
        <v>0</v>
      </c>
      <c r="M385" s="2742">
        <f t="shared" si="353"/>
        <v>0</v>
      </c>
      <c r="N385" s="2742">
        <f t="shared" si="353"/>
        <v>0</v>
      </c>
      <c r="O385" s="2742">
        <f t="shared" si="353"/>
        <v>0</v>
      </c>
      <c r="P385" s="2742">
        <f t="shared" si="353"/>
        <v>0</v>
      </c>
      <c r="Q385" s="2742">
        <f t="shared" si="353"/>
        <v>0</v>
      </c>
      <c r="R385" s="2742">
        <f t="shared" si="353"/>
        <v>0</v>
      </c>
      <c r="S385" s="2742">
        <f t="shared" si="353"/>
        <v>0</v>
      </c>
      <c r="T385" s="2742">
        <f t="shared" si="353"/>
        <v>0</v>
      </c>
      <c r="U385" s="2742">
        <f t="shared" si="353"/>
        <v>0</v>
      </c>
      <c r="V385" s="2742">
        <f t="shared" si="353"/>
        <v>0</v>
      </c>
      <c r="W385" s="2742">
        <f t="shared" si="353"/>
        <v>0</v>
      </c>
    </row>
    <row r="386" spans="1:23" x14ac:dyDescent="0.2">
      <c r="A386" s="2426">
        <v>387</v>
      </c>
      <c r="B386" s="2741" t="s">
        <v>477</v>
      </c>
      <c r="C386" s="2742"/>
      <c r="D386" s="2742">
        <f ca="1">D383+D385</f>
        <v>0</v>
      </c>
      <c r="E386" s="2742">
        <f ca="1">E383+E385</f>
        <v>0</v>
      </c>
      <c r="F386" s="2742">
        <f ca="1">F383+F385</f>
        <v>0</v>
      </c>
      <c r="G386" s="2742">
        <f ca="1">G383+G385</f>
        <v>0</v>
      </c>
      <c r="H386" s="2742">
        <f ca="1">H383+H385</f>
        <v>0</v>
      </c>
      <c r="I386" s="2742">
        <f t="shared" ref="I386:W386" si="354">I383+I385</f>
        <v>0</v>
      </c>
      <c r="J386" s="2742">
        <f t="shared" si="354"/>
        <v>0</v>
      </c>
      <c r="K386" s="2742">
        <f t="shared" si="354"/>
        <v>0</v>
      </c>
      <c r="L386" s="2742">
        <f t="shared" si="354"/>
        <v>0</v>
      </c>
      <c r="M386" s="2742">
        <f t="shared" si="354"/>
        <v>0</v>
      </c>
      <c r="N386" s="2742">
        <f t="shared" si="354"/>
        <v>0</v>
      </c>
      <c r="O386" s="2742">
        <f t="shared" si="354"/>
        <v>0</v>
      </c>
      <c r="P386" s="2742">
        <f t="shared" si="354"/>
        <v>0</v>
      </c>
      <c r="Q386" s="2742">
        <f t="shared" si="354"/>
        <v>0</v>
      </c>
      <c r="R386" s="2742">
        <f t="shared" si="354"/>
        <v>0</v>
      </c>
      <c r="S386" s="2742">
        <f t="shared" si="354"/>
        <v>0</v>
      </c>
      <c r="T386" s="2742">
        <f t="shared" si="354"/>
        <v>0</v>
      </c>
      <c r="U386" s="2742">
        <f t="shared" si="354"/>
        <v>0</v>
      </c>
      <c r="V386" s="2742">
        <f t="shared" si="354"/>
        <v>0</v>
      </c>
      <c r="W386" s="2742">
        <f t="shared" si="354"/>
        <v>0</v>
      </c>
    </row>
    <row r="387" spans="1:23" hidden="1" x14ac:dyDescent="0.2">
      <c r="A387" s="2426">
        <v>388</v>
      </c>
      <c r="B387" s="2654"/>
      <c r="C387" s="2722"/>
      <c r="D387" s="2722"/>
      <c r="E387" s="2722"/>
      <c r="F387" s="2722"/>
      <c r="G387" s="2722"/>
    </row>
    <row r="388" spans="1:23" hidden="1" x14ac:dyDescent="0.2">
      <c r="A388" s="2426">
        <v>389</v>
      </c>
      <c r="B388" s="2740" t="s">
        <v>58</v>
      </c>
      <c r="C388" s="2740"/>
      <c r="D388" s="2740"/>
      <c r="E388" s="2740"/>
      <c r="F388" s="2740"/>
      <c r="G388" s="2740"/>
      <c r="H388" s="2740"/>
      <c r="I388" s="2740"/>
      <c r="J388" s="2740"/>
      <c r="K388" s="2740"/>
      <c r="L388" s="2740"/>
      <c r="M388" s="2740"/>
      <c r="N388" s="2740"/>
      <c r="O388" s="2740"/>
      <c r="P388" s="2740"/>
      <c r="Q388" s="2740"/>
      <c r="R388" s="2740"/>
      <c r="S388" s="2740"/>
      <c r="T388" s="2740"/>
      <c r="U388" s="2740"/>
      <c r="V388" s="2740"/>
      <c r="W388" s="2740"/>
    </row>
    <row r="389" spans="1:23" hidden="1" x14ac:dyDescent="0.2">
      <c r="A389" s="2426">
        <v>390</v>
      </c>
      <c r="B389" s="2732" t="s">
        <v>565</v>
      </c>
      <c r="C389" s="2710"/>
      <c r="D389" s="2710">
        <f ca="1">D233-OFFSET(inicio,233-ROW(inicio),D5003)</f>
        <v>0</v>
      </c>
      <c r="E389" s="2710">
        <f ca="1">E233-OFFSET(inicio,233-ROW(inicio),E5003)</f>
        <v>0</v>
      </c>
      <c r="F389" s="2710">
        <f ca="1">F233-OFFSET(inicio,233-ROW(inicio),F5003)</f>
        <v>0</v>
      </c>
      <c r="G389" s="2710">
        <f ca="1">G233-OFFSET(inicio,233-ROW(inicio),G5003)</f>
        <v>0</v>
      </c>
      <c r="H389" s="2710">
        <f ca="1">OFFSET(inicio,233-ROW(inicio),H5003)-H233</f>
        <v>0</v>
      </c>
      <c r="I389" s="2710">
        <f>H233-I233</f>
        <v>0</v>
      </c>
      <c r="J389" s="2710">
        <f t="shared" ref="J389:W389" si="355">I233-J233</f>
        <v>0</v>
      </c>
      <c r="K389" s="2710">
        <f t="shared" si="355"/>
        <v>0</v>
      </c>
      <c r="L389" s="2710">
        <f t="shared" si="355"/>
        <v>0</v>
      </c>
      <c r="M389" s="2710">
        <f t="shared" si="355"/>
        <v>0</v>
      </c>
      <c r="N389" s="2710">
        <f t="shared" si="355"/>
        <v>0</v>
      </c>
      <c r="O389" s="2710">
        <f t="shared" si="355"/>
        <v>0</v>
      </c>
      <c r="P389" s="2710">
        <f t="shared" si="355"/>
        <v>0</v>
      </c>
      <c r="Q389" s="2710">
        <f t="shared" si="355"/>
        <v>0</v>
      </c>
      <c r="R389" s="2710">
        <f t="shared" si="355"/>
        <v>0</v>
      </c>
      <c r="S389" s="2710">
        <f t="shared" si="355"/>
        <v>0</v>
      </c>
      <c r="T389" s="2710">
        <f t="shared" si="355"/>
        <v>0</v>
      </c>
      <c r="U389" s="2710">
        <f t="shared" si="355"/>
        <v>0</v>
      </c>
      <c r="V389" s="2710">
        <f t="shared" si="355"/>
        <v>0</v>
      </c>
      <c r="W389" s="2710">
        <f t="shared" si="355"/>
        <v>0</v>
      </c>
    </row>
    <row r="390" spans="1:23" hidden="1" x14ac:dyDescent="0.2">
      <c r="A390" s="2426">
        <v>391</v>
      </c>
      <c r="B390" s="2732" t="s">
        <v>80</v>
      </c>
      <c r="C390" s="2710"/>
      <c r="D390" s="2710"/>
      <c r="E390" s="2710"/>
      <c r="F390" s="2710"/>
      <c r="G390" s="2710"/>
      <c r="H390" s="2710">
        <f>H100</f>
        <v>0</v>
      </c>
      <c r="I390" s="2710">
        <f t="shared" ref="I390:W390" si="356">I100</f>
        <v>0</v>
      </c>
      <c r="J390" s="2710">
        <f t="shared" si="356"/>
        <v>0</v>
      </c>
      <c r="K390" s="2710">
        <f t="shared" si="356"/>
        <v>0</v>
      </c>
      <c r="L390" s="2710">
        <f t="shared" si="356"/>
        <v>0</v>
      </c>
      <c r="M390" s="2710">
        <f t="shared" si="356"/>
        <v>0</v>
      </c>
      <c r="N390" s="2710">
        <f t="shared" si="356"/>
        <v>0</v>
      </c>
      <c r="O390" s="2710">
        <f t="shared" si="356"/>
        <v>0</v>
      </c>
      <c r="P390" s="2710">
        <f t="shared" si="356"/>
        <v>0</v>
      </c>
      <c r="Q390" s="2710">
        <f t="shared" si="356"/>
        <v>0</v>
      </c>
      <c r="R390" s="2710">
        <f t="shared" si="356"/>
        <v>0</v>
      </c>
      <c r="S390" s="2710">
        <f t="shared" si="356"/>
        <v>0</v>
      </c>
      <c r="T390" s="2710">
        <f t="shared" si="356"/>
        <v>0</v>
      </c>
      <c r="U390" s="2710">
        <f t="shared" si="356"/>
        <v>0</v>
      </c>
      <c r="V390" s="2710">
        <f t="shared" si="356"/>
        <v>0</v>
      </c>
      <c r="W390" s="2710">
        <f t="shared" si="356"/>
        <v>0</v>
      </c>
    </row>
    <row r="391" spans="1:23" hidden="1" x14ac:dyDescent="0.2">
      <c r="A391" s="2426">
        <v>392</v>
      </c>
      <c r="B391" s="2732" t="s">
        <v>81</v>
      </c>
      <c r="C391" s="2710"/>
      <c r="D391" s="2710"/>
      <c r="E391" s="2710"/>
      <c r="F391" s="2710"/>
      <c r="G391" s="2710"/>
      <c r="H391" s="2710"/>
      <c r="I391" s="2710"/>
      <c r="J391" s="2710"/>
      <c r="K391" s="2710"/>
      <c r="L391" s="2710"/>
      <c r="M391" s="2710"/>
      <c r="N391" s="2710"/>
      <c r="O391" s="2710"/>
      <c r="P391" s="2710"/>
      <c r="Q391" s="2710"/>
      <c r="R391" s="2710"/>
      <c r="S391" s="2710"/>
      <c r="T391" s="2710"/>
      <c r="U391" s="2710"/>
      <c r="V391" s="2710"/>
      <c r="W391" s="2710"/>
    </row>
    <row r="392" spans="1:23" hidden="1" x14ac:dyDescent="0.2">
      <c r="A392" s="2426">
        <v>393</v>
      </c>
      <c r="B392" s="2732" t="s">
        <v>569</v>
      </c>
      <c r="C392" s="2710"/>
      <c r="D392" s="2710">
        <f ca="1">SUM(D389:D391)</f>
        <v>0</v>
      </c>
      <c r="E392" s="2710">
        <f ca="1">SUM(E389:E391)</f>
        <v>0</v>
      </c>
      <c r="F392" s="2710">
        <f ca="1">SUM(F389:F391)</f>
        <v>0</v>
      </c>
      <c r="G392" s="2710">
        <f ca="1">SUM(G389:G391)</f>
        <v>0</v>
      </c>
      <c r="H392" s="2710">
        <f ca="1">SUM(H389:H391)</f>
        <v>0</v>
      </c>
      <c r="I392" s="2710">
        <f t="shared" ref="I392:W392" si="357">SUM(I389:I391)</f>
        <v>0</v>
      </c>
      <c r="J392" s="2710">
        <f t="shared" si="357"/>
        <v>0</v>
      </c>
      <c r="K392" s="2710">
        <f t="shared" si="357"/>
        <v>0</v>
      </c>
      <c r="L392" s="2710">
        <f t="shared" si="357"/>
        <v>0</v>
      </c>
      <c r="M392" s="2710">
        <f t="shared" si="357"/>
        <v>0</v>
      </c>
      <c r="N392" s="2710">
        <f t="shared" si="357"/>
        <v>0</v>
      </c>
      <c r="O392" s="2710">
        <f t="shared" si="357"/>
        <v>0</v>
      </c>
      <c r="P392" s="2710">
        <f t="shared" si="357"/>
        <v>0</v>
      </c>
      <c r="Q392" s="2710">
        <f t="shared" si="357"/>
        <v>0</v>
      </c>
      <c r="R392" s="2710">
        <f t="shared" si="357"/>
        <v>0</v>
      </c>
      <c r="S392" s="2710">
        <f t="shared" si="357"/>
        <v>0</v>
      </c>
      <c r="T392" s="2710">
        <f t="shared" si="357"/>
        <v>0</v>
      </c>
      <c r="U392" s="2710">
        <f t="shared" si="357"/>
        <v>0</v>
      </c>
      <c r="V392" s="2710">
        <f t="shared" si="357"/>
        <v>0</v>
      </c>
      <c r="W392" s="2710">
        <f t="shared" si="357"/>
        <v>0</v>
      </c>
    </row>
    <row r="393" spans="1:23" hidden="1" x14ac:dyDescent="0.2">
      <c r="A393" s="2426">
        <v>394</v>
      </c>
    </row>
    <row r="394" spans="1:23" hidden="1" x14ac:dyDescent="0.2">
      <c r="A394" s="2426">
        <v>395</v>
      </c>
      <c r="B394" s="2740" t="s">
        <v>574</v>
      </c>
      <c r="C394" s="2740"/>
      <c r="D394" s="2740"/>
      <c r="E394" s="2740"/>
      <c r="F394" s="2740"/>
      <c r="G394" s="2740"/>
      <c r="H394" s="2740"/>
      <c r="I394" s="2740"/>
      <c r="J394" s="2740"/>
      <c r="K394" s="2740"/>
      <c r="L394" s="2740"/>
      <c r="M394" s="2740"/>
      <c r="N394" s="2740"/>
      <c r="O394" s="2740"/>
      <c r="P394" s="2740"/>
      <c r="Q394" s="2740"/>
      <c r="R394" s="2740"/>
      <c r="S394" s="2740"/>
      <c r="T394" s="2740"/>
      <c r="U394" s="2740"/>
      <c r="V394" s="2740"/>
      <c r="W394" s="2740"/>
    </row>
    <row r="395" spans="1:23" hidden="1" x14ac:dyDescent="0.2">
      <c r="A395" s="2426">
        <v>396</v>
      </c>
      <c r="B395" s="2731" t="s">
        <v>575</v>
      </c>
      <c r="C395" s="2710"/>
      <c r="D395" s="2710">
        <f ca="1">OFFSET(inicio,248-ROW(inicio),D5003)-D248</f>
        <v>0</v>
      </c>
      <c r="E395" s="2710">
        <f ca="1">OFFSET(inicio,248-ROW(inicio),E5003)-E248</f>
        <v>0</v>
      </c>
      <c r="F395" s="2710">
        <f ca="1">OFFSET(inicio,248-ROW(inicio),F5003)-F248</f>
        <v>0</v>
      </c>
      <c r="G395" s="2710">
        <f ca="1">OFFSET(inicio,248-ROW(inicio),G5003)-G248</f>
        <v>0</v>
      </c>
      <c r="H395" s="2710">
        <f ca="1">OFFSET(inicio,248-ROW(inicio),H5003)-H248</f>
        <v>0</v>
      </c>
      <c r="I395" s="2710">
        <f ca="1">H248-I248</f>
        <v>0</v>
      </c>
      <c r="J395" s="2710">
        <f t="shared" ref="J395:W395" ca="1" si="358">I248-J248</f>
        <v>0</v>
      </c>
      <c r="K395" s="2710">
        <f t="shared" ca="1" si="358"/>
        <v>0</v>
      </c>
      <c r="L395" s="2710">
        <f t="shared" ca="1" si="358"/>
        <v>0</v>
      </c>
      <c r="M395" s="2710">
        <f t="shared" ca="1" si="358"/>
        <v>0</v>
      </c>
      <c r="N395" s="2710">
        <f t="shared" ca="1" si="358"/>
        <v>0</v>
      </c>
      <c r="O395" s="2710">
        <f t="shared" ca="1" si="358"/>
        <v>0</v>
      </c>
      <c r="P395" s="2710">
        <f t="shared" ca="1" si="358"/>
        <v>0</v>
      </c>
      <c r="Q395" s="2710">
        <f t="shared" ca="1" si="358"/>
        <v>0</v>
      </c>
      <c r="R395" s="2710">
        <f t="shared" ca="1" si="358"/>
        <v>0</v>
      </c>
      <c r="S395" s="2710">
        <f t="shared" ca="1" si="358"/>
        <v>0</v>
      </c>
      <c r="T395" s="2710">
        <f t="shared" ca="1" si="358"/>
        <v>0</v>
      </c>
      <c r="U395" s="2710">
        <f t="shared" ca="1" si="358"/>
        <v>0</v>
      </c>
      <c r="V395" s="2710">
        <f t="shared" ca="1" si="358"/>
        <v>0</v>
      </c>
      <c r="W395" s="2710">
        <f t="shared" ca="1" si="358"/>
        <v>0</v>
      </c>
    </row>
    <row r="396" spans="1:23" hidden="1" x14ac:dyDescent="0.2">
      <c r="A396" s="2426">
        <v>397</v>
      </c>
      <c r="B396" s="2749" t="s">
        <v>576</v>
      </c>
      <c r="C396" s="2720"/>
      <c r="D396" s="2720"/>
      <c r="E396" s="2720"/>
      <c r="F396" s="2720"/>
      <c r="G396" s="2720"/>
      <c r="H396" s="2720"/>
      <c r="I396" s="2720"/>
      <c r="J396" s="2720"/>
      <c r="K396" s="2720"/>
      <c r="L396" s="2720"/>
      <c r="M396" s="2720"/>
      <c r="N396" s="2720"/>
      <c r="O396" s="2720"/>
      <c r="P396" s="2720"/>
      <c r="Q396" s="2720"/>
      <c r="R396" s="2720"/>
      <c r="S396" s="2720"/>
      <c r="T396" s="2720"/>
      <c r="U396" s="2720"/>
      <c r="V396" s="2720"/>
      <c r="W396" s="2720"/>
    </row>
    <row r="397" spans="1:23" hidden="1" x14ac:dyDescent="0.2">
      <c r="A397" s="2426">
        <v>398</v>
      </c>
      <c r="B397" s="2731" t="s">
        <v>577</v>
      </c>
      <c r="C397" s="2710"/>
      <c r="D397" s="2710">
        <f>D138</f>
        <v>0</v>
      </c>
      <c r="E397" s="2710">
        <f>E138</f>
        <v>0</v>
      </c>
      <c r="F397" s="2710">
        <f>F138</f>
        <v>0</v>
      </c>
      <c r="G397" s="2710">
        <f>G138</f>
        <v>0</v>
      </c>
      <c r="H397" s="2710">
        <f>H138</f>
        <v>0</v>
      </c>
      <c r="I397" s="2710">
        <f t="shared" ref="I397:W397" si="359">I138</f>
        <v>0</v>
      </c>
      <c r="J397" s="2710">
        <f t="shared" si="359"/>
        <v>0</v>
      </c>
      <c r="K397" s="2710">
        <f t="shared" si="359"/>
        <v>0</v>
      </c>
      <c r="L397" s="2710">
        <f t="shared" si="359"/>
        <v>0</v>
      </c>
      <c r="M397" s="2710">
        <f t="shared" si="359"/>
        <v>0</v>
      </c>
      <c r="N397" s="2710">
        <f t="shared" si="359"/>
        <v>0</v>
      </c>
      <c r="O397" s="2710">
        <f t="shared" si="359"/>
        <v>0</v>
      </c>
      <c r="P397" s="2710">
        <f t="shared" si="359"/>
        <v>0</v>
      </c>
      <c r="Q397" s="2710">
        <f t="shared" si="359"/>
        <v>0</v>
      </c>
      <c r="R397" s="2710">
        <f t="shared" si="359"/>
        <v>0</v>
      </c>
      <c r="S397" s="2710">
        <f t="shared" si="359"/>
        <v>0</v>
      </c>
      <c r="T397" s="2710">
        <f t="shared" si="359"/>
        <v>0</v>
      </c>
      <c r="U397" s="2710">
        <f t="shared" si="359"/>
        <v>0</v>
      </c>
      <c r="V397" s="2710">
        <f t="shared" si="359"/>
        <v>0</v>
      </c>
      <c r="W397" s="2710">
        <f t="shared" si="359"/>
        <v>0</v>
      </c>
    </row>
    <row r="398" spans="1:23" hidden="1" x14ac:dyDescent="0.2">
      <c r="A398" s="2426">
        <v>399</v>
      </c>
      <c r="B398" s="2741" t="s">
        <v>569</v>
      </c>
      <c r="C398" s="2742"/>
      <c r="D398" s="2742">
        <f t="shared" ref="D398:W398" ca="1" si="360">+SUM(D395:D397)</f>
        <v>0</v>
      </c>
      <c r="E398" s="2742">
        <f t="shared" ca="1" si="360"/>
        <v>0</v>
      </c>
      <c r="F398" s="2742">
        <f t="shared" ca="1" si="360"/>
        <v>0</v>
      </c>
      <c r="G398" s="2742">
        <f t="shared" ca="1" si="360"/>
        <v>0</v>
      </c>
      <c r="H398" s="2742">
        <f t="shared" ca="1" si="360"/>
        <v>0</v>
      </c>
      <c r="I398" s="2742">
        <f t="shared" ca="1" si="360"/>
        <v>0</v>
      </c>
      <c r="J398" s="2742">
        <f t="shared" ca="1" si="360"/>
        <v>0</v>
      </c>
      <c r="K398" s="2742">
        <f t="shared" ca="1" si="360"/>
        <v>0</v>
      </c>
      <c r="L398" s="2742">
        <f t="shared" ca="1" si="360"/>
        <v>0</v>
      </c>
      <c r="M398" s="2742">
        <f t="shared" ca="1" si="360"/>
        <v>0</v>
      </c>
      <c r="N398" s="2742">
        <f t="shared" ca="1" si="360"/>
        <v>0</v>
      </c>
      <c r="O398" s="2742">
        <f t="shared" ca="1" si="360"/>
        <v>0</v>
      </c>
      <c r="P398" s="2742">
        <f t="shared" ca="1" si="360"/>
        <v>0</v>
      </c>
      <c r="Q398" s="2742">
        <f t="shared" ca="1" si="360"/>
        <v>0</v>
      </c>
      <c r="R398" s="2742">
        <f t="shared" ca="1" si="360"/>
        <v>0</v>
      </c>
      <c r="S398" s="2742">
        <f t="shared" ca="1" si="360"/>
        <v>0</v>
      </c>
      <c r="T398" s="2742">
        <f t="shared" ca="1" si="360"/>
        <v>0</v>
      </c>
      <c r="U398" s="2742">
        <f t="shared" ca="1" si="360"/>
        <v>0</v>
      </c>
      <c r="V398" s="2742">
        <f t="shared" ca="1" si="360"/>
        <v>0</v>
      </c>
      <c r="W398" s="2742">
        <f t="shared" ca="1" si="360"/>
        <v>0</v>
      </c>
    </row>
    <row r="399" spans="1:23" hidden="1" x14ac:dyDescent="0.2">
      <c r="A399" s="2426">
        <v>400</v>
      </c>
    </row>
    <row r="400" spans="1:23" hidden="1" x14ac:dyDescent="0.2">
      <c r="A400" s="2426">
        <v>401</v>
      </c>
      <c r="B400" s="2740" t="s">
        <v>578</v>
      </c>
      <c r="C400" s="2740"/>
      <c r="D400" s="2740"/>
      <c r="E400" s="2740"/>
      <c r="F400" s="2740"/>
      <c r="G400" s="2740"/>
      <c r="H400" s="2740"/>
      <c r="I400" s="2740"/>
      <c r="J400" s="2740"/>
      <c r="K400" s="2740"/>
      <c r="L400" s="2740"/>
      <c r="M400" s="2740"/>
      <c r="N400" s="2740"/>
      <c r="O400" s="2740"/>
      <c r="P400" s="2740"/>
      <c r="Q400" s="2740"/>
      <c r="R400" s="2740"/>
      <c r="S400" s="2740"/>
      <c r="T400" s="2740"/>
      <c r="U400" s="2740"/>
      <c r="V400" s="2740"/>
      <c r="W400" s="2740"/>
    </row>
    <row r="401" spans="1:23" hidden="1" x14ac:dyDescent="0.2">
      <c r="A401" s="2426">
        <v>402</v>
      </c>
      <c r="B401" s="2731" t="s">
        <v>579</v>
      </c>
      <c r="C401" s="2710"/>
      <c r="D401" s="2710">
        <f ca="1">(D208+D209)-(OFFSET(inicio,208-ROW(inicio),D5003)+OFFSET(inicio,209-ROW(inicio),D5003))</f>
        <v>0</v>
      </c>
      <c r="E401" s="2710">
        <f ca="1">(E208+E209)-(OFFSET(inicio,208-ROW(inicio),E5003)+OFFSET(inicio,209-ROW(inicio),E5003))</f>
        <v>0</v>
      </c>
      <c r="F401" s="2710">
        <f ca="1">(F208+F209)-(OFFSET(inicio,208-ROW(inicio),F5003)+OFFSET(inicio,209-ROW(inicio),F5003))</f>
        <v>0</v>
      </c>
      <c r="G401" s="2710">
        <f ca="1">(G208+G209)-(OFFSET(inicio,208-ROW(inicio),G5003)+OFFSET(inicio,209-ROW(inicio),G5003))</f>
        <v>0</v>
      </c>
      <c r="H401" s="2710">
        <f ca="1">(H208+H209)-(OFFSET(inicio,208-ROW(inicio),H5003)+OFFSET(inicio,209-ROW(inicio),H5003))</f>
        <v>0</v>
      </c>
      <c r="I401" s="2710">
        <f ca="1">(I208+I209)-(H208+H209)</f>
        <v>0</v>
      </c>
      <c r="J401" s="2710">
        <f t="shared" ref="J401:W401" ca="1" si="361">(J208+J209)-(I208+I209)</f>
        <v>0</v>
      </c>
      <c r="K401" s="2710">
        <f t="shared" ca="1" si="361"/>
        <v>0</v>
      </c>
      <c r="L401" s="2710">
        <f t="shared" ca="1" si="361"/>
        <v>0</v>
      </c>
      <c r="M401" s="2710">
        <f t="shared" ca="1" si="361"/>
        <v>0</v>
      </c>
      <c r="N401" s="2710">
        <f t="shared" ca="1" si="361"/>
        <v>0</v>
      </c>
      <c r="O401" s="2710">
        <f t="shared" ca="1" si="361"/>
        <v>0</v>
      </c>
      <c r="P401" s="2710">
        <f t="shared" ca="1" si="361"/>
        <v>0</v>
      </c>
      <c r="Q401" s="2710">
        <f t="shared" ca="1" si="361"/>
        <v>0</v>
      </c>
      <c r="R401" s="2710">
        <f t="shared" ca="1" si="361"/>
        <v>0</v>
      </c>
      <c r="S401" s="2710">
        <f t="shared" ca="1" si="361"/>
        <v>0</v>
      </c>
      <c r="T401" s="2710">
        <f t="shared" ca="1" si="361"/>
        <v>0</v>
      </c>
      <c r="U401" s="2710">
        <f t="shared" ca="1" si="361"/>
        <v>0</v>
      </c>
      <c r="V401" s="2710">
        <f t="shared" ca="1" si="361"/>
        <v>0</v>
      </c>
      <c r="W401" s="2710">
        <f t="shared" ca="1" si="361"/>
        <v>0</v>
      </c>
    </row>
    <row r="402" spans="1:23" hidden="1" x14ac:dyDescent="0.2">
      <c r="A402" s="2426">
        <v>403</v>
      </c>
      <c r="B402" s="2731" t="s">
        <v>580</v>
      </c>
      <c r="C402" s="2710"/>
      <c r="D402" s="2710">
        <f ca="1">-(D250-OFFSET(inicio,250-ROW(inicio),D5003))</f>
        <v>0</v>
      </c>
      <c r="E402" s="2710">
        <f ca="1">-(E250-OFFSET(inicio,250-ROW(inicio),E5003))</f>
        <v>0</v>
      </c>
      <c r="F402" s="2710">
        <f ca="1">-(F250-OFFSET(inicio,250-ROW(inicio),F5003))</f>
        <v>0</v>
      </c>
      <c r="G402" s="2710">
        <f ca="1">-(G250-OFFSET(inicio,250-ROW(inicio),G5003))</f>
        <v>0</v>
      </c>
      <c r="H402" s="2710">
        <f ca="1">-(H250-OFFSET(inicio,250-ROW(inicio),H5003))</f>
        <v>0</v>
      </c>
      <c r="I402" s="2710">
        <f ca="1">-(I250-H250)</f>
        <v>0</v>
      </c>
      <c r="J402" s="2710">
        <f t="shared" ref="J402:W402" ca="1" si="362">-(J250-I250)</f>
        <v>0</v>
      </c>
      <c r="K402" s="2710">
        <f t="shared" ca="1" si="362"/>
        <v>0</v>
      </c>
      <c r="L402" s="2710">
        <f t="shared" ca="1" si="362"/>
        <v>0</v>
      </c>
      <c r="M402" s="2710">
        <f t="shared" ca="1" si="362"/>
        <v>0</v>
      </c>
      <c r="N402" s="2710">
        <f t="shared" ca="1" si="362"/>
        <v>0</v>
      </c>
      <c r="O402" s="2710">
        <f t="shared" ca="1" si="362"/>
        <v>0</v>
      </c>
      <c r="P402" s="2710">
        <f t="shared" ca="1" si="362"/>
        <v>0</v>
      </c>
      <c r="Q402" s="2710">
        <f t="shared" ca="1" si="362"/>
        <v>0</v>
      </c>
      <c r="R402" s="2710">
        <f t="shared" ca="1" si="362"/>
        <v>0</v>
      </c>
      <c r="S402" s="2710">
        <f t="shared" ca="1" si="362"/>
        <v>0</v>
      </c>
      <c r="T402" s="2710">
        <f t="shared" ca="1" si="362"/>
        <v>0</v>
      </c>
      <c r="U402" s="2710">
        <f t="shared" ca="1" si="362"/>
        <v>0</v>
      </c>
      <c r="V402" s="2710">
        <f t="shared" ca="1" si="362"/>
        <v>0</v>
      </c>
      <c r="W402" s="2710">
        <f t="shared" ca="1" si="362"/>
        <v>0</v>
      </c>
    </row>
    <row r="403" spans="1:23" hidden="1" x14ac:dyDescent="0.2">
      <c r="A403" s="2426">
        <v>404</v>
      </c>
      <c r="B403" s="2741" t="s">
        <v>569</v>
      </c>
      <c r="C403" s="2742"/>
      <c r="D403" s="2742">
        <f t="shared" ref="D403:W403" ca="1" si="363">SUM(D401:D402)</f>
        <v>0</v>
      </c>
      <c r="E403" s="2742">
        <f t="shared" ca="1" si="363"/>
        <v>0</v>
      </c>
      <c r="F403" s="2742">
        <f t="shared" ca="1" si="363"/>
        <v>0</v>
      </c>
      <c r="G403" s="2742">
        <f t="shared" ca="1" si="363"/>
        <v>0</v>
      </c>
      <c r="H403" s="2742">
        <f t="shared" ca="1" si="363"/>
        <v>0</v>
      </c>
      <c r="I403" s="2742">
        <f t="shared" ca="1" si="363"/>
        <v>0</v>
      </c>
      <c r="J403" s="2742">
        <f t="shared" ca="1" si="363"/>
        <v>0</v>
      </c>
      <c r="K403" s="2742">
        <f t="shared" ca="1" si="363"/>
        <v>0</v>
      </c>
      <c r="L403" s="2742">
        <f t="shared" ca="1" si="363"/>
        <v>0</v>
      </c>
      <c r="M403" s="2742">
        <f t="shared" ca="1" si="363"/>
        <v>0</v>
      </c>
      <c r="N403" s="2742">
        <f t="shared" ca="1" si="363"/>
        <v>0</v>
      </c>
      <c r="O403" s="2742">
        <f t="shared" ca="1" si="363"/>
        <v>0</v>
      </c>
      <c r="P403" s="2742">
        <f t="shared" ca="1" si="363"/>
        <v>0</v>
      </c>
      <c r="Q403" s="2742">
        <f t="shared" ca="1" si="363"/>
        <v>0</v>
      </c>
      <c r="R403" s="2742">
        <f t="shared" ca="1" si="363"/>
        <v>0</v>
      </c>
      <c r="S403" s="2742">
        <f t="shared" ca="1" si="363"/>
        <v>0</v>
      </c>
      <c r="T403" s="2742">
        <f t="shared" ca="1" si="363"/>
        <v>0</v>
      </c>
      <c r="U403" s="2742">
        <f t="shared" ca="1" si="363"/>
        <v>0</v>
      </c>
      <c r="V403" s="2742">
        <f t="shared" ca="1" si="363"/>
        <v>0</v>
      </c>
      <c r="W403" s="2742">
        <f t="shared" ca="1" si="363"/>
        <v>0</v>
      </c>
    </row>
    <row r="404" spans="1:23" hidden="1" x14ac:dyDescent="0.2">
      <c r="A404" s="2426">
        <v>405</v>
      </c>
    </row>
    <row r="405" spans="1:23" hidden="1" x14ac:dyDescent="0.2">
      <c r="A405" s="2426">
        <v>406</v>
      </c>
      <c r="B405" s="2740" t="s">
        <v>701</v>
      </c>
      <c r="C405" s="2740"/>
      <c r="D405" s="2740"/>
      <c r="E405" s="2740"/>
      <c r="F405" s="2740"/>
      <c r="G405" s="2740"/>
      <c r="H405" s="2740"/>
      <c r="I405" s="2740"/>
      <c r="J405" s="2740"/>
      <c r="K405" s="2740"/>
      <c r="L405" s="2740"/>
      <c r="M405" s="2740"/>
      <c r="N405" s="2740"/>
      <c r="O405" s="2740"/>
      <c r="P405" s="2740"/>
      <c r="Q405" s="2740"/>
      <c r="R405" s="2740"/>
      <c r="S405" s="2740"/>
      <c r="T405" s="2740"/>
      <c r="U405" s="2740"/>
      <c r="V405" s="2740"/>
      <c r="W405" s="2740"/>
    </row>
    <row r="406" spans="1:23" hidden="1" x14ac:dyDescent="0.2">
      <c r="A406" s="2426">
        <v>407</v>
      </c>
      <c r="B406" s="2731" t="s">
        <v>581</v>
      </c>
      <c r="C406" s="2710">
        <f>+C185-C407</f>
        <v>0</v>
      </c>
      <c r="D406" s="2710">
        <f>+D185-D407</f>
        <v>0</v>
      </c>
      <c r="E406" s="2710">
        <f>+E185-E407</f>
        <v>0</v>
      </c>
      <c r="F406" s="2710">
        <f>F185-F407</f>
        <v>0</v>
      </c>
      <c r="G406" s="2710">
        <f>G185-G407-E407</f>
        <v>0</v>
      </c>
      <c r="H406" s="2710">
        <f>H266</f>
        <v>0</v>
      </c>
      <c r="I406" s="2710">
        <f t="shared" ref="I406:W406" si="364">I266</f>
        <v>0</v>
      </c>
      <c r="J406" s="2710">
        <f t="shared" si="364"/>
        <v>0</v>
      </c>
      <c r="K406" s="2710">
        <f t="shared" si="364"/>
        <v>0</v>
      </c>
      <c r="L406" s="2710">
        <f t="shared" si="364"/>
        <v>0</v>
      </c>
      <c r="M406" s="2710">
        <f t="shared" si="364"/>
        <v>0</v>
      </c>
      <c r="N406" s="2710">
        <f t="shared" si="364"/>
        <v>0</v>
      </c>
      <c r="O406" s="2710">
        <f t="shared" si="364"/>
        <v>0</v>
      </c>
      <c r="P406" s="2710">
        <f t="shared" si="364"/>
        <v>0</v>
      </c>
      <c r="Q406" s="2710">
        <f t="shared" si="364"/>
        <v>0</v>
      </c>
      <c r="R406" s="2710">
        <f t="shared" si="364"/>
        <v>0</v>
      </c>
      <c r="S406" s="2710">
        <f t="shared" si="364"/>
        <v>0</v>
      </c>
      <c r="T406" s="2710">
        <f t="shared" si="364"/>
        <v>0</v>
      </c>
      <c r="U406" s="2710">
        <f t="shared" si="364"/>
        <v>0</v>
      </c>
      <c r="V406" s="2710">
        <f t="shared" si="364"/>
        <v>0</v>
      </c>
      <c r="W406" s="2710">
        <f t="shared" si="364"/>
        <v>0</v>
      </c>
    </row>
    <row r="407" spans="1:23" hidden="1" x14ac:dyDescent="0.2">
      <c r="A407" s="2426">
        <v>408</v>
      </c>
      <c r="B407" s="2731" t="s">
        <v>582</v>
      </c>
      <c r="C407" s="2710"/>
      <c r="D407" s="2710">
        <f>IF(AND(D408=0,D409=0),0,D133-D410)</f>
        <v>0</v>
      </c>
      <c r="E407" s="2710">
        <f>IF(AND(E408=0,E409=0),0,E133-E410)</f>
        <v>0</v>
      </c>
      <c r="F407" s="2710">
        <f>IF(AND(F408=0,F409=0),0,F133-F410)</f>
        <v>0</v>
      </c>
      <c r="G407" s="2710">
        <f>IF(AND(G408=0,G409=0),0,G133-G410)</f>
        <v>0</v>
      </c>
      <c r="H407" s="2710">
        <f>IF(AND(H408=0,H409=0),0,H133-H410)</f>
        <v>0</v>
      </c>
      <c r="I407" s="2710">
        <f t="shared" ref="I407:W407" si="365">IF(AND(I408=0,I409=0),0,I133-I410)</f>
        <v>0</v>
      </c>
      <c r="J407" s="2710">
        <f t="shared" si="365"/>
        <v>0</v>
      </c>
      <c r="K407" s="2710">
        <f t="shared" si="365"/>
        <v>0</v>
      </c>
      <c r="L407" s="2710">
        <f t="shared" si="365"/>
        <v>0</v>
      </c>
      <c r="M407" s="2710">
        <f t="shared" si="365"/>
        <v>0</v>
      </c>
      <c r="N407" s="2710">
        <f t="shared" si="365"/>
        <v>0</v>
      </c>
      <c r="O407" s="2710">
        <f t="shared" si="365"/>
        <v>0</v>
      </c>
      <c r="P407" s="2710">
        <f t="shared" si="365"/>
        <v>0</v>
      </c>
      <c r="Q407" s="2710">
        <f t="shared" si="365"/>
        <v>0</v>
      </c>
      <c r="R407" s="2710">
        <f t="shared" si="365"/>
        <v>0</v>
      </c>
      <c r="S407" s="2710">
        <f t="shared" si="365"/>
        <v>0</v>
      </c>
      <c r="T407" s="2710">
        <f t="shared" si="365"/>
        <v>0</v>
      </c>
      <c r="U407" s="2710">
        <f t="shared" si="365"/>
        <v>0</v>
      </c>
      <c r="V407" s="2710">
        <f t="shared" si="365"/>
        <v>0</v>
      </c>
      <c r="W407" s="2710">
        <f t="shared" si="365"/>
        <v>0</v>
      </c>
    </row>
    <row r="408" spans="1:23" hidden="1" x14ac:dyDescent="0.2">
      <c r="A408" s="2426">
        <v>409</v>
      </c>
      <c r="B408" s="2731" t="s">
        <v>583</v>
      </c>
      <c r="C408" s="2710">
        <f t="shared" ref="C408:H408" si="366">IF(C266=0,0,C133-C409)</f>
        <v>0</v>
      </c>
      <c r="D408" s="2710">
        <f t="shared" si="366"/>
        <v>0</v>
      </c>
      <c r="E408" s="2710">
        <f t="shared" si="366"/>
        <v>0</v>
      </c>
      <c r="F408" s="2710">
        <f t="shared" si="366"/>
        <v>0</v>
      </c>
      <c r="G408" s="2710">
        <f t="shared" si="366"/>
        <v>0</v>
      </c>
      <c r="H408" s="2710">
        <f t="shared" si="366"/>
        <v>0</v>
      </c>
      <c r="I408" s="2710">
        <f t="shared" ref="I408:W408" si="367">IF(I266=0,0,I133-I409)</f>
        <v>0</v>
      </c>
      <c r="J408" s="2710">
        <f t="shared" si="367"/>
        <v>0</v>
      </c>
      <c r="K408" s="2710">
        <f t="shared" si="367"/>
        <v>0</v>
      </c>
      <c r="L408" s="2710">
        <f t="shared" si="367"/>
        <v>0</v>
      </c>
      <c r="M408" s="2710">
        <f t="shared" si="367"/>
        <v>0</v>
      </c>
      <c r="N408" s="2710">
        <f t="shared" si="367"/>
        <v>0</v>
      </c>
      <c r="O408" s="2710">
        <f t="shared" si="367"/>
        <v>0</v>
      </c>
      <c r="P408" s="2710">
        <f t="shared" si="367"/>
        <v>0</v>
      </c>
      <c r="Q408" s="2710">
        <f t="shared" si="367"/>
        <v>0</v>
      </c>
      <c r="R408" s="2710">
        <f t="shared" si="367"/>
        <v>0</v>
      </c>
      <c r="S408" s="2710">
        <f t="shared" si="367"/>
        <v>0</v>
      </c>
      <c r="T408" s="2710">
        <f t="shared" si="367"/>
        <v>0</v>
      </c>
      <c r="U408" s="2710">
        <f t="shared" si="367"/>
        <v>0</v>
      </c>
      <c r="V408" s="2710">
        <f t="shared" si="367"/>
        <v>0</v>
      </c>
      <c r="W408" s="2710">
        <f t="shared" si="367"/>
        <v>0</v>
      </c>
    </row>
    <row r="409" spans="1:23" hidden="1" x14ac:dyDescent="0.2">
      <c r="A409" s="2426">
        <v>410</v>
      </c>
      <c r="B409" s="2731" t="s">
        <v>584</v>
      </c>
      <c r="C409" s="2710">
        <f t="shared" ref="C409:H409" si="368">IF(C266=0,0,IF((C89/C266)&gt;1,C133/(C89/C266),C133*(C89/C266)))</f>
        <v>0</v>
      </c>
      <c r="D409" s="2710">
        <f t="shared" si="368"/>
        <v>0</v>
      </c>
      <c r="E409" s="2710">
        <f t="shared" si="368"/>
        <v>0</v>
      </c>
      <c r="F409" s="2710">
        <f t="shared" si="368"/>
        <v>0</v>
      </c>
      <c r="G409" s="2710">
        <f t="shared" si="368"/>
        <v>0</v>
      </c>
      <c r="H409" s="2710">
        <f t="shared" si="368"/>
        <v>0</v>
      </c>
      <c r="I409" s="2710">
        <f t="shared" ref="I409:W409" si="369">IF(I266=0,0,IF((I89/I266)&gt;1,I133/(I89/I266),I133*(I89/I266)))</f>
        <v>0</v>
      </c>
      <c r="J409" s="2710">
        <f t="shared" si="369"/>
        <v>0</v>
      </c>
      <c r="K409" s="2710">
        <f t="shared" si="369"/>
        <v>0</v>
      </c>
      <c r="L409" s="2710">
        <f t="shared" si="369"/>
        <v>0</v>
      </c>
      <c r="M409" s="2710">
        <f t="shared" si="369"/>
        <v>0</v>
      </c>
      <c r="N409" s="2710">
        <f t="shared" si="369"/>
        <v>0</v>
      </c>
      <c r="O409" s="2710">
        <f t="shared" si="369"/>
        <v>0</v>
      </c>
      <c r="P409" s="2710">
        <f t="shared" si="369"/>
        <v>0</v>
      </c>
      <c r="Q409" s="2710">
        <f t="shared" si="369"/>
        <v>0</v>
      </c>
      <c r="R409" s="2710">
        <f t="shared" si="369"/>
        <v>0</v>
      </c>
      <c r="S409" s="2710">
        <f t="shared" si="369"/>
        <v>0</v>
      </c>
      <c r="T409" s="2710">
        <f t="shared" si="369"/>
        <v>0</v>
      </c>
      <c r="U409" s="2710">
        <f t="shared" si="369"/>
        <v>0</v>
      </c>
      <c r="V409" s="2710">
        <f t="shared" si="369"/>
        <v>0</v>
      </c>
      <c r="W409" s="2710">
        <f t="shared" si="369"/>
        <v>0</v>
      </c>
    </row>
    <row r="410" spans="1:23" hidden="1" x14ac:dyDescent="0.2">
      <c r="A410" s="2426">
        <v>411</v>
      </c>
      <c r="B410" s="2731" t="s">
        <v>585</v>
      </c>
      <c r="C410" s="2710">
        <f>+C408+C409</f>
        <v>0</v>
      </c>
      <c r="D410" s="2710"/>
      <c r="E410" s="2710">
        <f>+E409+E408</f>
        <v>0</v>
      </c>
      <c r="F410" s="2710">
        <f>IF(AND(F408=0,F409=0),0,IF(((1/Indicadores!G34)*360)&lt;1,MIN(F409,F408),MAX(F409,F408)))</f>
        <v>0</v>
      </c>
      <c r="G410" s="2710">
        <f>IF(AND(G408=0,G409=0),0,IF(((1/Indicadores!H34)*360)&lt;1,MIN(G409,G408),MAX(G409,G408)))</f>
        <v>0</v>
      </c>
      <c r="H410" s="2710">
        <f>+H408</f>
        <v>0</v>
      </c>
      <c r="I410" s="2710">
        <f t="shared" ref="I410:W410" si="370">+I408</f>
        <v>0</v>
      </c>
      <c r="J410" s="2710">
        <f t="shared" si="370"/>
        <v>0</v>
      </c>
      <c r="K410" s="2710">
        <f t="shared" si="370"/>
        <v>0</v>
      </c>
      <c r="L410" s="2710">
        <f t="shared" si="370"/>
        <v>0</v>
      </c>
      <c r="M410" s="2710">
        <f t="shared" si="370"/>
        <v>0</v>
      </c>
      <c r="N410" s="2710">
        <f t="shared" si="370"/>
        <v>0</v>
      </c>
      <c r="O410" s="2710">
        <f t="shared" si="370"/>
        <v>0</v>
      </c>
      <c r="P410" s="2710">
        <f t="shared" si="370"/>
        <v>0</v>
      </c>
      <c r="Q410" s="2710">
        <f t="shared" si="370"/>
        <v>0</v>
      </c>
      <c r="R410" s="2710">
        <f t="shared" si="370"/>
        <v>0</v>
      </c>
      <c r="S410" s="2710">
        <f t="shared" si="370"/>
        <v>0</v>
      </c>
      <c r="T410" s="2710">
        <f t="shared" si="370"/>
        <v>0</v>
      </c>
      <c r="U410" s="2710">
        <f t="shared" si="370"/>
        <v>0</v>
      </c>
      <c r="V410" s="2710">
        <f t="shared" si="370"/>
        <v>0</v>
      </c>
      <c r="W410" s="2710">
        <f t="shared" si="370"/>
        <v>0</v>
      </c>
    </row>
    <row r="411" spans="1:23" hidden="1" x14ac:dyDescent="0.2">
      <c r="A411" s="2426">
        <v>412</v>
      </c>
      <c r="B411" s="2741" t="s">
        <v>586</v>
      </c>
      <c r="C411" s="2742"/>
      <c r="D411" s="2742">
        <f ca="1">IF(AND(D407=0,D408=0),+OFFSET(inicio,406-ROW(inicio),D5003)-D406+D133,+OFFSET(inicio,406-ROW(inicio),D5003)-D406)</f>
        <v>0</v>
      </c>
      <c r="E411" s="2742">
        <f ca="1">IF(AND(E407=0,E408=0),+OFFSET(inicio,406-ROW(inicio),E5003)-E406+E133,+OFFSET(inicio,406-ROW(inicio),E5003)-E406)</f>
        <v>0</v>
      </c>
      <c r="F411" s="2742">
        <f ca="1">IF(AND(F407=0,F408=0),+OFFSET(inicio,406-ROW(inicio),F5003)-F406+F133,+OFFSET(inicio,406-ROW(inicio),F5003)-F406)</f>
        <v>0</v>
      </c>
      <c r="G411" s="2742">
        <f ca="1">IF(AND(G407=0,G408=0),+OFFSET(inicio,406-ROW(inicio),G5003)-G406+G133,+OFFSET(inicio,406-ROW(inicio),G5003)-G406)</f>
        <v>0</v>
      </c>
      <c r="H411" s="2742">
        <f>IF(AND(H407=0,H408=0),+E406+E407-H406+H133,+E406+E407-H406)</f>
        <v>0</v>
      </c>
      <c r="I411" s="2742">
        <f>H406+H407-I406</f>
        <v>0</v>
      </c>
      <c r="J411" s="2742">
        <f t="shared" ref="J411:W411" si="371">I406+I407-J406</f>
        <v>0</v>
      </c>
      <c r="K411" s="2742">
        <f t="shared" si="371"/>
        <v>0</v>
      </c>
      <c r="L411" s="2742">
        <f t="shared" si="371"/>
        <v>0</v>
      </c>
      <c r="M411" s="2742">
        <f t="shared" si="371"/>
        <v>0</v>
      </c>
      <c r="N411" s="2742">
        <f t="shared" si="371"/>
        <v>0</v>
      </c>
      <c r="O411" s="2742">
        <f t="shared" si="371"/>
        <v>0</v>
      </c>
      <c r="P411" s="2742">
        <f t="shared" si="371"/>
        <v>0</v>
      </c>
      <c r="Q411" s="2742">
        <f t="shared" si="371"/>
        <v>0</v>
      </c>
      <c r="R411" s="2742">
        <f t="shared" si="371"/>
        <v>0</v>
      </c>
      <c r="S411" s="2742">
        <f t="shared" si="371"/>
        <v>0</v>
      </c>
      <c r="T411" s="2742">
        <f t="shared" si="371"/>
        <v>0</v>
      </c>
      <c r="U411" s="2742">
        <f t="shared" si="371"/>
        <v>0</v>
      </c>
      <c r="V411" s="2742">
        <f t="shared" si="371"/>
        <v>0</v>
      </c>
      <c r="W411" s="2742">
        <f t="shared" si="371"/>
        <v>0</v>
      </c>
    </row>
    <row r="413" spans="1:23" x14ac:dyDescent="0.2">
      <c r="B413" s="2750" t="s">
        <v>623</v>
      </c>
    </row>
    <row r="5000" spans="1:8" x14ac:dyDescent="0.2">
      <c r="A5000" s="2651" t="s">
        <v>1121</v>
      </c>
      <c r="B5000" s="2651" t="s">
        <v>746</v>
      </c>
      <c r="C5000" s="2751">
        <v>1</v>
      </c>
      <c r="D5000" s="2751">
        <v>2</v>
      </c>
      <c r="E5000" s="2751">
        <v>3</v>
      </c>
      <c r="F5000" s="2751">
        <v>1</v>
      </c>
      <c r="G5000" s="2751">
        <v>2</v>
      </c>
      <c r="H5000" s="2752">
        <v>1</v>
      </c>
    </row>
    <row r="5001" spans="1:8" x14ac:dyDescent="0.2">
      <c r="A5001" s="2651">
        <f>YEAR(C1)</f>
        <v>2016</v>
      </c>
      <c r="B5001" s="2753" t="s">
        <v>662</v>
      </c>
      <c r="C5001" s="2754">
        <f>YEAR(C1)</f>
        <v>2016</v>
      </c>
      <c r="D5001" s="2754">
        <f>YEAR(D1)</f>
        <v>2017</v>
      </c>
      <c r="E5001" s="2754">
        <f>YEAR(E1)</f>
        <v>2018</v>
      </c>
      <c r="F5001" s="2754">
        <f>YEAR(F1)</f>
        <v>2018</v>
      </c>
      <c r="G5001" s="2754">
        <f>YEAR(G1)</f>
        <v>2019</v>
      </c>
      <c r="H5001" s="2755">
        <f>H1</f>
        <v>43830</v>
      </c>
    </row>
    <row r="5002" spans="1:8" x14ac:dyDescent="0.2">
      <c r="A5002" s="2651">
        <f>YEAR(D1)</f>
        <v>2017</v>
      </c>
      <c r="B5002" s="2651" t="s">
        <v>1122</v>
      </c>
      <c r="C5002" s="2754">
        <f t="shared" ref="C5002:G5002" si="372">C5001-1</f>
        <v>2015</v>
      </c>
      <c r="D5002" s="2754">
        <f t="shared" si="372"/>
        <v>2016</v>
      </c>
      <c r="E5002" s="2754">
        <f t="shared" si="372"/>
        <v>2017</v>
      </c>
      <c r="F5002" s="2754">
        <f t="shared" si="372"/>
        <v>2017</v>
      </c>
      <c r="G5002" s="2754">
        <f t="shared" si="372"/>
        <v>2018</v>
      </c>
      <c r="H5002" s="2755">
        <f>H5001-1</f>
        <v>43829</v>
      </c>
    </row>
    <row r="5003" spans="1:8" x14ac:dyDescent="0.2">
      <c r="A5003" s="2651">
        <f>YEAR(E1)</f>
        <v>2018</v>
      </c>
      <c r="B5003" s="2426" t="s">
        <v>1123</v>
      </c>
      <c r="C5003" s="2754">
        <f t="shared" ref="C5003:H5003" si="373">IFERROR(MATCH(C5002,cierres,4),0)</f>
        <v>0</v>
      </c>
      <c r="D5003" s="2754">
        <f t="shared" si="373"/>
        <v>1</v>
      </c>
      <c r="E5003" s="2754">
        <f t="shared" si="373"/>
        <v>2</v>
      </c>
      <c r="F5003" s="2754">
        <f t="shared" si="373"/>
        <v>2</v>
      </c>
      <c r="G5003" s="2754">
        <f t="shared" si="373"/>
        <v>3</v>
      </c>
      <c r="H5003" s="2754">
        <f t="shared" si="373"/>
        <v>3</v>
      </c>
    </row>
    <row r="5009" spans="1:8" x14ac:dyDescent="0.2">
      <c r="A5009" s="2753"/>
      <c r="H5009" s="2715"/>
    </row>
    <row r="5010" spans="1:8" x14ac:dyDescent="0.2">
      <c r="H5010" s="2715"/>
    </row>
    <row r="5011" spans="1:8" x14ac:dyDescent="0.2">
      <c r="H5011" s="2715"/>
    </row>
  </sheetData>
  <phoneticPr fontId="0" type="noConversion"/>
  <dataValidations disablePrompts="1" count="1">
    <dataValidation type="list" allowBlank="1" showInputMessage="1" showErrorMessage="1" sqref="F260">
      <formula1>SiNo</formula1>
    </dataValidation>
  </dataValidations>
  <printOptions horizontalCentered="1"/>
  <pageMargins left="0.75" right="0.75" top="1.55" bottom="1" header="0" footer="0"/>
  <pageSetup paperSize="9" scale="61" orientation="portrait" r:id="rId1"/>
  <headerFooter alignWithMargins="0"/>
  <rowBreaks count="4" manualBreakCount="4">
    <brk id="74" max="11" man="1"/>
    <brk id="169" max="11" man="1"/>
    <brk id="258" max="11" man="1"/>
    <brk id="338" max="11" man="1"/>
  </rowBreaks>
  <ignoredErrors>
    <ignoredError sqref="F4" formula="1"/>
    <ignoredError sqref="H39:L39" unlocked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pageSetUpPr fitToPage="1"/>
  </sheetPr>
  <dimension ref="A1:AB47"/>
  <sheetViews>
    <sheetView view="pageBreakPreview" zoomScaleNormal="100" zoomScaleSheetLayoutView="100" workbookViewId="0">
      <selection activeCell="E8" sqref="E8:P10"/>
    </sheetView>
  </sheetViews>
  <sheetFormatPr baseColWidth="10" defaultRowHeight="12.75" x14ac:dyDescent="0.2"/>
  <cols>
    <col min="1" max="1" width="14" style="2995" customWidth="1"/>
    <col min="2" max="2" width="9.28515625" style="2995" customWidth="1"/>
    <col min="3" max="3" width="15.5703125" style="2995" customWidth="1"/>
    <col min="4" max="5" width="9.28515625" style="2995" customWidth="1"/>
    <col min="6" max="7" width="9.85546875" style="2995" customWidth="1"/>
    <col min="8" max="8" width="25" style="2995" customWidth="1"/>
    <col min="9" max="16" width="9.28515625" style="2995" customWidth="1"/>
    <col min="17" max="256" width="11.42578125" style="2995"/>
    <col min="257" max="257" width="14" style="2995" customWidth="1"/>
    <col min="258" max="258" width="0.85546875" style="2995" customWidth="1"/>
    <col min="259" max="259" width="8.7109375" style="2995" customWidth="1"/>
    <col min="260" max="260" width="6.85546875" style="2995" customWidth="1"/>
    <col min="261" max="261" width="12.140625" style="2995" customWidth="1"/>
    <col min="262" max="263" width="9.7109375" style="2995" customWidth="1"/>
    <col min="264" max="264" width="1.5703125" style="2995" customWidth="1"/>
    <col min="265" max="265" width="0.5703125" style="2995" customWidth="1"/>
    <col min="266" max="266" width="10.7109375" style="2995" customWidth="1"/>
    <col min="267" max="267" width="10" style="2995" customWidth="1"/>
    <col min="268" max="268" width="7.7109375" style="2995" customWidth="1"/>
    <col min="269" max="269" width="0.42578125" style="2995" customWidth="1"/>
    <col min="270" max="270" width="7.7109375" style="2995" customWidth="1"/>
    <col min="271" max="271" width="0.42578125" style="2995" customWidth="1"/>
    <col min="272" max="272" width="8" style="2995" customWidth="1"/>
    <col min="273" max="512" width="11.42578125" style="2995"/>
    <col min="513" max="513" width="14" style="2995" customWidth="1"/>
    <col min="514" max="514" width="0.85546875" style="2995" customWidth="1"/>
    <col min="515" max="515" width="8.7109375" style="2995" customWidth="1"/>
    <col min="516" max="516" width="6.85546875" style="2995" customWidth="1"/>
    <col min="517" max="517" width="12.140625" style="2995" customWidth="1"/>
    <col min="518" max="519" width="9.7109375" style="2995" customWidth="1"/>
    <col min="520" max="520" width="1.5703125" style="2995" customWidth="1"/>
    <col min="521" max="521" width="0.5703125" style="2995" customWidth="1"/>
    <col min="522" max="522" width="10.7109375" style="2995" customWidth="1"/>
    <col min="523" max="523" width="10" style="2995" customWidth="1"/>
    <col min="524" max="524" width="7.7109375" style="2995" customWidth="1"/>
    <col min="525" max="525" width="0.42578125" style="2995" customWidth="1"/>
    <col min="526" max="526" width="7.7109375" style="2995" customWidth="1"/>
    <col min="527" max="527" width="0.42578125" style="2995" customWidth="1"/>
    <col min="528" max="528" width="8" style="2995" customWidth="1"/>
    <col min="529" max="768" width="11.42578125" style="2995"/>
    <col min="769" max="769" width="14" style="2995" customWidth="1"/>
    <col min="770" max="770" width="0.85546875" style="2995" customWidth="1"/>
    <col min="771" max="771" width="8.7109375" style="2995" customWidth="1"/>
    <col min="772" max="772" width="6.85546875" style="2995" customWidth="1"/>
    <col min="773" max="773" width="12.140625" style="2995" customWidth="1"/>
    <col min="774" max="775" width="9.7109375" style="2995" customWidth="1"/>
    <col min="776" max="776" width="1.5703125" style="2995" customWidth="1"/>
    <col min="777" max="777" width="0.5703125" style="2995" customWidth="1"/>
    <col min="778" max="778" width="10.7109375" style="2995" customWidth="1"/>
    <col min="779" max="779" width="10" style="2995" customWidth="1"/>
    <col min="780" max="780" width="7.7109375" style="2995" customWidth="1"/>
    <col min="781" max="781" width="0.42578125" style="2995" customWidth="1"/>
    <col min="782" max="782" width="7.7109375" style="2995" customWidth="1"/>
    <col min="783" max="783" width="0.42578125" style="2995" customWidth="1"/>
    <col min="784" max="784" width="8" style="2995" customWidth="1"/>
    <col min="785" max="1024" width="11.42578125" style="2995"/>
    <col min="1025" max="1025" width="14" style="2995" customWidth="1"/>
    <col min="1026" max="1026" width="0.85546875" style="2995" customWidth="1"/>
    <col min="1027" max="1027" width="8.7109375" style="2995" customWidth="1"/>
    <col min="1028" max="1028" width="6.85546875" style="2995" customWidth="1"/>
    <col min="1029" max="1029" width="12.140625" style="2995" customWidth="1"/>
    <col min="1030" max="1031" width="9.7109375" style="2995" customWidth="1"/>
    <col min="1032" max="1032" width="1.5703125" style="2995" customWidth="1"/>
    <col min="1033" max="1033" width="0.5703125" style="2995" customWidth="1"/>
    <col min="1034" max="1034" width="10.7109375" style="2995" customWidth="1"/>
    <col min="1035" max="1035" width="10" style="2995" customWidth="1"/>
    <col min="1036" max="1036" width="7.7109375" style="2995" customWidth="1"/>
    <col min="1037" max="1037" width="0.42578125" style="2995" customWidth="1"/>
    <col min="1038" max="1038" width="7.7109375" style="2995" customWidth="1"/>
    <col min="1039" max="1039" width="0.42578125" style="2995" customWidth="1"/>
    <col min="1040" max="1040" width="8" style="2995" customWidth="1"/>
    <col min="1041" max="1280" width="11.42578125" style="2995"/>
    <col min="1281" max="1281" width="14" style="2995" customWidth="1"/>
    <col min="1282" max="1282" width="0.85546875" style="2995" customWidth="1"/>
    <col min="1283" max="1283" width="8.7109375" style="2995" customWidth="1"/>
    <col min="1284" max="1284" width="6.85546875" style="2995" customWidth="1"/>
    <col min="1285" max="1285" width="12.140625" style="2995" customWidth="1"/>
    <col min="1286" max="1287" width="9.7109375" style="2995" customWidth="1"/>
    <col min="1288" max="1288" width="1.5703125" style="2995" customWidth="1"/>
    <col min="1289" max="1289" width="0.5703125" style="2995" customWidth="1"/>
    <col min="1290" max="1290" width="10.7109375" style="2995" customWidth="1"/>
    <col min="1291" max="1291" width="10" style="2995" customWidth="1"/>
    <col min="1292" max="1292" width="7.7109375" style="2995" customWidth="1"/>
    <col min="1293" max="1293" width="0.42578125" style="2995" customWidth="1"/>
    <col min="1294" max="1294" width="7.7109375" style="2995" customWidth="1"/>
    <col min="1295" max="1295" width="0.42578125" style="2995" customWidth="1"/>
    <col min="1296" max="1296" width="8" style="2995" customWidth="1"/>
    <col min="1297" max="1536" width="11.42578125" style="2995"/>
    <col min="1537" max="1537" width="14" style="2995" customWidth="1"/>
    <col min="1538" max="1538" width="0.85546875" style="2995" customWidth="1"/>
    <col min="1539" max="1539" width="8.7109375" style="2995" customWidth="1"/>
    <col min="1540" max="1540" width="6.85546875" style="2995" customWidth="1"/>
    <col min="1541" max="1541" width="12.140625" style="2995" customWidth="1"/>
    <col min="1542" max="1543" width="9.7109375" style="2995" customWidth="1"/>
    <col min="1544" max="1544" width="1.5703125" style="2995" customWidth="1"/>
    <col min="1545" max="1545" width="0.5703125" style="2995" customWidth="1"/>
    <col min="1546" max="1546" width="10.7109375" style="2995" customWidth="1"/>
    <col min="1547" max="1547" width="10" style="2995" customWidth="1"/>
    <col min="1548" max="1548" width="7.7109375" style="2995" customWidth="1"/>
    <col min="1549" max="1549" width="0.42578125" style="2995" customWidth="1"/>
    <col min="1550" max="1550" width="7.7109375" style="2995" customWidth="1"/>
    <col min="1551" max="1551" width="0.42578125" style="2995" customWidth="1"/>
    <col min="1552" max="1552" width="8" style="2995" customWidth="1"/>
    <col min="1553" max="1792" width="11.42578125" style="2995"/>
    <col min="1793" max="1793" width="14" style="2995" customWidth="1"/>
    <col min="1794" max="1794" width="0.85546875" style="2995" customWidth="1"/>
    <col min="1795" max="1795" width="8.7109375" style="2995" customWidth="1"/>
    <col min="1796" max="1796" width="6.85546875" style="2995" customWidth="1"/>
    <col min="1797" max="1797" width="12.140625" style="2995" customWidth="1"/>
    <col min="1798" max="1799" width="9.7109375" style="2995" customWidth="1"/>
    <col min="1800" max="1800" width="1.5703125" style="2995" customWidth="1"/>
    <col min="1801" max="1801" width="0.5703125" style="2995" customWidth="1"/>
    <col min="1802" max="1802" width="10.7109375" style="2995" customWidth="1"/>
    <col min="1803" max="1803" width="10" style="2995" customWidth="1"/>
    <col min="1804" max="1804" width="7.7109375" style="2995" customWidth="1"/>
    <col min="1805" max="1805" width="0.42578125" style="2995" customWidth="1"/>
    <col min="1806" max="1806" width="7.7109375" style="2995" customWidth="1"/>
    <col min="1807" max="1807" width="0.42578125" style="2995" customWidth="1"/>
    <col min="1808" max="1808" width="8" style="2995" customWidth="1"/>
    <col min="1809" max="2048" width="11.42578125" style="2995"/>
    <col min="2049" max="2049" width="14" style="2995" customWidth="1"/>
    <col min="2050" max="2050" width="0.85546875" style="2995" customWidth="1"/>
    <col min="2051" max="2051" width="8.7109375" style="2995" customWidth="1"/>
    <col min="2052" max="2052" width="6.85546875" style="2995" customWidth="1"/>
    <col min="2053" max="2053" width="12.140625" style="2995" customWidth="1"/>
    <col min="2054" max="2055" width="9.7109375" style="2995" customWidth="1"/>
    <col min="2056" max="2056" width="1.5703125" style="2995" customWidth="1"/>
    <col min="2057" max="2057" width="0.5703125" style="2995" customWidth="1"/>
    <col min="2058" max="2058" width="10.7109375" style="2995" customWidth="1"/>
    <col min="2059" max="2059" width="10" style="2995" customWidth="1"/>
    <col min="2060" max="2060" width="7.7109375" style="2995" customWidth="1"/>
    <col min="2061" max="2061" width="0.42578125" style="2995" customWidth="1"/>
    <col min="2062" max="2062" width="7.7109375" style="2995" customWidth="1"/>
    <col min="2063" max="2063" width="0.42578125" style="2995" customWidth="1"/>
    <col min="2064" max="2064" width="8" style="2995" customWidth="1"/>
    <col min="2065" max="2304" width="11.42578125" style="2995"/>
    <col min="2305" max="2305" width="14" style="2995" customWidth="1"/>
    <col min="2306" max="2306" width="0.85546875" style="2995" customWidth="1"/>
    <col min="2307" max="2307" width="8.7109375" style="2995" customWidth="1"/>
    <col min="2308" max="2308" width="6.85546875" style="2995" customWidth="1"/>
    <col min="2309" max="2309" width="12.140625" style="2995" customWidth="1"/>
    <col min="2310" max="2311" width="9.7109375" style="2995" customWidth="1"/>
    <col min="2312" max="2312" width="1.5703125" style="2995" customWidth="1"/>
    <col min="2313" max="2313" width="0.5703125" style="2995" customWidth="1"/>
    <col min="2314" max="2314" width="10.7109375" style="2995" customWidth="1"/>
    <col min="2315" max="2315" width="10" style="2995" customWidth="1"/>
    <col min="2316" max="2316" width="7.7109375" style="2995" customWidth="1"/>
    <col min="2317" max="2317" width="0.42578125" style="2995" customWidth="1"/>
    <col min="2318" max="2318" width="7.7109375" style="2995" customWidth="1"/>
    <col min="2319" max="2319" width="0.42578125" style="2995" customWidth="1"/>
    <col min="2320" max="2320" width="8" style="2995" customWidth="1"/>
    <col min="2321" max="2560" width="11.42578125" style="2995"/>
    <col min="2561" max="2561" width="14" style="2995" customWidth="1"/>
    <col min="2562" max="2562" width="0.85546875" style="2995" customWidth="1"/>
    <col min="2563" max="2563" width="8.7109375" style="2995" customWidth="1"/>
    <col min="2564" max="2564" width="6.85546875" style="2995" customWidth="1"/>
    <col min="2565" max="2565" width="12.140625" style="2995" customWidth="1"/>
    <col min="2566" max="2567" width="9.7109375" style="2995" customWidth="1"/>
    <col min="2568" max="2568" width="1.5703125" style="2995" customWidth="1"/>
    <col min="2569" max="2569" width="0.5703125" style="2995" customWidth="1"/>
    <col min="2570" max="2570" width="10.7109375" style="2995" customWidth="1"/>
    <col min="2571" max="2571" width="10" style="2995" customWidth="1"/>
    <col min="2572" max="2572" width="7.7109375" style="2995" customWidth="1"/>
    <col min="2573" max="2573" width="0.42578125" style="2995" customWidth="1"/>
    <col min="2574" max="2574" width="7.7109375" style="2995" customWidth="1"/>
    <col min="2575" max="2575" width="0.42578125" style="2995" customWidth="1"/>
    <col min="2576" max="2576" width="8" style="2995" customWidth="1"/>
    <col min="2577" max="2816" width="11.42578125" style="2995"/>
    <col min="2817" max="2817" width="14" style="2995" customWidth="1"/>
    <col min="2818" max="2818" width="0.85546875" style="2995" customWidth="1"/>
    <col min="2819" max="2819" width="8.7109375" style="2995" customWidth="1"/>
    <col min="2820" max="2820" width="6.85546875" style="2995" customWidth="1"/>
    <col min="2821" max="2821" width="12.140625" style="2995" customWidth="1"/>
    <col min="2822" max="2823" width="9.7109375" style="2995" customWidth="1"/>
    <col min="2824" max="2824" width="1.5703125" style="2995" customWidth="1"/>
    <col min="2825" max="2825" width="0.5703125" style="2995" customWidth="1"/>
    <col min="2826" max="2826" width="10.7109375" style="2995" customWidth="1"/>
    <col min="2827" max="2827" width="10" style="2995" customWidth="1"/>
    <col min="2828" max="2828" width="7.7109375" style="2995" customWidth="1"/>
    <col min="2829" max="2829" width="0.42578125" style="2995" customWidth="1"/>
    <col min="2830" max="2830" width="7.7109375" style="2995" customWidth="1"/>
    <col min="2831" max="2831" width="0.42578125" style="2995" customWidth="1"/>
    <col min="2832" max="2832" width="8" style="2995" customWidth="1"/>
    <col min="2833" max="3072" width="11.42578125" style="2995"/>
    <col min="3073" max="3073" width="14" style="2995" customWidth="1"/>
    <col min="3074" max="3074" width="0.85546875" style="2995" customWidth="1"/>
    <col min="3075" max="3075" width="8.7109375" style="2995" customWidth="1"/>
    <col min="3076" max="3076" width="6.85546875" style="2995" customWidth="1"/>
    <col min="3077" max="3077" width="12.140625" style="2995" customWidth="1"/>
    <col min="3078" max="3079" width="9.7109375" style="2995" customWidth="1"/>
    <col min="3080" max="3080" width="1.5703125" style="2995" customWidth="1"/>
    <col min="3081" max="3081" width="0.5703125" style="2995" customWidth="1"/>
    <col min="3082" max="3082" width="10.7109375" style="2995" customWidth="1"/>
    <col min="3083" max="3083" width="10" style="2995" customWidth="1"/>
    <col min="3084" max="3084" width="7.7109375" style="2995" customWidth="1"/>
    <col min="3085" max="3085" width="0.42578125" style="2995" customWidth="1"/>
    <col min="3086" max="3086" width="7.7109375" style="2995" customWidth="1"/>
    <col min="3087" max="3087" width="0.42578125" style="2995" customWidth="1"/>
    <col min="3088" max="3088" width="8" style="2995" customWidth="1"/>
    <col min="3089" max="3328" width="11.42578125" style="2995"/>
    <col min="3329" max="3329" width="14" style="2995" customWidth="1"/>
    <col min="3330" max="3330" width="0.85546875" style="2995" customWidth="1"/>
    <col min="3331" max="3331" width="8.7109375" style="2995" customWidth="1"/>
    <col min="3332" max="3332" width="6.85546875" style="2995" customWidth="1"/>
    <col min="3333" max="3333" width="12.140625" style="2995" customWidth="1"/>
    <col min="3334" max="3335" width="9.7109375" style="2995" customWidth="1"/>
    <col min="3336" max="3336" width="1.5703125" style="2995" customWidth="1"/>
    <col min="3337" max="3337" width="0.5703125" style="2995" customWidth="1"/>
    <col min="3338" max="3338" width="10.7109375" style="2995" customWidth="1"/>
    <col min="3339" max="3339" width="10" style="2995" customWidth="1"/>
    <col min="3340" max="3340" width="7.7109375" style="2995" customWidth="1"/>
    <col min="3341" max="3341" width="0.42578125" style="2995" customWidth="1"/>
    <col min="3342" max="3342" width="7.7109375" style="2995" customWidth="1"/>
    <col min="3343" max="3343" width="0.42578125" style="2995" customWidth="1"/>
    <col min="3344" max="3344" width="8" style="2995" customWidth="1"/>
    <col min="3345" max="3584" width="11.42578125" style="2995"/>
    <col min="3585" max="3585" width="14" style="2995" customWidth="1"/>
    <col min="3586" max="3586" width="0.85546875" style="2995" customWidth="1"/>
    <col min="3587" max="3587" width="8.7109375" style="2995" customWidth="1"/>
    <col min="3588" max="3588" width="6.85546875" style="2995" customWidth="1"/>
    <col min="3589" max="3589" width="12.140625" style="2995" customWidth="1"/>
    <col min="3590" max="3591" width="9.7109375" style="2995" customWidth="1"/>
    <col min="3592" max="3592" width="1.5703125" style="2995" customWidth="1"/>
    <col min="3593" max="3593" width="0.5703125" style="2995" customWidth="1"/>
    <col min="3594" max="3594" width="10.7109375" style="2995" customWidth="1"/>
    <col min="3595" max="3595" width="10" style="2995" customWidth="1"/>
    <col min="3596" max="3596" width="7.7109375" style="2995" customWidth="1"/>
    <col min="3597" max="3597" width="0.42578125" style="2995" customWidth="1"/>
    <col min="3598" max="3598" width="7.7109375" style="2995" customWidth="1"/>
    <col min="3599" max="3599" width="0.42578125" style="2995" customWidth="1"/>
    <col min="3600" max="3600" width="8" style="2995" customWidth="1"/>
    <col min="3601" max="3840" width="11.42578125" style="2995"/>
    <col min="3841" max="3841" width="14" style="2995" customWidth="1"/>
    <col min="3842" max="3842" width="0.85546875" style="2995" customWidth="1"/>
    <col min="3843" max="3843" width="8.7109375" style="2995" customWidth="1"/>
    <col min="3844" max="3844" width="6.85546875" style="2995" customWidth="1"/>
    <col min="3845" max="3845" width="12.140625" style="2995" customWidth="1"/>
    <col min="3846" max="3847" width="9.7109375" style="2995" customWidth="1"/>
    <col min="3848" max="3848" width="1.5703125" style="2995" customWidth="1"/>
    <col min="3849" max="3849" width="0.5703125" style="2995" customWidth="1"/>
    <col min="3850" max="3850" width="10.7109375" style="2995" customWidth="1"/>
    <col min="3851" max="3851" width="10" style="2995" customWidth="1"/>
    <col min="3852" max="3852" width="7.7109375" style="2995" customWidth="1"/>
    <col min="3853" max="3853" width="0.42578125" style="2995" customWidth="1"/>
    <col min="3854" max="3854" width="7.7109375" style="2995" customWidth="1"/>
    <col min="3855" max="3855" width="0.42578125" style="2995" customWidth="1"/>
    <col min="3856" max="3856" width="8" style="2995" customWidth="1"/>
    <col min="3857" max="4096" width="11.42578125" style="2995"/>
    <col min="4097" max="4097" width="14" style="2995" customWidth="1"/>
    <col min="4098" max="4098" width="0.85546875" style="2995" customWidth="1"/>
    <col min="4099" max="4099" width="8.7109375" style="2995" customWidth="1"/>
    <col min="4100" max="4100" width="6.85546875" style="2995" customWidth="1"/>
    <col min="4101" max="4101" width="12.140625" style="2995" customWidth="1"/>
    <col min="4102" max="4103" width="9.7109375" style="2995" customWidth="1"/>
    <col min="4104" max="4104" width="1.5703125" style="2995" customWidth="1"/>
    <col min="4105" max="4105" width="0.5703125" style="2995" customWidth="1"/>
    <col min="4106" max="4106" width="10.7109375" style="2995" customWidth="1"/>
    <col min="4107" max="4107" width="10" style="2995" customWidth="1"/>
    <col min="4108" max="4108" width="7.7109375" style="2995" customWidth="1"/>
    <col min="4109" max="4109" width="0.42578125" style="2995" customWidth="1"/>
    <col min="4110" max="4110" width="7.7109375" style="2995" customWidth="1"/>
    <col min="4111" max="4111" width="0.42578125" style="2995" customWidth="1"/>
    <col min="4112" max="4112" width="8" style="2995" customWidth="1"/>
    <col min="4113" max="4352" width="11.42578125" style="2995"/>
    <col min="4353" max="4353" width="14" style="2995" customWidth="1"/>
    <col min="4354" max="4354" width="0.85546875" style="2995" customWidth="1"/>
    <col min="4355" max="4355" width="8.7109375" style="2995" customWidth="1"/>
    <col min="4356" max="4356" width="6.85546875" style="2995" customWidth="1"/>
    <col min="4357" max="4357" width="12.140625" style="2995" customWidth="1"/>
    <col min="4358" max="4359" width="9.7109375" style="2995" customWidth="1"/>
    <col min="4360" max="4360" width="1.5703125" style="2995" customWidth="1"/>
    <col min="4361" max="4361" width="0.5703125" style="2995" customWidth="1"/>
    <col min="4362" max="4362" width="10.7109375" style="2995" customWidth="1"/>
    <col min="4363" max="4363" width="10" style="2995" customWidth="1"/>
    <col min="4364" max="4364" width="7.7109375" style="2995" customWidth="1"/>
    <col min="4365" max="4365" width="0.42578125" style="2995" customWidth="1"/>
    <col min="4366" max="4366" width="7.7109375" style="2995" customWidth="1"/>
    <col min="4367" max="4367" width="0.42578125" style="2995" customWidth="1"/>
    <col min="4368" max="4368" width="8" style="2995" customWidth="1"/>
    <col min="4369" max="4608" width="11.42578125" style="2995"/>
    <col min="4609" max="4609" width="14" style="2995" customWidth="1"/>
    <col min="4610" max="4610" width="0.85546875" style="2995" customWidth="1"/>
    <col min="4611" max="4611" width="8.7109375" style="2995" customWidth="1"/>
    <col min="4612" max="4612" width="6.85546875" style="2995" customWidth="1"/>
    <col min="4613" max="4613" width="12.140625" style="2995" customWidth="1"/>
    <col min="4614" max="4615" width="9.7109375" style="2995" customWidth="1"/>
    <col min="4616" max="4616" width="1.5703125" style="2995" customWidth="1"/>
    <col min="4617" max="4617" width="0.5703125" style="2995" customWidth="1"/>
    <col min="4618" max="4618" width="10.7109375" style="2995" customWidth="1"/>
    <col min="4619" max="4619" width="10" style="2995" customWidth="1"/>
    <col min="4620" max="4620" width="7.7109375" style="2995" customWidth="1"/>
    <col min="4621" max="4621" width="0.42578125" style="2995" customWidth="1"/>
    <col min="4622" max="4622" width="7.7109375" style="2995" customWidth="1"/>
    <col min="4623" max="4623" width="0.42578125" style="2995" customWidth="1"/>
    <col min="4624" max="4624" width="8" style="2995" customWidth="1"/>
    <col min="4625" max="4864" width="11.42578125" style="2995"/>
    <col min="4865" max="4865" width="14" style="2995" customWidth="1"/>
    <col min="4866" max="4866" width="0.85546875" style="2995" customWidth="1"/>
    <col min="4867" max="4867" width="8.7109375" style="2995" customWidth="1"/>
    <col min="4868" max="4868" width="6.85546875" style="2995" customWidth="1"/>
    <col min="4869" max="4869" width="12.140625" style="2995" customWidth="1"/>
    <col min="4870" max="4871" width="9.7109375" style="2995" customWidth="1"/>
    <col min="4872" max="4872" width="1.5703125" style="2995" customWidth="1"/>
    <col min="4873" max="4873" width="0.5703125" style="2995" customWidth="1"/>
    <col min="4874" max="4874" width="10.7109375" style="2995" customWidth="1"/>
    <col min="4875" max="4875" width="10" style="2995" customWidth="1"/>
    <col min="4876" max="4876" width="7.7109375" style="2995" customWidth="1"/>
    <col min="4877" max="4877" width="0.42578125" style="2995" customWidth="1"/>
    <col min="4878" max="4878" width="7.7109375" style="2995" customWidth="1"/>
    <col min="4879" max="4879" width="0.42578125" style="2995" customWidth="1"/>
    <col min="4880" max="4880" width="8" style="2995" customWidth="1"/>
    <col min="4881" max="5120" width="11.42578125" style="2995"/>
    <col min="5121" max="5121" width="14" style="2995" customWidth="1"/>
    <col min="5122" max="5122" width="0.85546875" style="2995" customWidth="1"/>
    <col min="5123" max="5123" width="8.7109375" style="2995" customWidth="1"/>
    <col min="5124" max="5124" width="6.85546875" style="2995" customWidth="1"/>
    <col min="5125" max="5125" width="12.140625" style="2995" customWidth="1"/>
    <col min="5126" max="5127" width="9.7109375" style="2995" customWidth="1"/>
    <col min="5128" max="5128" width="1.5703125" style="2995" customWidth="1"/>
    <col min="5129" max="5129" width="0.5703125" style="2995" customWidth="1"/>
    <col min="5130" max="5130" width="10.7109375" style="2995" customWidth="1"/>
    <col min="5131" max="5131" width="10" style="2995" customWidth="1"/>
    <col min="5132" max="5132" width="7.7109375" style="2995" customWidth="1"/>
    <col min="5133" max="5133" width="0.42578125" style="2995" customWidth="1"/>
    <col min="5134" max="5134" width="7.7109375" style="2995" customWidth="1"/>
    <col min="5135" max="5135" width="0.42578125" style="2995" customWidth="1"/>
    <col min="5136" max="5136" width="8" style="2995" customWidth="1"/>
    <col min="5137" max="5376" width="11.42578125" style="2995"/>
    <col min="5377" max="5377" width="14" style="2995" customWidth="1"/>
    <col min="5378" max="5378" width="0.85546875" style="2995" customWidth="1"/>
    <col min="5379" max="5379" width="8.7109375" style="2995" customWidth="1"/>
    <col min="5380" max="5380" width="6.85546875" style="2995" customWidth="1"/>
    <col min="5381" max="5381" width="12.140625" style="2995" customWidth="1"/>
    <col min="5382" max="5383" width="9.7109375" style="2995" customWidth="1"/>
    <col min="5384" max="5384" width="1.5703125" style="2995" customWidth="1"/>
    <col min="5385" max="5385" width="0.5703125" style="2995" customWidth="1"/>
    <col min="5386" max="5386" width="10.7109375" style="2995" customWidth="1"/>
    <col min="5387" max="5387" width="10" style="2995" customWidth="1"/>
    <col min="5388" max="5388" width="7.7109375" style="2995" customWidth="1"/>
    <col min="5389" max="5389" width="0.42578125" style="2995" customWidth="1"/>
    <col min="5390" max="5390" width="7.7109375" style="2995" customWidth="1"/>
    <col min="5391" max="5391" width="0.42578125" style="2995" customWidth="1"/>
    <col min="5392" max="5392" width="8" style="2995" customWidth="1"/>
    <col min="5393" max="5632" width="11.42578125" style="2995"/>
    <col min="5633" max="5633" width="14" style="2995" customWidth="1"/>
    <col min="5634" max="5634" width="0.85546875" style="2995" customWidth="1"/>
    <col min="5635" max="5635" width="8.7109375" style="2995" customWidth="1"/>
    <col min="5636" max="5636" width="6.85546875" style="2995" customWidth="1"/>
    <col min="5637" max="5637" width="12.140625" style="2995" customWidth="1"/>
    <col min="5638" max="5639" width="9.7109375" style="2995" customWidth="1"/>
    <col min="5640" max="5640" width="1.5703125" style="2995" customWidth="1"/>
    <col min="5641" max="5641" width="0.5703125" style="2995" customWidth="1"/>
    <col min="5642" max="5642" width="10.7109375" style="2995" customWidth="1"/>
    <col min="5643" max="5643" width="10" style="2995" customWidth="1"/>
    <col min="5644" max="5644" width="7.7109375" style="2995" customWidth="1"/>
    <col min="5645" max="5645" width="0.42578125" style="2995" customWidth="1"/>
    <col min="5646" max="5646" width="7.7109375" style="2995" customWidth="1"/>
    <col min="5647" max="5647" width="0.42578125" style="2995" customWidth="1"/>
    <col min="5648" max="5648" width="8" style="2995" customWidth="1"/>
    <col min="5649" max="5888" width="11.42578125" style="2995"/>
    <col min="5889" max="5889" width="14" style="2995" customWidth="1"/>
    <col min="5890" max="5890" width="0.85546875" style="2995" customWidth="1"/>
    <col min="5891" max="5891" width="8.7109375" style="2995" customWidth="1"/>
    <col min="5892" max="5892" width="6.85546875" style="2995" customWidth="1"/>
    <col min="5893" max="5893" width="12.140625" style="2995" customWidth="1"/>
    <col min="5894" max="5895" width="9.7109375" style="2995" customWidth="1"/>
    <col min="5896" max="5896" width="1.5703125" style="2995" customWidth="1"/>
    <col min="5897" max="5897" width="0.5703125" style="2995" customWidth="1"/>
    <col min="5898" max="5898" width="10.7109375" style="2995" customWidth="1"/>
    <col min="5899" max="5899" width="10" style="2995" customWidth="1"/>
    <col min="5900" max="5900" width="7.7109375" style="2995" customWidth="1"/>
    <col min="5901" max="5901" width="0.42578125" style="2995" customWidth="1"/>
    <col min="5902" max="5902" width="7.7109375" style="2995" customWidth="1"/>
    <col min="5903" max="5903" width="0.42578125" style="2995" customWidth="1"/>
    <col min="5904" max="5904" width="8" style="2995" customWidth="1"/>
    <col min="5905" max="6144" width="11.42578125" style="2995"/>
    <col min="6145" max="6145" width="14" style="2995" customWidth="1"/>
    <col min="6146" max="6146" width="0.85546875" style="2995" customWidth="1"/>
    <col min="6147" max="6147" width="8.7109375" style="2995" customWidth="1"/>
    <col min="6148" max="6148" width="6.85546875" style="2995" customWidth="1"/>
    <col min="6149" max="6149" width="12.140625" style="2995" customWidth="1"/>
    <col min="6150" max="6151" width="9.7109375" style="2995" customWidth="1"/>
    <col min="6152" max="6152" width="1.5703125" style="2995" customWidth="1"/>
    <col min="6153" max="6153" width="0.5703125" style="2995" customWidth="1"/>
    <col min="6154" max="6154" width="10.7109375" style="2995" customWidth="1"/>
    <col min="6155" max="6155" width="10" style="2995" customWidth="1"/>
    <col min="6156" max="6156" width="7.7109375" style="2995" customWidth="1"/>
    <col min="6157" max="6157" width="0.42578125" style="2995" customWidth="1"/>
    <col min="6158" max="6158" width="7.7109375" style="2995" customWidth="1"/>
    <col min="6159" max="6159" width="0.42578125" style="2995" customWidth="1"/>
    <col min="6160" max="6160" width="8" style="2995" customWidth="1"/>
    <col min="6161" max="6400" width="11.42578125" style="2995"/>
    <col min="6401" max="6401" width="14" style="2995" customWidth="1"/>
    <col min="6402" max="6402" width="0.85546875" style="2995" customWidth="1"/>
    <col min="6403" max="6403" width="8.7109375" style="2995" customWidth="1"/>
    <col min="6404" max="6404" width="6.85546875" style="2995" customWidth="1"/>
    <col min="6405" max="6405" width="12.140625" style="2995" customWidth="1"/>
    <col min="6406" max="6407" width="9.7109375" style="2995" customWidth="1"/>
    <col min="6408" max="6408" width="1.5703125" style="2995" customWidth="1"/>
    <col min="6409" max="6409" width="0.5703125" style="2995" customWidth="1"/>
    <col min="6410" max="6410" width="10.7109375" style="2995" customWidth="1"/>
    <col min="6411" max="6411" width="10" style="2995" customWidth="1"/>
    <col min="6412" max="6412" width="7.7109375" style="2995" customWidth="1"/>
    <col min="6413" max="6413" width="0.42578125" style="2995" customWidth="1"/>
    <col min="6414" max="6414" width="7.7109375" style="2995" customWidth="1"/>
    <col min="6415" max="6415" width="0.42578125" style="2995" customWidth="1"/>
    <col min="6416" max="6416" width="8" style="2995" customWidth="1"/>
    <col min="6417" max="6656" width="11.42578125" style="2995"/>
    <col min="6657" max="6657" width="14" style="2995" customWidth="1"/>
    <col min="6658" max="6658" width="0.85546875" style="2995" customWidth="1"/>
    <col min="6659" max="6659" width="8.7109375" style="2995" customWidth="1"/>
    <col min="6660" max="6660" width="6.85546875" style="2995" customWidth="1"/>
    <col min="6661" max="6661" width="12.140625" style="2995" customWidth="1"/>
    <col min="6662" max="6663" width="9.7109375" style="2995" customWidth="1"/>
    <col min="6664" max="6664" width="1.5703125" style="2995" customWidth="1"/>
    <col min="6665" max="6665" width="0.5703125" style="2995" customWidth="1"/>
    <col min="6666" max="6666" width="10.7109375" style="2995" customWidth="1"/>
    <col min="6667" max="6667" width="10" style="2995" customWidth="1"/>
    <col min="6668" max="6668" width="7.7109375" style="2995" customWidth="1"/>
    <col min="6669" max="6669" width="0.42578125" style="2995" customWidth="1"/>
    <col min="6670" max="6670" width="7.7109375" style="2995" customWidth="1"/>
    <col min="6671" max="6671" width="0.42578125" style="2995" customWidth="1"/>
    <col min="6672" max="6672" width="8" style="2995" customWidth="1"/>
    <col min="6673" max="6912" width="11.42578125" style="2995"/>
    <col min="6913" max="6913" width="14" style="2995" customWidth="1"/>
    <col min="6914" max="6914" width="0.85546875" style="2995" customWidth="1"/>
    <col min="6915" max="6915" width="8.7109375" style="2995" customWidth="1"/>
    <col min="6916" max="6916" width="6.85546875" style="2995" customWidth="1"/>
    <col min="6917" max="6917" width="12.140625" style="2995" customWidth="1"/>
    <col min="6918" max="6919" width="9.7109375" style="2995" customWidth="1"/>
    <col min="6920" max="6920" width="1.5703125" style="2995" customWidth="1"/>
    <col min="6921" max="6921" width="0.5703125" style="2995" customWidth="1"/>
    <col min="6922" max="6922" width="10.7109375" style="2995" customWidth="1"/>
    <col min="6923" max="6923" width="10" style="2995" customWidth="1"/>
    <col min="6924" max="6924" width="7.7109375" style="2995" customWidth="1"/>
    <col min="6925" max="6925" width="0.42578125" style="2995" customWidth="1"/>
    <col min="6926" max="6926" width="7.7109375" style="2995" customWidth="1"/>
    <col min="6927" max="6927" width="0.42578125" style="2995" customWidth="1"/>
    <col min="6928" max="6928" width="8" style="2995" customWidth="1"/>
    <col min="6929" max="7168" width="11.42578125" style="2995"/>
    <col min="7169" max="7169" width="14" style="2995" customWidth="1"/>
    <col min="7170" max="7170" width="0.85546875" style="2995" customWidth="1"/>
    <col min="7171" max="7171" width="8.7109375" style="2995" customWidth="1"/>
    <col min="7172" max="7172" width="6.85546875" style="2995" customWidth="1"/>
    <col min="7173" max="7173" width="12.140625" style="2995" customWidth="1"/>
    <col min="7174" max="7175" width="9.7109375" style="2995" customWidth="1"/>
    <col min="7176" max="7176" width="1.5703125" style="2995" customWidth="1"/>
    <col min="7177" max="7177" width="0.5703125" style="2995" customWidth="1"/>
    <col min="7178" max="7178" width="10.7109375" style="2995" customWidth="1"/>
    <col min="7179" max="7179" width="10" style="2995" customWidth="1"/>
    <col min="7180" max="7180" width="7.7109375" style="2995" customWidth="1"/>
    <col min="7181" max="7181" width="0.42578125" style="2995" customWidth="1"/>
    <col min="7182" max="7182" width="7.7109375" style="2995" customWidth="1"/>
    <col min="7183" max="7183" width="0.42578125" style="2995" customWidth="1"/>
    <col min="7184" max="7184" width="8" style="2995" customWidth="1"/>
    <col min="7185" max="7424" width="11.42578125" style="2995"/>
    <col min="7425" max="7425" width="14" style="2995" customWidth="1"/>
    <col min="7426" max="7426" width="0.85546875" style="2995" customWidth="1"/>
    <col min="7427" max="7427" width="8.7109375" style="2995" customWidth="1"/>
    <col min="7428" max="7428" width="6.85546875" style="2995" customWidth="1"/>
    <col min="7429" max="7429" width="12.140625" style="2995" customWidth="1"/>
    <col min="7430" max="7431" width="9.7109375" style="2995" customWidth="1"/>
    <col min="7432" max="7432" width="1.5703125" style="2995" customWidth="1"/>
    <col min="7433" max="7433" width="0.5703125" style="2995" customWidth="1"/>
    <col min="7434" max="7434" width="10.7109375" style="2995" customWidth="1"/>
    <col min="7435" max="7435" width="10" style="2995" customWidth="1"/>
    <col min="7436" max="7436" width="7.7109375" style="2995" customWidth="1"/>
    <col min="7437" max="7437" width="0.42578125" style="2995" customWidth="1"/>
    <col min="7438" max="7438" width="7.7109375" style="2995" customWidth="1"/>
    <col min="7439" max="7439" width="0.42578125" style="2995" customWidth="1"/>
    <col min="7440" max="7440" width="8" style="2995" customWidth="1"/>
    <col min="7441" max="7680" width="11.42578125" style="2995"/>
    <col min="7681" max="7681" width="14" style="2995" customWidth="1"/>
    <col min="7682" max="7682" width="0.85546875" style="2995" customWidth="1"/>
    <col min="7683" max="7683" width="8.7109375" style="2995" customWidth="1"/>
    <col min="7684" max="7684" width="6.85546875" style="2995" customWidth="1"/>
    <col min="7685" max="7685" width="12.140625" style="2995" customWidth="1"/>
    <col min="7686" max="7687" width="9.7109375" style="2995" customWidth="1"/>
    <col min="7688" max="7688" width="1.5703125" style="2995" customWidth="1"/>
    <col min="7689" max="7689" width="0.5703125" style="2995" customWidth="1"/>
    <col min="7690" max="7690" width="10.7109375" style="2995" customWidth="1"/>
    <col min="7691" max="7691" width="10" style="2995" customWidth="1"/>
    <col min="7692" max="7692" width="7.7109375" style="2995" customWidth="1"/>
    <col min="7693" max="7693" width="0.42578125" style="2995" customWidth="1"/>
    <col min="7694" max="7694" width="7.7109375" style="2995" customWidth="1"/>
    <col min="7695" max="7695" width="0.42578125" style="2995" customWidth="1"/>
    <col min="7696" max="7696" width="8" style="2995" customWidth="1"/>
    <col min="7697" max="7936" width="11.42578125" style="2995"/>
    <col min="7937" max="7937" width="14" style="2995" customWidth="1"/>
    <col min="7938" max="7938" width="0.85546875" style="2995" customWidth="1"/>
    <col min="7939" max="7939" width="8.7109375" style="2995" customWidth="1"/>
    <col min="7940" max="7940" width="6.85546875" style="2995" customWidth="1"/>
    <col min="7941" max="7941" width="12.140625" style="2995" customWidth="1"/>
    <col min="7942" max="7943" width="9.7109375" style="2995" customWidth="1"/>
    <col min="7944" max="7944" width="1.5703125" style="2995" customWidth="1"/>
    <col min="7945" max="7945" width="0.5703125" style="2995" customWidth="1"/>
    <col min="7946" max="7946" width="10.7109375" style="2995" customWidth="1"/>
    <col min="7947" max="7947" width="10" style="2995" customWidth="1"/>
    <col min="7948" max="7948" width="7.7109375" style="2995" customWidth="1"/>
    <col min="7949" max="7949" width="0.42578125" style="2995" customWidth="1"/>
    <col min="7950" max="7950" width="7.7109375" style="2995" customWidth="1"/>
    <col min="7951" max="7951" width="0.42578125" style="2995" customWidth="1"/>
    <col min="7952" max="7952" width="8" style="2995" customWidth="1"/>
    <col min="7953" max="8192" width="11.42578125" style="2995"/>
    <col min="8193" max="8193" width="14" style="2995" customWidth="1"/>
    <col min="8194" max="8194" width="0.85546875" style="2995" customWidth="1"/>
    <col min="8195" max="8195" width="8.7109375" style="2995" customWidth="1"/>
    <col min="8196" max="8196" width="6.85546875" style="2995" customWidth="1"/>
    <col min="8197" max="8197" width="12.140625" style="2995" customWidth="1"/>
    <col min="8198" max="8199" width="9.7109375" style="2995" customWidth="1"/>
    <col min="8200" max="8200" width="1.5703125" style="2995" customWidth="1"/>
    <col min="8201" max="8201" width="0.5703125" style="2995" customWidth="1"/>
    <col min="8202" max="8202" width="10.7109375" style="2995" customWidth="1"/>
    <col min="8203" max="8203" width="10" style="2995" customWidth="1"/>
    <col min="8204" max="8204" width="7.7109375" style="2995" customWidth="1"/>
    <col min="8205" max="8205" width="0.42578125" style="2995" customWidth="1"/>
    <col min="8206" max="8206" width="7.7109375" style="2995" customWidth="1"/>
    <col min="8207" max="8207" width="0.42578125" style="2995" customWidth="1"/>
    <col min="8208" max="8208" width="8" style="2995" customWidth="1"/>
    <col min="8209" max="8448" width="11.42578125" style="2995"/>
    <col min="8449" max="8449" width="14" style="2995" customWidth="1"/>
    <col min="8450" max="8450" width="0.85546875" style="2995" customWidth="1"/>
    <col min="8451" max="8451" width="8.7109375" style="2995" customWidth="1"/>
    <col min="8452" max="8452" width="6.85546875" style="2995" customWidth="1"/>
    <col min="8453" max="8453" width="12.140625" style="2995" customWidth="1"/>
    <col min="8454" max="8455" width="9.7109375" style="2995" customWidth="1"/>
    <col min="8456" max="8456" width="1.5703125" style="2995" customWidth="1"/>
    <col min="8457" max="8457" width="0.5703125" style="2995" customWidth="1"/>
    <col min="8458" max="8458" width="10.7109375" style="2995" customWidth="1"/>
    <col min="8459" max="8459" width="10" style="2995" customWidth="1"/>
    <col min="8460" max="8460" width="7.7109375" style="2995" customWidth="1"/>
    <col min="8461" max="8461" width="0.42578125" style="2995" customWidth="1"/>
    <col min="8462" max="8462" width="7.7109375" style="2995" customWidth="1"/>
    <col min="8463" max="8463" width="0.42578125" style="2995" customWidth="1"/>
    <col min="8464" max="8464" width="8" style="2995" customWidth="1"/>
    <col min="8465" max="8704" width="11.42578125" style="2995"/>
    <col min="8705" max="8705" width="14" style="2995" customWidth="1"/>
    <col min="8706" max="8706" width="0.85546875" style="2995" customWidth="1"/>
    <col min="8707" max="8707" width="8.7109375" style="2995" customWidth="1"/>
    <col min="8708" max="8708" width="6.85546875" style="2995" customWidth="1"/>
    <col min="8709" max="8709" width="12.140625" style="2995" customWidth="1"/>
    <col min="8710" max="8711" width="9.7109375" style="2995" customWidth="1"/>
    <col min="8712" max="8712" width="1.5703125" style="2995" customWidth="1"/>
    <col min="8713" max="8713" width="0.5703125" style="2995" customWidth="1"/>
    <col min="8714" max="8714" width="10.7109375" style="2995" customWidth="1"/>
    <col min="8715" max="8715" width="10" style="2995" customWidth="1"/>
    <col min="8716" max="8716" width="7.7109375" style="2995" customWidth="1"/>
    <col min="8717" max="8717" width="0.42578125" style="2995" customWidth="1"/>
    <col min="8718" max="8718" width="7.7109375" style="2995" customWidth="1"/>
    <col min="8719" max="8719" width="0.42578125" style="2995" customWidth="1"/>
    <col min="8720" max="8720" width="8" style="2995" customWidth="1"/>
    <col min="8721" max="8960" width="11.42578125" style="2995"/>
    <col min="8961" max="8961" width="14" style="2995" customWidth="1"/>
    <col min="8962" max="8962" width="0.85546875" style="2995" customWidth="1"/>
    <col min="8963" max="8963" width="8.7109375" style="2995" customWidth="1"/>
    <col min="8964" max="8964" width="6.85546875" style="2995" customWidth="1"/>
    <col min="8965" max="8965" width="12.140625" style="2995" customWidth="1"/>
    <col min="8966" max="8967" width="9.7109375" style="2995" customWidth="1"/>
    <col min="8968" max="8968" width="1.5703125" style="2995" customWidth="1"/>
    <col min="8969" max="8969" width="0.5703125" style="2995" customWidth="1"/>
    <col min="8970" max="8970" width="10.7109375" style="2995" customWidth="1"/>
    <col min="8971" max="8971" width="10" style="2995" customWidth="1"/>
    <col min="8972" max="8972" width="7.7109375" style="2995" customWidth="1"/>
    <col min="8973" max="8973" width="0.42578125" style="2995" customWidth="1"/>
    <col min="8974" max="8974" width="7.7109375" style="2995" customWidth="1"/>
    <col min="8975" max="8975" width="0.42578125" style="2995" customWidth="1"/>
    <col min="8976" max="8976" width="8" style="2995" customWidth="1"/>
    <col min="8977" max="9216" width="11.42578125" style="2995"/>
    <col min="9217" max="9217" width="14" style="2995" customWidth="1"/>
    <col min="9218" max="9218" width="0.85546875" style="2995" customWidth="1"/>
    <col min="9219" max="9219" width="8.7109375" style="2995" customWidth="1"/>
    <col min="9220" max="9220" width="6.85546875" style="2995" customWidth="1"/>
    <col min="9221" max="9221" width="12.140625" style="2995" customWidth="1"/>
    <col min="9222" max="9223" width="9.7109375" style="2995" customWidth="1"/>
    <col min="9224" max="9224" width="1.5703125" style="2995" customWidth="1"/>
    <col min="9225" max="9225" width="0.5703125" style="2995" customWidth="1"/>
    <col min="9226" max="9226" width="10.7109375" style="2995" customWidth="1"/>
    <col min="9227" max="9227" width="10" style="2995" customWidth="1"/>
    <col min="9228" max="9228" width="7.7109375" style="2995" customWidth="1"/>
    <col min="9229" max="9229" width="0.42578125" style="2995" customWidth="1"/>
    <col min="9230" max="9230" width="7.7109375" style="2995" customWidth="1"/>
    <col min="9231" max="9231" width="0.42578125" style="2995" customWidth="1"/>
    <col min="9232" max="9232" width="8" style="2995" customWidth="1"/>
    <col min="9233" max="9472" width="11.42578125" style="2995"/>
    <col min="9473" max="9473" width="14" style="2995" customWidth="1"/>
    <col min="9474" max="9474" width="0.85546875" style="2995" customWidth="1"/>
    <col min="9475" max="9475" width="8.7109375" style="2995" customWidth="1"/>
    <col min="9476" max="9476" width="6.85546875" style="2995" customWidth="1"/>
    <col min="9477" max="9477" width="12.140625" style="2995" customWidth="1"/>
    <col min="9478" max="9479" width="9.7109375" style="2995" customWidth="1"/>
    <col min="9480" max="9480" width="1.5703125" style="2995" customWidth="1"/>
    <col min="9481" max="9481" width="0.5703125" style="2995" customWidth="1"/>
    <col min="9482" max="9482" width="10.7109375" style="2995" customWidth="1"/>
    <col min="9483" max="9483" width="10" style="2995" customWidth="1"/>
    <col min="9484" max="9484" width="7.7109375" style="2995" customWidth="1"/>
    <col min="9485" max="9485" width="0.42578125" style="2995" customWidth="1"/>
    <col min="9486" max="9486" width="7.7109375" style="2995" customWidth="1"/>
    <col min="9487" max="9487" width="0.42578125" style="2995" customWidth="1"/>
    <col min="9488" max="9488" width="8" style="2995" customWidth="1"/>
    <col min="9489" max="9728" width="11.42578125" style="2995"/>
    <col min="9729" max="9729" width="14" style="2995" customWidth="1"/>
    <col min="9730" max="9730" width="0.85546875" style="2995" customWidth="1"/>
    <col min="9731" max="9731" width="8.7109375" style="2995" customWidth="1"/>
    <col min="9732" max="9732" width="6.85546875" style="2995" customWidth="1"/>
    <col min="9733" max="9733" width="12.140625" style="2995" customWidth="1"/>
    <col min="9734" max="9735" width="9.7109375" style="2995" customWidth="1"/>
    <col min="9736" max="9736" width="1.5703125" style="2995" customWidth="1"/>
    <col min="9737" max="9737" width="0.5703125" style="2995" customWidth="1"/>
    <col min="9738" max="9738" width="10.7109375" style="2995" customWidth="1"/>
    <col min="9739" max="9739" width="10" style="2995" customWidth="1"/>
    <col min="9740" max="9740" width="7.7109375" style="2995" customWidth="1"/>
    <col min="9741" max="9741" width="0.42578125" style="2995" customWidth="1"/>
    <col min="9742" max="9742" width="7.7109375" style="2995" customWidth="1"/>
    <col min="9743" max="9743" width="0.42578125" style="2995" customWidth="1"/>
    <col min="9744" max="9744" width="8" style="2995" customWidth="1"/>
    <col min="9745" max="9984" width="11.42578125" style="2995"/>
    <col min="9985" max="9985" width="14" style="2995" customWidth="1"/>
    <col min="9986" max="9986" width="0.85546875" style="2995" customWidth="1"/>
    <col min="9987" max="9987" width="8.7109375" style="2995" customWidth="1"/>
    <col min="9988" max="9988" width="6.85546875" style="2995" customWidth="1"/>
    <col min="9989" max="9989" width="12.140625" style="2995" customWidth="1"/>
    <col min="9990" max="9991" width="9.7109375" style="2995" customWidth="1"/>
    <col min="9992" max="9992" width="1.5703125" style="2995" customWidth="1"/>
    <col min="9993" max="9993" width="0.5703125" style="2995" customWidth="1"/>
    <col min="9994" max="9994" width="10.7109375" style="2995" customWidth="1"/>
    <col min="9995" max="9995" width="10" style="2995" customWidth="1"/>
    <col min="9996" max="9996" width="7.7109375" style="2995" customWidth="1"/>
    <col min="9997" max="9997" width="0.42578125" style="2995" customWidth="1"/>
    <col min="9998" max="9998" width="7.7109375" style="2995" customWidth="1"/>
    <col min="9999" max="9999" width="0.42578125" style="2995" customWidth="1"/>
    <col min="10000" max="10000" width="8" style="2995" customWidth="1"/>
    <col min="10001" max="10240" width="11.42578125" style="2995"/>
    <col min="10241" max="10241" width="14" style="2995" customWidth="1"/>
    <col min="10242" max="10242" width="0.85546875" style="2995" customWidth="1"/>
    <col min="10243" max="10243" width="8.7109375" style="2995" customWidth="1"/>
    <col min="10244" max="10244" width="6.85546875" style="2995" customWidth="1"/>
    <col min="10245" max="10245" width="12.140625" style="2995" customWidth="1"/>
    <col min="10246" max="10247" width="9.7109375" style="2995" customWidth="1"/>
    <col min="10248" max="10248" width="1.5703125" style="2995" customWidth="1"/>
    <col min="10249" max="10249" width="0.5703125" style="2995" customWidth="1"/>
    <col min="10250" max="10250" width="10.7109375" style="2995" customWidth="1"/>
    <col min="10251" max="10251" width="10" style="2995" customWidth="1"/>
    <col min="10252" max="10252" width="7.7109375" style="2995" customWidth="1"/>
    <col min="10253" max="10253" width="0.42578125" style="2995" customWidth="1"/>
    <col min="10254" max="10254" width="7.7109375" style="2995" customWidth="1"/>
    <col min="10255" max="10255" width="0.42578125" style="2995" customWidth="1"/>
    <col min="10256" max="10256" width="8" style="2995" customWidth="1"/>
    <col min="10257" max="10496" width="11.42578125" style="2995"/>
    <col min="10497" max="10497" width="14" style="2995" customWidth="1"/>
    <col min="10498" max="10498" width="0.85546875" style="2995" customWidth="1"/>
    <col min="10499" max="10499" width="8.7109375" style="2995" customWidth="1"/>
    <col min="10500" max="10500" width="6.85546875" style="2995" customWidth="1"/>
    <col min="10501" max="10501" width="12.140625" style="2995" customWidth="1"/>
    <col min="10502" max="10503" width="9.7109375" style="2995" customWidth="1"/>
    <col min="10504" max="10504" width="1.5703125" style="2995" customWidth="1"/>
    <col min="10505" max="10505" width="0.5703125" style="2995" customWidth="1"/>
    <col min="10506" max="10506" width="10.7109375" style="2995" customWidth="1"/>
    <col min="10507" max="10507" width="10" style="2995" customWidth="1"/>
    <col min="10508" max="10508" width="7.7109375" style="2995" customWidth="1"/>
    <col min="10509" max="10509" width="0.42578125" style="2995" customWidth="1"/>
    <col min="10510" max="10510" width="7.7109375" style="2995" customWidth="1"/>
    <col min="10511" max="10511" width="0.42578125" style="2995" customWidth="1"/>
    <col min="10512" max="10512" width="8" style="2995" customWidth="1"/>
    <col min="10513" max="10752" width="11.42578125" style="2995"/>
    <col min="10753" max="10753" width="14" style="2995" customWidth="1"/>
    <col min="10754" max="10754" width="0.85546875" style="2995" customWidth="1"/>
    <col min="10755" max="10755" width="8.7109375" style="2995" customWidth="1"/>
    <col min="10756" max="10756" width="6.85546875" style="2995" customWidth="1"/>
    <col min="10757" max="10757" width="12.140625" style="2995" customWidth="1"/>
    <col min="10758" max="10759" width="9.7109375" style="2995" customWidth="1"/>
    <col min="10760" max="10760" width="1.5703125" style="2995" customWidth="1"/>
    <col min="10761" max="10761" width="0.5703125" style="2995" customWidth="1"/>
    <col min="10762" max="10762" width="10.7109375" style="2995" customWidth="1"/>
    <col min="10763" max="10763" width="10" style="2995" customWidth="1"/>
    <col min="10764" max="10764" width="7.7109375" style="2995" customWidth="1"/>
    <col min="10765" max="10765" width="0.42578125" style="2995" customWidth="1"/>
    <col min="10766" max="10766" width="7.7109375" style="2995" customWidth="1"/>
    <col min="10767" max="10767" width="0.42578125" style="2995" customWidth="1"/>
    <col min="10768" max="10768" width="8" style="2995" customWidth="1"/>
    <col min="10769" max="11008" width="11.42578125" style="2995"/>
    <col min="11009" max="11009" width="14" style="2995" customWidth="1"/>
    <col min="11010" max="11010" width="0.85546875" style="2995" customWidth="1"/>
    <col min="11011" max="11011" width="8.7109375" style="2995" customWidth="1"/>
    <col min="11012" max="11012" width="6.85546875" style="2995" customWidth="1"/>
    <col min="11013" max="11013" width="12.140625" style="2995" customWidth="1"/>
    <col min="11014" max="11015" width="9.7109375" style="2995" customWidth="1"/>
    <col min="11016" max="11016" width="1.5703125" style="2995" customWidth="1"/>
    <col min="11017" max="11017" width="0.5703125" style="2995" customWidth="1"/>
    <col min="11018" max="11018" width="10.7109375" style="2995" customWidth="1"/>
    <col min="11019" max="11019" width="10" style="2995" customWidth="1"/>
    <col min="11020" max="11020" width="7.7109375" style="2995" customWidth="1"/>
    <col min="11021" max="11021" width="0.42578125" style="2995" customWidth="1"/>
    <col min="11022" max="11022" width="7.7109375" style="2995" customWidth="1"/>
    <col min="11023" max="11023" width="0.42578125" style="2995" customWidth="1"/>
    <col min="11024" max="11024" width="8" style="2995" customWidth="1"/>
    <col min="11025" max="11264" width="11.42578125" style="2995"/>
    <col min="11265" max="11265" width="14" style="2995" customWidth="1"/>
    <col min="11266" max="11266" width="0.85546875" style="2995" customWidth="1"/>
    <col min="11267" max="11267" width="8.7109375" style="2995" customWidth="1"/>
    <col min="11268" max="11268" width="6.85546875" style="2995" customWidth="1"/>
    <col min="11269" max="11269" width="12.140625" style="2995" customWidth="1"/>
    <col min="11270" max="11271" width="9.7109375" style="2995" customWidth="1"/>
    <col min="11272" max="11272" width="1.5703125" style="2995" customWidth="1"/>
    <col min="11273" max="11273" width="0.5703125" style="2995" customWidth="1"/>
    <col min="11274" max="11274" width="10.7109375" style="2995" customWidth="1"/>
    <col min="11275" max="11275" width="10" style="2995" customWidth="1"/>
    <col min="11276" max="11276" width="7.7109375" style="2995" customWidth="1"/>
    <col min="11277" max="11277" width="0.42578125" style="2995" customWidth="1"/>
    <col min="11278" max="11278" width="7.7109375" style="2995" customWidth="1"/>
    <col min="11279" max="11279" width="0.42578125" style="2995" customWidth="1"/>
    <col min="11280" max="11280" width="8" style="2995" customWidth="1"/>
    <col min="11281" max="11520" width="11.42578125" style="2995"/>
    <col min="11521" max="11521" width="14" style="2995" customWidth="1"/>
    <col min="11522" max="11522" width="0.85546875" style="2995" customWidth="1"/>
    <col min="11523" max="11523" width="8.7109375" style="2995" customWidth="1"/>
    <col min="11524" max="11524" width="6.85546875" style="2995" customWidth="1"/>
    <col min="11525" max="11525" width="12.140625" style="2995" customWidth="1"/>
    <col min="11526" max="11527" width="9.7109375" style="2995" customWidth="1"/>
    <col min="11528" max="11528" width="1.5703125" style="2995" customWidth="1"/>
    <col min="11529" max="11529" width="0.5703125" style="2995" customWidth="1"/>
    <col min="11530" max="11530" width="10.7109375" style="2995" customWidth="1"/>
    <col min="11531" max="11531" width="10" style="2995" customWidth="1"/>
    <col min="11532" max="11532" width="7.7109375" style="2995" customWidth="1"/>
    <col min="11533" max="11533" width="0.42578125" style="2995" customWidth="1"/>
    <col min="11534" max="11534" width="7.7109375" style="2995" customWidth="1"/>
    <col min="11535" max="11535" width="0.42578125" style="2995" customWidth="1"/>
    <col min="11536" max="11536" width="8" style="2995" customWidth="1"/>
    <col min="11537" max="11776" width="11.42578125" style="2995"/>
    <col min="11777" max="11777" width="14" style="2995" customWidth="1"/>
    <col min="11778" max="11778" width="0.85546875" style="2995" customWidth="1"/>
    <col min="11779" max="11779" width="8.7109375" style="2995" customWidth="1"/>
    <col min="11780" max="11780" width="6.85546875" style="2995" customWidth="1"/>
    <col min="11781" max="11781" width="12.140625" style="2995" customWidth="1"/>
    <col min="11782" max="11783" width="9.7109375" style="2995" customWidth="1"/>
    <col min="11784" max="11784" width="1.5703125" style="2995" customWidth="1"/>
    <col min="11785" max="11785" width="0.5703125" style="2995" customWidth="1"/>
    <col min="11786" max="11786" width="10.7109375" style="2995" customWidth="1"/>
    <col min="11787" max="11787" width="10" style="2995" customWidth="1"/>
    <col min="11788" max="11788" width="7.7109375" style="2995" customWidth="1"/>
    <col min="11789" max="11789" width="0.42578125" style="2995" customWidth="1"/>
    <col min="11790" max="11790" width="7.7109375" style="2995" customWidth="1"/>
    <col min="11791" max="11791" width="0.42578125" style="2995" customWidth="1"/>
    <col min="11792" max="11792" width="8" style="2995" customWidth="1"/>
    <col min="11793" max="12032" width="11.42578125" style="2995"/>
    <col min="12033" max="12033" width="14" style="2995" customWidth="1"/>
    <col min="12034" max="12034" width="0.85546875" style="2995" customWidth="1"/>
    <col min="12035" max="12035" width="8.7109375" style="2995" customWidth="1"/>
    <col min="12036" max="12036" width="6.85546875" style="2995" customWidth="1"/>
    <col min="12037" max="12037" width="12.140625" style="2995" customWidth="1"/>
    <col min="12038" max="12039" width="9.7109375" style="2995" customWidth="1"/>
    <col min="12040" max="12040" width="1.5703125" style="2995" customWidth="1"/>
    <col min="12041" max="12041" width="0.5703125" style="2995" customWidth="1"/>
    <col min="12042" max="12042" width="10.7109375" style="2995" customWidth="1"/>
    <col min="12043" max="12043" width="10" style="2995" customWidth="1"/>
    <col min="12044" max="12044" width="7.7109375" style="2995" customWidth="1"/>
    <col min="12045" max="12045" width="0.42578125" style="2995" customWidth="1"/>
    <col min="12046" max="12046" width="7.7109375" style="2995" customWidth="1"/>
    <col min="12047" max="12047" width="0.42578125" style="2995" customWidth="1"/>
    <col min="12048" max="12048" width="8" style="2995" customWidth="1"/>
    <col min="12049" max="12288" width="11.42578125" style="2995"/>
    <col min="12289" max="12289" width="14" style="2995" customWidth="1"/>
    <col min="12290" max="12290" width="0.85546875" style="2995" customWidth="1"/>
    <col min="12291" max="12291" width="8.7109375" style="2995" customWidth="1"/>
    <col min="12292" max="12292" width="6.85546875" style="2995" customWidth="1"/>
    <col min="12293" max="12293" width="12.140625" style="2995" customWidth="1"/>
    <col min="12294" max="12295" width="9.7109375" style="2995" customWidth="1"/>
    <col min="12296" max="12296" width="1.5703125" style="2995" customWidth="1"/>
    <col min="12297" max="12297" width="0.5703125" style="2995" customWidth="1"/>
    <col min="12298" max="12298" width="10.7109375" style="2995" customWidth="1"/>
    <col min="12299" max="12299" width="10" style="2995" customWidth="1"/>
    <col min="12300" max="12300" width="7.7109375" style="2995" customWidth="1"/>
    <col min="12301" max="12301" width="0.42578125" style="2995" customWidth="1"/>
    <col min="12302" max="12302" width="7.7109375" style="2995" customWidth="1"/>
    <col min="12303" max="12303" width="0.42578125" style="2995" customWidth="1"/>
    <col min="12304" max="12304" width="8" style="2995" customWidth="1"/>
    <col min="12305" max="12544" width="11.42578125" style="2995"/>
    <col min="12545" max="12545" width="14" style="2995" customWidth="1"/>
    <col min="12546" max="12546" width="0.85546875" style="2995" customWidth="1"/>
    <col min="12547" max="12547" width="8.7109375" style="2995" customWidth="1"/>
    <col min="12548" max="12548" width="6.85546875" style="2995" customWidth="1"/>
    <col min="12549" max="12549" width="12.140625" style="2995" customWidth="1"/>
    <col min="12550" max="12551" width="9.7109375" style="2995" customWidth="1"/>
    <col min="12552" max="12552" width="1.5703125" style="2995" customWidth="1"/>
    <col min="12553" max="12553" width="0.5703125" style="2995" customWidth="1"/>
    <col min="12554" max="12554" width="10.7109375" style="2995" customWidth="1"/>
    <col min="12555" max="12555" width="10" style="2995" customWidth="1"/>
    <col min="12556" max="12556" width="7.7109375" style="2995" customWidth="1"/>
    <col min="12557" max="12557" width="0.42578125" style="2995" customWidth="1"/>
    <col min="12558" max="12558" width="7.7109375" style="2995" customWidth="1"/>
    <col min="12559" max="12559" width="0.42578125" style="2995" customWidth="1"/>
    <col min="12560" max="12560" width="8" style="2995" customWidth="1"/>
    <col min="12561" max="12800" width="11.42578125" style="2995"/>
    <col min="12801" max="12801" width="14" style="2995" customWidth="1"/>
    <col min="12802" max="12802" width="0.85546875" style="2995" customWidth="1"/>
    <col min="12803" max="12803" width="8.7109375" style="2995" customWidth="1"/>
    <col min="12804" max="12804" width="6.85546875" style="2995" customWidth="1"/>
    <col min="12805" max="12805" width="12.140625" style="2995" customWidth="1"/>
    <col min="12806" max="12807" width="9.7109375" style="2995" customWidth="1"/>
    <col min="12808" max="12808" width="1.5703125" style="2995" customWidth="1"/>
    <col min="12809" max="12809" width="0.5703125" style="2995" customWidth="1"/>
    <col min="12810" max="12810" width="10.7109375" style="2995" customWidth="1"/>
    <col min="12811" max="12811" width="10" style="2995" customWidth="1"/>
    <col min="12812" max="12812" width="7.7109375" style="2995" customWidth="1"/>
    <col min="12813" max="12813" width="0.42578125" style="2995" customWidth="1"/>
    <col min="12814" max="12814" width="7.7109375" style="2995" customWidth="1"/>
    <col min="12815" max="12815" width="0.42578125" style="2995" customWidth="1"/>
    <col min="12816" max="12816" width="8" style="2995" customWidth="1"/>
    <col min="12817" max="13056" width="11.42578125" style="2995"/>
    <col min="13057" max="13057" width="14" style="2995" customWidth="1"/>
    <col min="13058" max="13058" width="0.85546875" style="2995" customWidth="1"/>
    <col min="13059" max="13059" width="8.7109375" style="2995" customWidth="1"/>
    <col min="13060" max="13060" width="6.85546875" style="2995" customWidth="1"/>
    <col min="13061" max="13061" width="12.140625" style="2995" customWidth="1"/>
    <col min="13062" max="13063" width="9.7109375" style="2995" customWidth="1"/>
    <col min="13064" max="13064" width="1.5703125" style="2995" customWidth="1"/>
    <col min="13065" max="13065" width="0.5703125" style="2995" customWidth="1"/>
    <col min="13066" max="13066" width="10.7109375" style="2995" customWidth="1"/>
    <col min="13067" max="13067" width="10" style="2995" customWidth="1"/>
    <col min="13068" max="13068" width="7.7109375" style="2995" customWidth="1"/>
    <col min="13069" max="13069" width="0.42578125" style="2995" customWidth="1"/>
    <col min="13070" max="13070" width="7.7109375" style="2995" customWidth="1"/>
    <col min="13071" max="13071" width="0.42578125" style="2995" customWidth="1"/>
    <col min="13072" max="13072" width="8" style="2995" customWidth="1"/>
    <col min="13073" max="13312" width="11.42578125" style="2995"/>
    <col min="13313" max="13313" width="14" style="2995" customWidth="1"/>
    <col min="13314" max="13314" width="0.85546875" style="2995" customWidth="1"/>
    <col min="13315" max="13315" width="8.7109375" style="2995" customWidth="1"/>
    <col min="13316" max="13316" width="6.85546875" style="2995" customWidth="1"/>
    <col min="13317" max="13317" width="12.140625" style="2995" customWidth="1"/>
    <col min="13318" max="13319" width="9.7109375" style="2995" customWidth="1"/>
    <col min="13320" max="13320" width="1.5703125" style="2995" customWidth="1"/>
    <col min="13321" max="13321" width="0.5703125" style="2995" customWidth="1"/>
    <col min="13322" max="13322" width="10.7109375" style="2995" customWidth="1"/>
    <col min="13323" max="13323" width="10" style="2995" customWidth="1"/>
    <col min="13324" max="13324" width="7.7109375" style="2995" customWidth="1"/>
    <col min="13325" max="13325" width="0.42578125" style="2995" customWidth="1"/>
    <col min="13326" max="13326" width="7.7109375" style="2995" customWidth="1"/>
    <col min="13327" max="13327" width="0.42578125" style="2995" customWidth="1"/>
    <col min="13328" max="13328" width="8" style="2995" customWidth="1"/>
    <col min="13329" max="13568" width="11.42578125" style="2995"/>
    <col min="13569" max="13569" width="14" style="2995" customWidth="1"/>
    <col min="13570" max="13570" width="0.85546875" style="2995" customWidth="1"/>
    <col min="13571" max="13571" width="8.7109375" style="2995" customWidth="1"/>
    <col min="13572" max="13572" width="6.85546875" style="2995" customWidth="1"/>
    <col min="13573" max="13573" width="12.140625" style="2995" customWidth="1"/>
    <col min="13574" max="13575" width="9.7109375" style="2995" customWidth="1"/>
    <col min="13576" max="13576" width="1.5703125" style="2995" customWidth="1"/>
    <col min="13577" max="13577" width="0.5703125" style="2995" customWidth="1"/>
    <col min="13578" max="13578" width="10.7109375" style="2995" customWidth="1"/>
    <col min="13579" max="13579" width="10" style="2995" customWidth="1"/>
    <col min="13580" max="13580" width="7.7109375" style="2995" customWidth="1"/>
    <col min="13581" max="13581" width="0.42578125" style="2995" customWidth="1"/>
    <col min="13582" max="13582" width="7.7109375" style="2995" customWidth="1"/>
    <col min="13583" max="13583" width="0.42578125" style="2995" customWidth="1"/>
    <col min="13584" max="13584" width="8" style="2995" customWidth="1"/>
    <col min="13585" max="13824" width="11.42578125" style="2995"/>
    <col min="13825" max="13825" width="14" style="2995" customWidth="1"/>
    <col min="13826" max="13826" width="0.85546875" style="2995" customWidth="1"/>
    <col min="13827" max="13827" width="8.7109375" style="2995" customWidth="1"/>
    <col min="13828" max="13828" width="6.85546875" style="2995" customWidth="1"/>
    <col min="13829" max="13829" width="12.140625" style="2995" customWidth="1"/>
    <col min="13830" max="13831" width="9.7109375" style="2995" customWidth="1"/>
    <col min="13832" max="13832" width="1.5703125" style="2995" customWidth="1"/>
    <col min="13833" max="13833" width="0.5703125" style="2995" customWidth="1"/>
    <col min="13834" max="13834" width="10.7109375" style="2995" customWidth="1"/>
    <col min="13835" max="13835" width="10" style="2995" customWidth="1"/>
    <col min="13836" max="13836" width="7.7109375" style="2995" customWidth="1"/>
    <col min="13837" max="13837" width="0.42578125" style="2995" customWidth="1"/>
    <col min="13838" max="13838" width="7.7109375" style="2995" customWidth="1"/>
    <col min="13839" max="13839" width="0.42578125" style="2995" customWidth="1"/>
    <col min="13840" max="13840" width="8" style="2995" customWidth="1"/>
    <col min="13841" max="14080" width="11.42578125" style="2995"/>
    <col min="14081" max="14081" width="14" style="2995" customWidth="1"/>
    <col min="14082" max="14082" width="0.85546875" style="2995" customWidth="1"/>
    <col min="14083" max="14083" width="8.7109375" style="2995" customWidth="1"/>
    <col min="14084" max="14084" width="6.85546875" style="2995" customWidth="1"/>
    <col min="14085" max="14085" width="12.140625" style="2995" customWidth="1"/>
    <col min="14086" max="14087" width="9.7109375" style="2995" customWidth="1"/>
    <col min="14088" max="14088" width="1.5703125" style="2995" customWidth="1"/>
    <col min="14089" max="14089" width="0.5703125" style="2995" customWidth="1"/>
    <col min="14090" max="14090" width="10.7109375" style="2995" customWidth="1"/>
    <col min="14091" max="14091" width="10" style="2995" customWidth="1"/>
    <col min="14092" max="14092" width="7.7109375" style="2995" customWidth="1"/>
    <col min="14093" max="14093" width="0.42578125" style="2995" customWidth="1"/>
    <col min="14094" max="14094" width="7.7109375" style="2995" customWidth="1"/>
    <col min="14095" max="14095" width="0.42578125" style="2995" customWidth="1"/>
    <col min="14096" max="14096" width="8" style="2995" customWidth="1"/>
    <col min="14097" max="14336" width="11.42578125" style="2995"/>
    <col min="14337" max="14337" width="14" style="2995" customWidth="1"/>
    <col min="14338" max="14338" width="0.85546875" style="2995" customWidth="1"/>
    <col min="14339" max="14339" width="8.7109375" style="2995" customWidth="1"/>
    <col min="14340" max="14340" width="6.85546875" style="2995" customWidth="1"/>
    <col min="14341" max="14341" width="12.140625" style="2995" customWidth="1"/>
    <col min="14342" max="14343" width="9.7109375" style="2995" customWidth="1"/>
    <col min="14344" max="14344" width="1.5703125" style="2995" customWidth="1"/>
    <col min="14345" max="14345" width="0.5703125" style="2995" customWidth="1"/>
    <col min="14346" max="14346" width="10.7109375" style="2995" customWidth="1"/>
    <col min="14347" max="14347" width="10" style="2995" customWidth="1"/>
    <col min="14348" max="14348" width="7.7109375" style="2995" customWidth="1"/>
    <col min="14349" max="14349" width="0.42578125" style="2995" customWidth="1"/>
    <col min="14350" max="14350" width="7.7109375" style="2995" customWidth="1"/>
    <col min="14351" max="14351" width="0.42578125" style="2995" customWidth="1"/>
    <col min="14352" max="14352" width="8" style="2995" customWidth="1"/>
    <col min="14353" max="14592" width="11.42578125" style="2995"/>
    <col min="14593" max="14593" width="14" style="2995" customWidth="1"/>
    <col min="14594" max="14594" width="0.85546875" style="2995" customWidth="1"/>
    <col min="14595" max="14595" width="8.7109375" style="2995" customWidth="1"/>
    <col min="14596" max="14596" width="6.85546875" style="2995" customWidth="1"/>
    <col min="14597" max="14597" width="12.140625" style="2995" customWidth="1"/>
    <col min="14598" max="14599" width="9.7109375" style="2995" customWidth="1"/>
    <col min="14600" max="14600" width="1.5703125" style="2995" customWidth="1"/>
    <col min="14601" max="14601" width="0.5703125" style="2995" customWidth="1"/>
    <col min="14602" max="14602" width="10.7109375" style="2995" customWidth="1"/>
    <col min="14603" max="14603" width="10" style="2995" customWidth="1"/>
    <col min="14604" max="14604" width="7.7109375" style="2995" customWidth="1"/>
    <col min="14605" max="14605" width="0.42578125" style="2995" customWidth="1"/>
    <col min="14606" max="14606" width="7.7109375" style="2995" customWidth="1"/>
    <col min="14607" max="14607" width="0.42578125" style="2995" customWidth="1"/>
    <col min="14608" max="14608" width="8" style="2995" customWidth="1"/>
    <col min="14609" max="14848" width="11.42578125" style="2995"/>
    <col min="14849" max="14849" width="14" style="2995" customWidth="1"/>
    <col min="14850" max="14850" width="0.85546875" style="2995" customWidth="1"/>
    <col min="14851" max="14851" width="8.7109375" style="2995" customWidth="1"/>
    <col min="14852" max="14852" width="6.85546875" style="2995" customWidth="1"/>
    <col min="14853" max="14853" width="12.140625" style="2995" customWidth="1"/>
    <col min="14854" max="14855" width="9.7109375" style="2995" customWidth="1"/>
    <col min="14856" max="14856" width="1.5703125" style="2995" customWidth="1"/>
    <col min="14857" max="14857" width="0.5703125" style="2995" customWidth="1"/>
    <col min="14858" max="14858" width="10.7109375" style="2995" customWidth="1"/>
    <col min="14859" max="14859" width="10" style="2995" customWidth="1"/>
    <col min="14860" max="14860" width="7.7109375" style="2995" customWidth="1"/>
    <col min="14861" max="14861" width="0.42578125" style="2995" customWidth="1"/>
    <col min="14862" max="14862" width="7.7109375" style="2995" customWidth="1"/>
    <col min="14863" max="14863" width="0.42578125" style="2995" customWidth="1"/>
    <col min="14864" max="14864" width="8" style="2995" customWidth="1"/>
    <col min="14865" max="15104" width="11.42578125" style="2995"/>
    <col min="15105" max="15105" width="14" style="2995" customWidth="1"/>
    <col min="15106" max="15106" width="0.85546875" style="2995" customWidth="1"/>
    <col min="15107" max="15107" width="8.7109375" style="2995" customWidth="1"/>
    <col min="15108" max="15108" width="6.85546875" style="2995" customWidth="1"/>
    <col min="15109" max="15109" width="12.140625" style="2995" customWidth="1"/>
    <col min="15110" max="15111" width="9.7109375" style="2995" customWidth="1"/>
    <col min="15112" max="15112" width="1.5703125" style="2995" customWidth="1"/>
    <col min="15113" max="15113" width="0.5703125" style="2995" customWidth="1"/>
    <col min="15114" max="15114" width="10.7109375" style="2995" customWidth="1"/>
    <col min="15115" max="15115" width="10" style="2995" customWidth="1"/>
    <col min="15116" max="15116" width="7.7109375" style="2995" customWidth="1"/>
    <col min="15117" max="15117" width="0.42578125" style="2995" customWidth="1"/>
    <col min="15118" max="15118" width="7.7109375" style="2995" customWidth="1"/>
    <col min="15119" max="15119" width="0.42578125" style="2995" customWidth="1"/>
    <col min="15120" max="15120" width="8" style="2995" customWidth="1"/>
    <col min="15121" max="15360" width="11.42578125" style="2995"/>
    <col min="15361" max="15361" width="14" style="2995" customWidth="1"/>
    <col min="15362" max="15362" width="0.85546875" style="2995" customWidth="1"/>
    <col min="15363" max="15363" width="8.7109375" style="2995" customWidth="1"/>
    <col min="15364" max="15364" width="6.85546875" style="2995" customWidth="1"/>
    <col min="15365" max="15365" width="12.140625" style="2995" customWidth="1"/>
    <col min="15366" max="15367" width="9.7109375" style="2995" customWidth="1"/>
    <col min="15368" max="15368" width="1.5703125" style="2995" customWidth="1"/>
    <col min="15369" max="15369" width="0.5703125" style="2995" customWidth="1"/>
    <col min="15370" max="15370" width="10.7109375" style="2995" customWidth="1"/>
    <col min="15371" max="15371" width="10" style="2995" customWidth="1"/>
    <col min="15372" max="15372" width="7.7109375" style="2995" customWidth="1"/>
    <col min="15373" max="15373" width="0.42578125" style="2995" customWidth="1"/>
    <col min="15374" max="15374" width="7.7109375" style="2995" customWidth="1"/>
    <col min="15375" max="15375" width="0.42578125" style="2995" customWidth="1"/>
    <col min="15376" max="15376" width="8" style="2995" customWidth="1"/>
    <col min="15377" max="15616" width="11.42578125" style="2995"/>
    <col min="15617" max="15617" width="14" style="2995" customWidth="1"/>
    <col min="15618" max="15618" width="0.85546875" style="2995" customWidth="1"/>
    <col min="15619" max="15619" width="8.7109375" style="2995" customWidth="1"/>
    <col min="15620" max="15620" width="6.85546875" style="2995" customWidth="1"/>
    <col min="15621" max="15621" width="12.140625" style="2995" customWidth="1"/>
    <col min="15622" max="15623" width="9.7109375" style="2995" customWidth="1"/>
    <col min="15624" max="15624" width="1.5703125" style="2995" customWidth="1"/>
    <col min="15625" max="15625" width="0.5703125" style="2995" customWidth="1"/>
    <col min="15626" max="15626" width="10.7109375" style="2995" customWidth="1"/>
    <col min="15627" max="15627" width="10" style="2995" customWidth="1"/>
    <col min="15628" max="15628" width="7.7109375" style="2995" customWidth="1"/>
    <col min="15629" max="15629" width="0.42578125" style="2995" customWidth="1"/>
    <col min="15630" max="15630" width="7.7109375" style="2995" customWidth="1"/>
    <col min="15631" max="15631" width="0.42578125" style="2995" customWidth="1"/>
    <col min="15632" max="15632" width="8" style="2995" customWidth="1"/>
    <col min="15633" max="15872" width="11.42578125" style="2995"/>
    <col min="15873" max="15873" width="14" style="2995" customWidth="1"/>
    <col min="15874" max="15874" width="0.85546875" style="2995" customWidth="1"/>
    <col min="15875" max="15875" width="8.7109375" style="2995" customWidth="1"/>
    <col min="15876" max="15876" width="6.85546875" style="2995" customWidth="1"/>
    <col min="15877" max="15877" width="12.140625" style="2995" customWidth="1"/>
    <col min="15878" max="15879" width="9.7109375" style="2995" customWidth="1"/>
    <col min="15880" max="15880" width="1.5703125" style="2995" customWidth="1"/>
    <col min="15881" max="15881" width="0.5703125" style="2995" customWidth="1"/>
    <col min="15882" max="15882" width="10.7109375" style="2995" customWidth="1"/>
    <col min="15883" max="15883" width="10" style="2995" customWidth="1"/>
    <col min="15884" max="15884" width="7.7109375" style="2995" customWidth="1"/>
    <col min="15885" max="15885" width="0.42578125" style="2995" customWidth="1"/>
    <col min="15886" max="15886" width="7.7109375" style="2995" customWidth="1"/>
    <col min="15887" max="15887" width="0.42578125" style="2995" customWidth="1"/>
    <col min="15888" max="15888" width="8" style="2995" customWidth="1"/>
    <col min="15889" max="16128" width="11.42578125" style="2995"/>
    <col min="16129" max="16129" width="14" style="2995" customWidth="1"/>
    <col min="16130" max="16130" width="0.85546875" style="2995" customWidth="1"/>
    <col min="16131" max="16131" width="8.7109375" style="2995" customWidth="1"/>
    <col min="16132" max="16132" width="6.85546875" style="2995" customWidth="1"/>
    <col min="16133" max="16133" width="12.140625" style="2995" customWidth="1"/>
    <col min="16134" max="16135" width="9.7109375" style="2995" customWidth="1"/>
    <col min="16136" max="16136" width="1.5703125" style="2995" customWidth="1"/>
    <col min="16137" max="16137" width="0.5703125" style="2995" customWidth="1"/>
    <col min="16138" max="16138" width="10.7109375" style="2995" customWidth="1"/>
    <col min="16139" max="16139" width="10" style="2995" customWidth="1"/>
    <col min="16140" max="16140" width="7.7109375" style="2995" customWidth="1"/>
    <col min="16141" max="16141" width="0.42578125" style="2995" customWidth="1"/>
    <col min="16142" max="16142" width="7.7109375" style="2995" customWidth="1"/>
    <col min="16143" max="16143" width="0.42578125" style="2995" customWidth="1"/>
    <col min="16144" max="16144" width="8" style="2995" customWidth="1"/>
    <col min="16145" max="16384" width="11.42578125" style="2995"/>
  </cols>
  <sheetData>
    <row r="1" spans="1:28" ht="15.75" x14ac:dyDescent="0.25">
      <c r="B1" s="3130"/>
      <c r="C1" s="3130"/>
      <c r="D1" s="3130"/>
      <c r="E1" s="3130"/>
      <c r="F1" s="3130"/>
      <c r="G1" s="3130"/>
      <c r="H1" s="3130"/>
      <c r="I1" s="3130"/>
      <c r="J1" s="3130"/>
      <c r="R1" s="2996"/>
      <c r="X1" s="3131" t="s">
        <v>3204</v>
      </c>
      <c r="Y1" s="3131"/>
      <c r="Z1" s="3131"/>
      <c r="AA1" s="3131"/>
      <c r="AB1" s="3131"/>
    </row>
    <row r="2" spans="1:28" ht="41.25" customHeight="1" x14ac:dyDescent="0.6">
      <c r="B2" s="3132">
        <f>+General!D6</f>
        <v>0</v>
      </c>
      <c r="C2" s="3133"/>
      <c r="D2" s="3133"/>
      <c r="E2" s="3133"/>
      <c r="F2" s="3133"/>
      <c r="G2" s="3133"/>
      <c r="H2" s="3133"/>
      <c r="I2" s="3133"/>
      <c r="J2" s="3133"/>
      <c r="K2" s="3133"/>
      <c r="L2" s="3133"/>
      <c r="M2" s="2997"/>
      <c r="N2" s="3134">
        <f>+AR!M81</f>
        <v>3.9000000000000004</v>
      </c>
      <c r="O2" s="3134"/>
      <c r="P2" s="3134"/>
      <c r="R2" s="2998"/>
      <c r="X2" s="2999"/>
      <c r="Y2" s="3000"/>
      <c r="Z2" s="3001"/>
      <c r="AA2" s="3001"/>
      <c r="AB2" s="3001"/>
    </row>
    <row r="3" spans="1:28" ht="13.5" customHeight="1" x14ac:dyDescent="0.25">
      <c r="G3" s="3135" t="str">
        <f>+General!G23</f>
        <v>Aguas</v>
      </c>
      <c r="H3" s="3135"/>
      <c r="I3" s="3135"/>
      <c r="J3" s="3136"/>
      <c r="K3" s="3137" t="s">
        <v>1859</v>
      </c>
      <c r="L3" s="3138"/>
      <c r="M3" s="3002"/>
      <c r="N3" s="3139" t="s">
        <v>1435</v>
      </c>
      <c r="O3" s="3139"/>
      <c r="P3" s="3139"/>
      <c r="X3" s="3001"/>
      <c r="Y3" s="2999"/>
      <c r="Z3" s="3001"/>
      <c r="AA3" s="3001"/>
      <c r="AB3" s="3001"/>
    </row>
    <row r="4" spans="1:28" ht="11.1" customHeight="1" x14ac:dyDescent="0.2">
      <c r="B4" s="3007" t="s">
        <v>3205</v>
      </c>
      <c r="C4" s="3003" t="s">
        <v>3205</v>
      </c>
      <c r="D4" s="3129">
        <f>+General!D7</f>
        <v>0</v>
      </c>
      <c r="E4" s="3129"/>
      <c r="F4" s="3129"/>
      <c r="G4" s="3009"/>
      <c r="H4" s="3007"/>
      <c r="I4" s="3007"/>
      <c r="J4" s="3008"/>
      <c r="K4" s="3007"/>
      <c r="L4" s="3007"/>
      <c r="M4" s="3010"/>
      <c r="N4" s="3122" t="s">
        <v>590</v>
      </c>
      <c r="O4" s="3122"/>
      <c r="P4" s="3122"/>
      <c r="R4" s="2995" t="s">
        <v>590</v>
      </c>
      <c r="X4" s="3000"/>
      <c r="Y4" s="3004" t="s">
        <v>1393</v>
      </c>
      <c r="Z4" s="3004" t="s">
        <v>1411</v>
      </c>
      <c r="AA4" s="3004" t="s">
        <v>1411</v>
      </c>
      <c r="AB4" s="3006">
        <v>9.1999999999999993</v>
      </c>
    </row>
    <row r="5" spans="1:28" ht="11.1" customHeight="1" x14ac:dyDescent="0.2">
      <c r="B5" s="3011"/>
      <c r="C5" s="3011"/>
      <c r="D5" s="3011"/>
      <c r="E5" s="3011"/>
      <c r="F5" s="3011"/>
      <c r="G5" s="3011"/>
      <c r="H5" s="3012"/>
      <c r="I5" s="3012"/>
      <c r="J5" s="3012"/>
      <c r="K5" s="3123" t="s">
        <v>3206</v>
      </c>
      <c r="L5" s="3123"/>
      <c r="M5" s="3124"/>
      <c r="N5" s="3122"/>
      <c r="O5" s="3122"/>
      <c r="P5" s="3122"/>
      <c r="X5" s="3000"/>
      <c r="Y5" s="3004" t="s">
        <v>1395</v>
      </c>
      <c r="Z5" s="3004" t="s">
        <v>1413</v>
      </c>
      <c r="AA5" s="3004" t="s">
        <v>1413</v>
      </c>
      <c r="AB5" s="3006">
        <v>8.6</v>
      </c>
    </row>
    <row r="6" spans="1:28" ht="11.1" customHeight="1" x14ac:dyDescent="0.2">
      <c r="B6" s="3127" t="s">
        <v>3215</v>
      </c>
      <c r="C6" s="3127"/>
      <c r="D6" s="3127"/>
      <c r="E6" s="3128"/>
      <c r="F6" s="3128"/>
      <c r="G6" s="3128"/>
      <c r="H6" s="3012"/>
      <c r="I6" s="3012"/>
      <c r="J6" s="3012"/>
      <c r="K6" s="3125">
        <f ca="1">+TODAY()</f>
        <v>43776</v>
      </c>
      <c r="L6" s="3125"/>
      <c r="M6" s="3126"/>
      <c r="N6" s="3004"/>
      <c r="O6" s="3005"/>
      <c r="P6" s="3005"/>
      <c r="X6" s="3000"/>
      <c r="Y6" s="3004" t="s">
        <v>1396</v>
      </c>
      <c r="Z6" s="3004" t="s">
        <v>1414</v>
      </c>
      <c r="AA6" s="3004" t="s">
        <v>1414</v>
      </c>
      <c r="AB6" s="3006">
        <v>8.1</v>
      </c>
    </row>
    <row r="7" spans="1:28" ht="21.75" customHeight="1" x14ac:dyDescent="0.2">
      <c r="X7" s="3000"/>
      <c r="Y7" s="3004" t="s">
        <v>3207</v>
      </c>
      <c r="Z7" s="3004" t="s">
        <v>1531</v>
      </c>
      <c r="AA7" s="3004" t="s">
        <v>1531</v>
      </c>
      <c r="AB7" s="3006">
        <v>7.7</v>
      </c>
    </row>
    <row r="8" spans="1:28" ht="16.5" customHeight="1" x14ac:dyDescent="0.2">
      <c r="C8" s="3120" t="s">
        <v>3214</v>
      </c>
      <c r="D8" s="3121"/>
      <c r="E8" s="3118" t="s">
        <v>3216</v>
      </c>
      <c r="F8" s="3119"/>
      <c r="G8" s="3119"/>
      <c r="H8" s="3119"/>
      <c r="I8" s="3119"/>
      <c r="J8" s="3119"/>
      <c r="K8" s="3119"/>
      <c r="L8" s="3119"/>
      <c r="M8" s="3119"/>
      <c r="N8" s="3119"/>
      <c r="O8" s="3119"/>
      <c r="P8" s="3119"/>
      <c r="Q8" s="3012"/>
      <c r="R8" s="3012"/>
      <c r="X8" s="3000"/>
      <c r="Y8" s="3004" t="s">
        <v>3208</v>
      </c>
      <c r="Z8" s="3004" t="s">
        <v>3209</v>
      </c>
      <c r="AA8" s="3004" t="s">
        <v>3209</v>
      </c>
      <c r="AB8" s="3006">
        <v>7.3</v>
      </c>
    </row>
    <row r="9" spans="1:28" ht="16.5" customHeight="1" x14ac:dyDescent="0.2">
      <c r="C9" s="3120"/>
      <c r="D9" s="3121"/>
      <c r="E9" s="3118"/>
      <c r="F9" s="3119"/>
      <c r="G9" s="3119"/>
      <c r="H9" s="3119"/>
      <c r="I9" s="3119"/>
      <c r="J9" s="3119"/>
      <c r="K9" s="3119"/>
      <c r="L9" s="3119"/>
      <c r="M9" s="3119"/>
      <c r="N9" s="3119"/>
      <c r="O9" s="3119"/>
      <c r="P9" s="3119"/>
      <c r="Q9" s="3013"/>
      <c r="R9" s="3012"/>
      <c r="X9" s="3000"/>
      <c r="Y9" s="3004" t="s">
        <v>3210</v>
      </c>
      <c r="Z9" s="3004" t="s">
        <v>3211</v>
      </c>
      <c r="AA9" s="3004" t="s">
        <v>3211</v>
      </c>
      <c r="AB9" s="3006">
        <v>6.7</v>
      </c>
    </row>
    <row r="10" spans="1:28" ht="16.5" customHeight="1" x14ac:dyDescent="0.2">
      <c r="C10" s="3120"/>
      <c r="D10" s="3121"/>
      <c r="E10" s="3118"/>
      <c r="F10" s="3119"/>
      <c r="G10" s="3119"/>
      <c r="H10" s="3119"/>
      <c r="I10" s="3119"/>
      <c r="J10" s="3119"/>
      <c r="K10" s="3119"/>
      <c r="L10" s="3119"/>
      <c r="M10" s="3119"/>
      <c r="N10" s="3119"/>
      <c r="O10" s="3119"/>
      <c r="P10" s="3119"/>
      <c r="Q10" s="3012"/>
      <c r="R10" s="3012"/>
      <c r="X10" s="3000"/>
      <c r="Y10" s="3004" t="s">
        <v>1400</v>
      </c>
      <c r="Z10" s="3004" t="s">
        <v>1418</v>
      </c>
      <c r="AA10" s="3004" t="s">
        <v>1418</v>
      </c>
      <c r="AB10" s="3006">
        <v>6.1</v>
      </c>
    </row>
    <row r="11" spans="1:28" ht="21.75" customHeight="1" x14ac:dyDescent="0.2">
      <c r="Q11" s="3012"/>
      <c r="R11" s="3012"/>
      <c r="X11" s="3000"/>
      <c r="Y11" s="3004" t="s">
        <v>1401</v>
      </c>
      <c r="Z11" s="3004" t="s">
        <v>1419</v>
      </c>
      <c r="AA11" s="3004" t="s">
        <v>1419</v>
      </c>
      <c r="AB11" s="3006">
        <v>5.6</v>
      </c>
    </row>
    <row r="12" spans="1:28" x14ac:dyDescent="0.2">
      <c r="A12" s="2121" t="s">
        <v>251</v>
      </c>
      <c r="B12" s="2122"/>
      <c r="C12" s="2123" t="s">
        <v>759</v>
      </c>
      <c r="D12" s="2124">
        <f>I12</f>
        <v>0</v>
      </c>
      <c r="E12" s="2124">
        <f>J12</f>
        <v>0</v>
      </c>
      <c r="F12" s="3113" t="s">
        <v>760</v>
      </c>
      <c r="G12" s="3113"/>
      <c r="H12" s="2124" t="str">
        <f>IF(General!$D$24="SI",'Resumen EEFF'!B19,'Resumen EEFF'!A19)</f>
        <v>Resultado Explotación/EBITDA</v>
      </c>
      <c r="I12" s="2125">
        <f>IF(General!$D$24="SI",'Resumen EEFF'!C19,'Resumen EEFF'!B19)</f>
        <v>0</v>
      </c>
      <c r="J12" s="2124">
        <f>IF(General!$D$24="SI",'Resumen EEFF'!U19,'Resumen EEFF'!C19)</f>
        <v>0</v>
      </c>
      <c r="Q12" s="3012"/>
      <c r="R12" s="3012"/>
      <c r="X12" s="3000"/>
      <c r="Y12" s="3004"/>
      <c r="Z12" s="3004"/>
      <c r="AA12" s="3004"/>
      <c r="AB12" s="3020"/>
    </row>
    <row r="13" spans="1:28" x14ac:dyDescent="0.2">
      <c r="A13" s="2128">
        <f>Cuadros!A43</f>
        <v>0</v>
      </c>
      <c r="B13" s="2129">
        <f>Cuadros!C43</f>
        <v>0</v>
      </c>
      <c r="C13" s="2130" t="s">
        <v>438</v>
      </c>
      <c r="D13" s="2131" t="e">
        <f>(I13/H13)-1</f>
        <v>#VALUE!</v>
      </c>
      <c r="E13" s="2132" t="e">
        <f>(((J13/MONTH(J12))*12)/I13)-1</f>
        <v>#DIV/0!</v>
      </c>
      <c r="F13" s="3114" t="s">
        <v>1085</v>
      </c>
      <c r="G13" s="3115"/>
      <c r="H13" s="2133" t="str">
        <f>IF(General!$D$24="SI",'Resumen EEFF'!B20,'Resumen EEFF'!A20)</f>
        <v>Margen EBITDA</v>
      </c>
      <c r="I13" s="2134">
        <f>IF(General!$D$24="SI",'Resumen EEFF'!C20,'Resumen EEFF'!B20)</f>
        <v>0</v>
      </c>
      <c r="J13" s="2133">
        <f>IF(General!$D$24="SI",'Resumen EEFF'!U20,'Resumen EEFF'!C20)</f>
        <v>0</v>
      </c>
      <c r="Q13" s="3012"/>
      <c r="R13" s="3012"/>
      <c r="X13" s="3000"/>
      <c r="Y13" s="3004"/>
      <c r="Z13" s="3004"/>
      <c r="AA13" s="3004"/>
      <c r="AB13" s="3020"/>
    </row>
    <row r="14" spans="1:28" x14ac:dyDescent="0.2">
      <c r="A14" s="2113">
        <f>Cuadros!A44</f>
        <v>0</v>
      </c>
      <c r="B14" s="2132">
        <f>Cuadros!C44</f>
        <v>0</v>
      </c>
      <c r="C14" s="2130" t="s">
        <v>1144</v>
      </c>
      <c r="D14" s="2131" t="e">
        <f>I14/I13</f>
        <v>#DIV/0!</v>
      </c>
      <c r="E14" s="2132" t="e">
        <f>J14/J13</f>
        <v>#DIV/0!</v>
      </c>
      <c r="F14" s="2130" t="s">
        <v>188</v>
      </c>
      <c r="H14" s="2133" t="str">
        <f>IF(General!$D$24="SI",'Resumen EEFF'!B26,'Resumen EEFF'!A26)</f>
        <v>- Gastos Financieros</v>
      </c>
      <c r="I14" s="2134">
        <f>IF(General!$D$24="SI",'Resumen EEFF'!C26,'Resumen EEFF'!B26)</f>
        <v>0</v>
      </c>
      <c r="J14" s="2133">
        <f>IF(General!$D$24="SI",'Resumen EEFF'!U26,'Resumen EEFF'!C26)</f>
        <v>0</v>
      </c>
      <c r="Q14" s="3012"/>
      <c r="R14" s="3012"/>
      <c r="X14" s="3000"/>
      <c r="Y14" s="3004"/>
      <c r="Z14" s="3004"/>
      <c r="AA14" s="3004"/>
      <c r="AB14" s="3020"/>
    </row>
    <row r="15" spans="1:28" x14ac:dyDescent="0.2">
      <c r="A15" s="2113">
        <f>Cuadros!A45</f>
        <v>0</v>
      </c>
      <c r="B15" s="2132">
        <f>Cuadros!C45</f>
        <v>0</v>
      </c>
      <c r="C15" s="2130" t="s">
        <v>761</v>
      </c>
      <c r="D15" s="2131" t="e">
        <f>(I19-I20)/((I13/MONTH(H$5))*12)</f>
        <v>#VALUE!</v>
      </c>
      <c r="E15" s="2132" t="e">
        <f>(J19-J20)/((J13/MONTH(I$5))*12)</f>
        <v>#VALUE!</v>
      </c>
      <c r="F15" s="2130" t="s">
        <v>762</v>
      </c>
      <c r="H15" s="2133" t="str">
        <f>IF(General!$D$24="SI",'Resumen EEFF'!B29,'Resumen EEFF'!A29)</f>
        <v>Amort. Fondo Comercio Consolidacion</v>
      </c>
      <c r="I15" s="2134">
        <f>IF(General!$D$24="SI",'Resumen EEFF'!C29,'Resumen EEFF'!B29)</f>
        <v>0</v>
      </c>
      <c r="J15" s="2133">
        <f>IF(General!$D$24="SI",'Resumen EEFF'!U29,'Resumen EEFF'!C29)</f>
        <v>0</v>
      </c>
      <c r="Q15" s="3012"/>
      <c r="R15" s="3012"/>
      <c r="X15" s="3000"/>
      <c r="Y15" s="3004"/>
      <c r="Z15" s="3004"/>
      <c r="AA15" s="3004"/>
      <c r="AB15" s="3020"/>
    </row>
    <row r="16" spans="1:28" x14ac:dyDescent="0.2">
      <c r="A16" s="2113">
        <f>Cuadros!A46</f>
        <v>0</v>
      </c>
      <c r="B16" s="2132">
        <f>Cuadros!C46</f>
        <v>0</v>
      </c>
      <c r="C16" s="2130" t="s">
        <v>763</v>
      </c>
      <c r="D16" s="2138" t="e">
        <f>(I19-I20)/((I14/MONTH(H$5))*12)</f>
        <v>#VALUE!</v>
      </c>
      <c r="E16" s="2139" t="e">
        <f>(J19-J20)/((J14/MONTH(I$5))*12)</f>
        <v>#VALUE!</v>
      </c>
      <c r="F16" s="2130" t="s">
        <v>461</v>
      </c>
      <c r="H16" s="2133" t="str">
        <f>IF(General!$D$24="SI",'Resumen EEFF'!B42,'Resumen EEFF'!A42)</f>
        <v>Beneficio por acción</v>
      </c>
      <c r="I16" s="2134">
        <f>IF(General!$D$24="SI",'Resumen EEFF'!C42,'Resumen EEFF'!B42)</f>
        <v>0</v>
      </c>
      <c r="J16" s="2133">
        <f>IF(General!$D$24="SI",'Resumen EEFF'!U42,'Resumen EEFF'!C42)</f>
        <v>0</v>
      </c>
      <c r="Q16" s="3012"/>
      <c r="R16" s="3012"/>
      <c r="X16" s="3000"/>
      <c r="Y16" s="3004"/>
      <c r="Z16" s="3004"/>
      <c r="AA16" s="3004"/>
      <c r="AB16" s="3020"/>
    </row>
    <row r="17" spans="1:28" x14ac:dyDescent="0.2">
      <c r="A17" s="2113" t="str">
        <f>IF(Cuadros!A47="","","Otros")</f>
        <v/>
      </c>
      <c r="B17" s="2135" t="str">
        <f>IF(Cuadros!A47="","",1-SUM(B13:B16))</f>
        <v/>
      </c>
      <c r="C17" s="2130" t="s">
        <v>764</v>
      </c>
      <c r="D17" s="2138" t="e">
        <f>(I19-I20)/((I17/MONTH(H$5))*12)</f>
        <v>#VALUE!</v>
      </c>
      <c r="E17" s="2139" t="e">
        <f ca="1">(J19-J20)/((J17/MONTH(I$5))*12)</f>
        <v>#VALUE!</v>
      </c>
      <c r="F17" s="2130" t="s">
        <v>1086</v>
      </c>
      <c r="H17" s="2133" t="str">
        <f>IF(General!$D$24="SI",'Resumen EEFF'!B67,'Resumen EEFF'!A67)</f>
        <v>CF Derivado de Financiación (CFF)</v>
      </c>
      <c r="I17" s="2134">
        <f>IF(General!$D$24="SI",'Resumen EEFF'!C67,'Resumen EEFF'!B67)</f>
        <v>0</v>
      </c>
      <c r="J17" s="2133">
        <f ca="1">IF(General!$D$24="SI",'Resumen EEFF'!U67,'Resumen EEFF'!C67)</f>
        <v>0</v>
      </c>
      <c r="Q17" s="3012"/>
      <c r="R17" s="3012"/>
      <c r="X17" s="3000"/>
      <c r="Y17" s="3004"/>
      <c r="Z17" s="3004"/>
      <c r="AA17" s="3004"/>
      <c r="AB17" s="3020"/>
    </row>
    <row r="18" spans="1:28" x14ac:dyDescent="0.2">
      <c r="A18" s="2122"/>
      <c r="B18" s="2140"/>
      <c r="C18" s="2130" t="s">
        <v>765</v>
      </c>
      <c r="D18" s="2138" t="e">
        <f>I14/-IF(General!C31="SI",'Resumen EEFF'!C33,'Resumen EEFF'!B33)</f>
        <v>#DIV/0!</v>
      </c>
      <c r="E18" s="2139" t="e">
        <f>J14/-IF(General!D31="SI",'Resumen EEFF'!U33,'Resumen EEFF'!C33)</f>
        <v>#DIV/0!</v>
      </c>
      <c r="F18" s="2130" t="s">
        <v>1088</v>
      </c>
      <c r="H18" s="2133" t="str">
        <f>IF(General!$D$24="SI",'Resumen EEFF'!B93,'Resumen EEFF'!A93)</f>
        <v>Total Exigible a Corto</v>
      </c>
      <c r="I18" s="2134">
        <f>IF(General!$D$24="SI",'Resumen EEFF'!C93,'Resumen EEFF'!B93)</f>
        <v>0</v>
      </c>
      <c r="J18" s="2133">
        <f>IF(General!$D$24="SI",'Resumen EEFF'!U93,'Resumen EEFF'!C93)</f>
        <v>0</v>
      </c>
      <c r="Q18" s="3012"/>
      <c r="R18" s="3012"/>
      <c r="X18" s="3000"/>
      <c r="Y18" s="3004"/>
      <c r="Z18" s="3004"/>
      <c r="AA18" s="3004"/>
      <c r="AB18" s="3020"/>
    </row>
    <row r="19" spans="1:28" x14ac:dyDescent="0.2">
      <c r="A19" s="2146" t="s">
        <v>1097</v>
      </c>
      <c r="B19" s="2136" t="str">
        <f>IF(AR!C18="SI",AR!U18,"No")</f>
        <v>No</v>
      </c>
      <c r="C19" s="2130" t="s">
        <v>454</v>
      </c>
      <c r="D19" s="2138" t="e">
        <f>(I18-I21)/I21</f>
        <v>#DIV/0!</v>
      </c>
      <c r="E19" s="2139" t="e">
        <f>(J18-J21)/J21</f>
        <v>#DIV/0!</v>
      </c>
      <c r="F19" s="2130" t="s">
        <v>1090</v>
      </c>
      <c r="H19" s="2133" t="str">
        <f>IF(General!$D$24="SI",'Resumen EEFF'!B114,'Resumen EEFF'!A114)</f>
        <v>DFN/CFL</v>
      </c>
      <c r="I19" s="2134" t="str">
        <f>IF(General!$D$24="SI",'Resumen EEFF'!C114,'Resumen EEFF'!B114)</f>
        <v>n.d.</v>
      </c>
      <c r="J19" s="2133" t="str">
        <f>IF(General!$D$24="SI",'Resumen EEFF'!U114,'Resumen EEFF'!C114)</f>
        <v>n.d.</v>
      </c>
      <c r="Q19" s="3012"/>
      <c r="R19" s="3012"/>
      <c r="X19" s="3000"/>
      <c r="Y19" s="3004"/>
      <c r="Z19" s="3004"/>
      <c r="AA19" s="3004"/>
      <c r="AB19" s="3020"/>
    </row>
    <row r="20" spans="1:28" ht="18.75" x14ac:dyDescent="0.2">
      <c r="A20" s="2121" t="s">
        <v>157</v>
      </c>
      <c r="B20" s="2140" t="str">
        <f>AR!F17</f>
        <v>REC.PRÓPIOS</v>
      </c>
      <c r="C20" s="2130" t="s">
        <v>449</v>
      </c>
      <c r="D20" s="2147" t="e">
        <f>(I18-I21)/I18</f>
        <v>#DIV/0!</v>
      </c>
      <c r="E20" s="2135" t="e">
        <f>(J18-J21)/J18</f>
        <v>#DIV/0!</v>
      </c>
      <c r="F20" s="2130" t="s">
        <v>1092</v>
      </c>
      <c r="H20" s="2133" t="str">
        <f>IF(General!$D$24="SI",'Resumen EEFF'!B82,'Resumen EEFF'!A82)</f>
        <v>Activos Intangibles</v>
      </c>
      <c r="I20" s="2134">
        <f>IF(General!$D$24="SI",'Resumen EEFF'!C82,'Resumen EEFF'!B82)</f>
        <v>0</v>
      </c>
      <c r="J20" s="2133">
        <f>IF(General!$D$24="SI",'Resumen EEFF'!U82,'Resumen EEFF'!C82)</f>
        <v>0</v>
      </c>
      <c r="Q20" s="3012"/>
      <c r="R20" s="3012"/>
      <c r="X20" s="3000"/>
      <c r="Y20" s="3004"/>
      <c r="Z20" s="3004"/>
      <c r="AA20" s="3004"/>
      <c r="AB20" s="3020"/>
    </row>
    <row r="21" spans="1:28" x14ac:dyDescent="0.2">
      <c r="A21" s="2121" t="s">
        <v>158</v>
      </c>
      <c r="B21" s="2140">
        <f>AR!I17</f>
        <v>0</v>
      </c>
      <c r="C21" s="2130"/>
      <c r="D21" s="2122"/>
      <c r="E21" s="2140"/>
      <c r="F21" s="2130" t="s">
        <v>464</v>
      </c>
      <c r="H21" s="2133" t="str">
        <f>IF(General!$D$24="SI",'Resumen EEFF'!B109,'Resumen EEFF'!A109)</f>
        <v>Capitalización (FFPP/AT)</v>
      </c>
      <c r="I21" s="2134">
        <f>IF(General!$D$24="SI",'Resumen EEFF'!C109,'Resumen EEFF'!B109)</f>
        <v>0</v>
      </c>
      <c r="J21" s="2133">
        <f>IF(General!$D$24="SI",'Resumen EEFF'!U109,'Resumen EEFF'!C109)</f>
        <v>0</v>
      </c>
      <c r="Q21" s="3012"/>
      <c r="R21" s="3012"/>
      <c r="X21" s="3000"/>
      <c r="Y21" s="3004"/>
      <c r="Z21" s="3004"/>
      <c r="AA21" s="3004"/>
      <c r="AB21" s="3020"/>
    </row>
    <row r="22" spans="1:28" x14ac:dyDescent="0.2">
      <c r="A22" s="2121" t="s">
        <v>766</v>
      </c>
      <c r="B22" s="2152">
        <f>Cuadros!B9</f>
        <v>0</v>
      </c>
      <c r="C22" s="2123" t="s">
        <v>425</v>
      </c>
      <c r="D22" s="2153" t="s">
        <v>426</v>
      </c>
      <c r="E22" s="2154" t="s">
        <v>421</v>
      </c>
      <c r="F22" s="2130"/>
      <c r="H22" s="2122"/>
      <c r="I22" s="2122"/>
      <c r="J22" s="2122"/>
      <c r="Q22" s="3012"/>
      <c r="R22" s="3012"/>
      <c r="X22" s="3000"/>
      <c r="Y22" s="3004"/>
      <c r="Z22" s="3004"/>
      <c r="AA22" s="3004"/>
      <c r="AB22" s="3020"/>
    </row>
    <row r="23" spans="1:28" x14ac:dyDescent="0.2">
      <c r="A23" s="2157">
        <f>Cuadros!A11</f>
        <v>0</v>
      </c>
      <c r="B23" s="2158">
        <f>IF('Resumen EEFF'!$B$10="COP MM",Cuadros!F11,Cuadros!G11)</f>
        <v>0</v>
      </c>
      <c r="C23" s="2159">
        <f>Cuadros!H11</f>
        <v>0</v>
      </c>
      <c r="D23" s="2133">
        <f>Cuadros!I11</f>
        <v>0</v>
      </c>
      <c r="E23" s="2160">
        <f>Cuadros!B11/General!$E$30</f>
        <v>0</v>
      </c>
      <c r="F23" s="2123" t="s">
        <v>379</v>
      </c>
      <c r="H23" s="2122"/>
      <c r="I23" s="2122"/>
      <c r="J23" s="2122"/>
      <c r="Q23" s="3012"/>
      <c r="R23" s="3012"/>
      <c r="X23" s="3000"/>
      <c r="Y23" s="3004"/>
      <c r="Z23" s="3004"/>
      <c r="AA23" s="3004"/>
      <c r="AB23" s="3020"/>
    </row>
    <row r="24" spans="1:28" x14ac:dyDescent="0.2">
      <c r="A24" s="2157">
        <f>Cuadros!A12</f>
        <v>0</v>
      </c>
      <c r="B24" s="2158">
        <f>IF('Resumen EEFF'!$B$10="COP MM",Cuadros!F12,Cuadros!G12)</f>
        <v>0</v>
      </c>
      <c r="C24" s="2159">
        <f>Cuadros!H12</f>
        <v>0</v>
      </c>
      <c r="D24" s="2133">
        <f>Cuadros!I12</f>
        <v>0</v>
      </c>
      <c r="E24" s="2160">
        <f>Cuadros!B12/General!$E$30</f>
        <v>0</v>
      </c>
      <c r="F24" s="2130" t="s">
        <v>767</v>
      </c>
      <c r="H24" s="2164">
        <f>IF(General!$D$24="SI",Indicadores!D40,Indicadores!C40)</f>
        <v>0</v>
      </c>
      <c r="I24" s="2165">
        <f>IF(General!$D$24="SI",Indicadores!E40,Indicadores!D40)</f>
        <v>0</v>
      </c>
      <c r="J24" s="2164">
        <f>IF(General!$D$24="SI",Indicadores!G40,Indicadores!E40)</f>
        <v>0</v>
      </c>
      <c r="Q24" s="3012"/>
      <c r="R24" s="3012"/>
      <c r="X24" s="3000"/>
      <c r="Y24" s="3004"/>
      <c r="Z24" s="3004"/>
      <c r="AA24" s="3004"/>
      <c r="AB24" s="3020"/>
    </row>
    <row r="25" spans="1:28" x14ac:dyDescent="0.2">
      <c r="A25" s="2157">
        <f>Cuadros!A13</f>
        <v>0</v>
      </c>
      <c r="B25" s="2158">
        <f>IF('Resumen EEFF'!$B$10="COP MM",Cuadros!F13,Cuadros!G13)</f>
        <v>0</v>
      </c>
      <c r="C25" s="2159">
        <f>Cuadros!H13</f>
        <v>0</v>
      </c>
      <c r="D25" s="2133">
        <f>Cuadros!I13</f>
        <v>0</v>
      </c>
      <c r="E25" s="2160">
        <f>Cuadros!B13/General!$E$30</f>
        <v>0</v>
      </c>
      <c r="F25" s="2130" t="s">
        <v>769</v>
      </c>
      <c r="H25" s="2164">
        <f>IF(General!$D$24="SI",Indicadores!D41,Indicadores!C41)</f>
        <v>0</v>
      </c>
      <c r="I25" s="2165">
        <f>IF(General!$D$24="SI",Indicadores!E41,Indicadores!D41)</f>
        <v>0</v>
      </c>
      <c r="J25" s="2164">
        <f>IF(General!$D$24="SI",Indicadores!G41,Indicadores!E41)</f>
        <v>0</v>
      </c>
      <c r="Q25" s="3012"/>
      <c r="R25" s="3012"/>
      <c r="X25" s="3000"/>
      <c r="Y25" s="3004"/>
      <c r="Z25" s="3004"/>
      <c r="AA25" s="3004"/>
      <c r="AB25" s="3020"/>
    </row>
    <row r="26" spans="1:28" x14ac:dyDescent="0.2">
      <c r="A26" s="2167" t="s">
        <v>770</v>
      </c>
      <c r="B26" s="2158">
        <f>(IF('Resumen EEFF'!$B$10="COP MM",Cuadros!F27,Cuadros!G27))-B23-B24-B25</f>
        <v>0</v>
      </c>
      <c r="C26" s="2159">
        <f>Cuadros!H14</f>
        <v>0</v>
      </c>
      <c r="D26" s="2133">
        <f>Cuadros!I14</f>
        <v>0</v>
      </c>
      <c r="E26" s="2160">
        <f>(Cuadros!B27/General!$E$30)-'Datos relevantes'!E23-'Datos relevantes'!E24-'Datos relevantes'!E25</f>
        <v>0</v>
      </c>
      <c r="F26" s="2130" t="s">
        <v>771</v>
      </c>
      <c r="H26" s="2164">
        <f>IF(General!$D$24="SI",Indicadores!D42,Indicadores!C42)</f>
        <v>0</v>
      </c>
      <c r="I26" s="2165">
        <f>IF(General!$D$24="SI",Indicadores!E42,Indicadores!D42)</f>
        <v>0</v>
      </c>
      <c r="J26" s="2164">
        <f>IF(General!$D$24="SI",Indicadores!G42,Indicadores!E42)</f>
        <v>0</v>
      </c>
      <c r="Q26" s="3012"/>
      <c r="R26" s="3012"/>
      <c r="X26" s="3000"/>
      <c r="Y26" s="3004"/>
      <c r="Z26" s="3004"/>
      <c r="AA26" s="3004"/>
      <c r="AB26" s="3020"/>
    </row>
    <row r="27" spans="1:28" x14ac:dyDescent="0.2">
      <c r="Q27" s="3012"/>
      <c r="R27" s="3012"/>
      <c r="X27" s="3000"/>
      <c r="Y27" s="3004"/>
      <c r="Z27" s="3004"/>
      <c r="AA27" s="3004"/>
      <c r="AB27" s="3020"/>
    </row>
    <row r="28" spans="1:28" x14ac:dyDescent="0.2">
      <c r="Q28" s="3012"/>
      <c r="R28" s="3012"/>
      <c r="X28" s="3000"/>
      <c r="Y28" s="3004"/>
      <c r="Z28" s="3004"/>
      <c r="AA28" s="3004"/>
      <c r="AB28" s="3020"/>
    </row>
    <row r="29" spans="1:28" ht="12" customHeight="1" x14ac:dyDescent="0.2">
      <c r="A29" s="3014"/>
      <c r="B29" s="3014"/>
      <c r="C29" s="3015"/>
      <c r="H29" s="3016"/>
      <c r="I29" s="3016"/>
      <c r="J29" s="3016"/>
      <c r="K29" s="2998"/>
      <c r="L29" s="2998"/>
      <c r="M29" s="2998"/>
      <c r="N29" s="2998"/>
      <c r="O29" s="2998"/>
    </row>
    <row r="30" spans="1:28" ht="21.75" customHeight="1" x14ac:dyDescent="0.2">
      <c r="B30" s="3014"/>
      <c r="C30" s="3014"/>
      <c r="D30" s="3014"/>
      <c r="E30" s="3014"/>
      <c r="F30" s="3014"/>
      <c r="G30" s="3014"/>
      <c r="H30" s="2998"/>
      <c r="I30" s="2998"/>
      <c r="J30" s="2998"/>
      <c r="K30" s="2998"/>
      <c r="L30" s="2998"/>
      <c r="M30" s="2998"/>
      <c r="N30" s="2998"/>
      <c r="O30" s="2998"/>
    </row>
    <row r="31" spans="1:28" ht="50.25" customHeight="1" x14ac:dyDescent="0.2">
      <c r="B31" s="3116"/>
      <c r="C31" s="3116"/>
      <c r="D31" s="3116"/>
      <c r="E31" s="3116"/>
      <c r="F31" s="3116"/>
      <c r="G31" s="3116"/>
      <c r="H31" s="3116"/>
      <c r="I31" s="3116"/>
      <c r="J31" s="3116"/>
      <c r="K31" s="3116"/>
      <c r="L31" s="3116"/>
      <c r="M31" s="3116"/>
      <c r="N31" s="3116"/>
      <c r="O31" s="3116"/>
      <c r="P31" s="3116"/>
    </row>
    <row r="32" spans="1:28" ht="6.75" customHeight="1" x14ac:dyDescent="0.2"/>
    <row r="33" spans="2:16" ht="48.75" customHeight="1" x14ac:dyDescent="0.2">
      <c r="B33" s="3116"/>
      <c r="C33" s="3116"/>
      <c r="D33" s="3116"/>
      <c r="E33" s="3116"/>
      <c r="F33" s="3116"/>
      <c r="G33" s="3116"/>
      <c r="H33" s="3116"/>
      <c r="I33" s="3116"/>
      <c r="J33" s="3116"/>
      <c r="K33" s="3116"/>
      <c r="L33" s="3116"/>
      <c r="M33" s="3116"/>
      <c r="N33" s="3116"/>
      <c r="O33" s="3116"/>
      <c r="P33" s="3116"/>
    </row>
    <row r="34" spans="2:16" ht="6" customHeight="1" x14ac:dyDescent="0.2">
      <c r="B34" s="3017"/>
      <c r="C34" s="3017"/>
      <c r="D34" s="3017"/>
      <c r="E34" s="3017"/>
      <c r="F34" s="3017"/>
      <c r="G34" s="3017"/>
      <c r="H34" s="3017"/>
      <c r="I34" s="3017"/>
      <c r="J34" s="3017"/>
      <c r="K34" s="3017"/>
      <c r="L34" s="3017"/>
      <c r="M34" s="3017"/>
      <c r="N34" s="3017"/>
      <c r="O34" s="3017"/>
      <c r="P34" s="3017"/>
    </row>
    <row r="35" spans="2:16" ht="53.25" customHeight="1" x14ac:dyDescent="0.2">
      <c r="B35" s="3116"/>
      <c r="C35" s="3116"/>
      <c r="D35" s="3116"/>
      <c r="E35" s="3116"/>
      <c r="F35" s="3116"/>
      <c r="G35" s="3116"/>
      <c r="H35" s="3116"/>
      <c r="I35" s="3116"/>
      <c r="J35" s="3116"/>
      <c r="K35" s="3116"/>
      <c r="L35" s="3116"/>
      <c r="M35" s="3116"/>
      <c r="N35" s="3116"/>
      <c r="O35" s="3116"/>
      <c r="P35" s="3116"/>
    </row>
    <row r="36" spans="2:16" ht="17.25" customHeight="1" x14ac:dyDescent="0.2"/>
    <row r="37" spans="2:16" ht="31.5" customHeight="1" x14ac:dyDescent="0.2">
      <c r="B37" s="3117"/>
      <c r="C37" s="3117"/>
      <c r="D37" s="3117"/>
      <c r="E37" s="3117"/>
      <c r="F37" s="3117"/>
      <c r="G37" s="3117"/>
      <c r="H37" s="3117"/>
      <c r="I37" s="3117"/>
      <c r="J37" s="3117"/>
      <c r="K37" s="3117"/>
      <c r="L37" s="3117"/>
      <c r="M37" s="3117"/>
      <c r="N37" s="3117"/>
      <c r="O37" s="3117"/>
      <c r="P37" s="3117"/>
    </row>
    <row r="38" spans="2:16" ht="31.5" customHeight="1" x14ac:dyDescent="0.2">
      <c r="B38" s="3117"/>
      <c r="C38" s="3117"/>
      <c r="D38" s="3117"/>
      <c r="E38" s="3117"/>
      <c r="F38" s="3117"/>
      <c r="G38" s="3117"/>
      <c r="H38" s="3117"/>
      <c r="I38" s="3117"/>
      <c r="J38" s="3117"/>
      <c r="K38" s="3117"/>
      <c r="L38" s="3117"/>
      <c r="M38" s="3117"/>
      <c r="N38" s="3117"/>
      <c r="O38" s="3117"/>
      <c r="P38" s="3117"/>
    </row>
    <row r="39" spans="2:16" ht="6.75" customHeight="1" x14ac:dyDescent="0.2"/>
    <row r="40" spans="2:16" ht="12.75" customHeight="1" x14ac:dyDescent="0.2">
      <c r="B40" s="3116"/>
      <c r="C40" s="3116"/>
      <c r="D40" s="3116"/>
      <c r="E40" s="3116"/>
      <c r="F40" s="3116"/>
      <c r="G40" s="3116"/>
      <c r="H40" s="3116"/>
      <c r="I40" s="3116"/>
      <c r="J40" s="3116"/>
      <c r="K40" s="3116"/>
      <c r="L40" s="3116"/>
      <c r="M40" s="3116"/>
      <c r="N40" s="3116"/>
      <c r="O40" s="3116"/>
      <c r="P40" s="3116"/>
    </row>
    <row r="41" spans="2:16" ht="50.25" customHeight="1" x14ac:dyDescent="0.2">
      <c r="B41" s="3116"/>
      <c r="C41" s="3116"/>
      <c r="D41" s="3116"/>
      <c r="E41" s="3116"/>
      <c r="F41" s="3116"/>
      <c r="G41" s="3116"/>
      <c r="H41" s="3116"/>
      <c r="I41" s="3116"/>
      <c r="J41" s="3116"/>
      <c r="K41" s="3116"/>
      <c r="L41" s="3116"/>
      <c r="M41" s="3116"/>
      <c r="N41" s="3116"/>
      <c r="O41" s="3116"/>
      <c r="P41" s="3116"/>
    </row>
    <row r="42" spans="2:16" ht="6.75" customHeight="1" x14ac:dyDescent="0.2"/>
    <row r="43" spans="2:16" ht="12.75" customHeight="1" x14ac:dyDescent="0.2">
      <c r="B43" s="3116"/>
      <c r="C43" s="3116"/>
      <c r="D43" s="3116"/>
      <c r="E43" s="3116"/>
      <c r="F43" s="3116"/>
      <c r="G43" s="3116"/>
      <c r="H43" s="3116"/>
      <c r="I43" s="3116"/>
      <c r="J43" s="3116"/>
      <c r="K43" s="3116"/>
      <c r="L43" s="3116"/>
      <c r="M43" s="3116"/>
      <c r="N43" s="3116"/>
      <c r="O43" s="3116"/>
      <c r="P43" s="3116"/>
    </row>
    <row r="44" spans="2:16" ht="27" customHeight="1" x14ac:dyDescent="0.2">
      <c r="B44" s="3116"/>
      <c r="C44" s="3116"/>
      <c r="D44" s="3116"/>
      <c r="E44" s="3116"/>
      <c r="F44" s="3116"/>
      <c r="G44" s="3116"/>
      <c r="H44" s="3116"/>
      <c r="I44" s="3116"/>
      <c r="J44" s="3116"/>
      <c r="K44" s="3116"/>
      <c r="L44" s="3116"/>
      <c r="M44" s="3116"/>
      <c r="N44" s="3116"/>
      <c r="O44" s="3116"/>
      <c r="P44" s="3116"/>
    </row>
    <row r="45" spans="2:16" ht="33.75" customHeight="1" x14ac:dyDescent="0.2"/>
    <row r="46" spans="2:16" ht="10.5" customHeight="1" x14ac:dyDescent="0.2">
      <c r="O46" s="3018"/>
      <c r="P46" s="3019" t="s">
        <v>3212</v>
      </c>
    </row>
    <row r="47" spans="2:16" ht="9" customHeight="1" x14ac:dyDescent="0.2">
      <c r="O47" s="3018"/>
      <c r="P47" s="3019">
        <v>1</v>
      </c>
    </row>
  </sheetData>
  <mergeCells count="24">
    <mergeCell ref="B1:J1"/>
    <mergeCell ref="X1:AB1"/>
    <mergeCell ref="B2:L2"/>
    <mergeCell ref="N2:P2"/>
    <mergeCell ref="G3:J3"/>
    <mergeCell ref="K3:L3"/>
    <mergeCell ref="N3:P3"/>
    <mergeCell ref="N4:P4"/>
    <mergeCell ref="K5:M5"/>
    <mergeCell ref="N5:P5"/>
    <mergeCell ref="K6:M6"/>
    <mergeCell ref="B6:D6"/>
    <mergeCell ref="E6:G6"/>
    <mergeCell ref="D4:F4"/>
    <mergeCell ref="B37:P38"/>
    <mergeCell ref="B40:P41"/>
    <mergeCell ref="B43:P44"/>
    <mergeCell ref="E8:P10"/>
    <mergeCell ref="C8:D10"/>
    <mergeCell ref="F12:G12"/>
    <mergeCell ref="F13:G13"/>
    <mergeCell ref="B31:P31"/>
    <mergeCell ref="B33:P33"/>
    <mergeCell ref="B35:P35"/>
  </mergeCells>
  <printOptions horizontalCentered="1"/>
  <pageMargins left="0.47244094488188981" right="0.47244094488188981" top="0.59055118110236227" bottom="0.47244094488188981" header="0.15748031496062992" footer="0"/>
  <pageSetup paperSize="9" scale="60" orientation="portrait" r:id="rId1"/>
  <headerFooter alignWithMargins="0"/>
  <colBreaks count="1" manualBreakCount="1">
    <brk id="16" max="1048575" man="1"/>
  </colBreak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XFD101"/>
  <sheetViews>
    <sheetView showGridLines="0" topLeftCell="A40" zoomScale="80" zoomScaleNormal="80" workbookViewId="0">
      <selection activeCell="F101" sqref="F101"/>
    </sheetView>
  </sheetViews>
  <sheetFormatPr baseColWidth="10" defaultColWidth="11.42578125" defaultRowHeight="11.25" x14ac:dyDescent="0.2"/>
  <cols>
    <col min="1" max="1" width="4.85546875" style="2409" customWidth="1"/>
    <col min="2" max="2" width="28.28515625" style="2409" customWidth="1"/>
    <col min="3" max="12" width="14.42578125" style="2422" customWidth="1"/>
    <col min="13" max="16383" width="11.42578125" style="2409" customWidth="1"/>
    <col min="16384" max="16384" width="11.42578125" style="2409"/>
  </cols>
  <sheetData>
    <row r="1" spans="2:12 16384:16384" ht="12" thickBot="1" x14ac:dyDescent="0.25"/>
    <row r="2" spans="2:12 16384:16384" ht="12" thickBot="1" x14ac:dyDescent="0.25">
      <c r="B2" s="2437" t="s">
        <v>1867</v>
      </c>
      <c r="C2" s="2757" t="s">
        <v>1868</v>
      </c>
    </row>
    <row r="3" spans="2:12 16384:16384" x14ac:dyDescent="0.2">
      <c r="B3" s="2439"/>
      <c r="C3" s="2758"/>
      <c r="D3" s="2759"/>
      <c r="E3" s="2759"/>
      <c r="F3" s="2619">
        <f>F30</f>
        <v>43830</v>
      </c>
      <c r="G3" s="2619">
        <f t="shared" ref="G3:L3" si="0">G30</f>
        <v>44196</v>
      </c>
      <c r="H3" s="2619">
        <f t="shared" si="0"/>
        <v>44561</v>
      </c>
      <c r="I3" s="2619">
        <f t="shared" si="0"/>
        <v>44926</v>
      </c>
      <c r="J3" s="2619">
        <f t="shared" si="0"/>
        <v>45291</v>
      </c>
      <c r="K3" s="2619">
        <f t="shared" si="0"/>
        <v>45657</v>
      </c>
      <c r="L3" s="2619">
        <f t="shared" si="0"/>
        <v>46022</v>
      </c>
    </row>
    <row r="4" spans="2:12 16384:16384" x14ac:dyDescent="0.2">
      <c r="C4" s="2759"/>
      <c r="D4" s="2759"/>
      <c r="E4" s="2759"/>
      <c r="F4" s="2620">
        <v>2</v>
      </c>
      <c r="G4" s="2620">
        <f>F4+1</f>
        <v>3</v>
      </c>
      <c r="H4" s="2620">
        <f t="shared" ref="H4:L4" si="1">G4+1</f>
        <v>4</v>
      </c>
      <c r="I4" s="2620">
        <f t="shared" si="1"/>
        <v>5</v>
      </c>
      <c r="J4" s="2620">
        <f t="shared" si="1"/>
        <v>6</v>
      </c>
      <c r="K4" s="2620">
        <f t="shared" si="1"/>
        <v>7</v>
      </c>
      <c r="L4" s="2620">
        <f t="shared" si="1"/>
        <v>8</v>
      </c>
    </row>
    <row r="5" spans="2:12 16384:16384" s="288" customFormat="1" x14ac:dyDescent="0.2">
      <c r="C5" s="3140" t="s">
        <v>3072</v>
      </c>
      <c r="D5" s="2621">
        <v>1</v>
      </c>
      <c r="E5" s="2771" t="s">
        <v>1868</v>
      </c>
      <c r="F5" s="2767">
        <v>4.4999999999999998E-2</v>
      </c>
      <c r="G5" s="2767">
        <f>F5</f>
        <v>4.4999999999999998E-2</v>
      </c>
      <c r="H5" s="2767">
        <f t="shared" ref="H5:L5" si="2">G5</f>
        <v>4.4999999999999998E-2</v>
      </c>
      <c r="I5" s="2767">
        <f t="shared" si="2"/>
        <v>4.4999999999999998E-2</v>
      </c>
      <c r="J5" s="2767">
        <f t="shared" si="2"/>
        <v>4.4999999999999998E-2</v>
      </c>
      <c r="K5" s="2767">
        <f t="shared" si="2"/>
        <v>4.4999999999999998E-2</v>
      </c>
      <c r="L5" s="2767">
        <f t="shared" si="2"/>
        <v>4.4999999999999998E-2</v>
      </c>
      <c r="XFD5" s="2618" t="s">
        <v>1868</v>
      </c>
    </row>
    <row r="6" spans="2:12 16384:16384" s="288" customFormat="1" x14ac:dyDescent="0.2">
      <c r="C6" s="3141"/>
      <c r="D6" s="2622">
        <f>D5-2%</f>
        <v>0.98</v>
      </c>
      <c r="E6" s="2772" t="s">
        <v>1869</v>
      </c>
      <c r="F6" s="2623">
        <f>F5*$D$6</f>
        <v>4.41E-2</v>
      </c>
      <c r="G6" s="2623">
        <f t="shared" ref="G6:I6" si="3">G5*$D$6</f>
        <v>4.41E-2</v>
      </c>
      <c r="H6" s="2623">
        <f t="shared" si="3"/>
        <v>4.41E-2</v>
      </c>
      <c r="I6" s="2623">
        <f t="shared" si="3"/>
        <v>4.41E-2</v>
      </c>
      <c r="J6" s="2623">
        <f t="shared" ref="J6:L6" si="4">J5*$D$6</f>
        <v>4.41E-2</v>
      </c>
      <c r="K6" s="2623">
        <f t="shared" si="4"/>
        <v>4.41E-2</v>
      </c>
      <c r="L6" s="2623">
        <f t="shared" si="4"/>
        <v>4.41E-2</v>
      </c>
      <c r="XFD6" s="2618" t="s">
        <v>1869</v>
      </c>
    </row>
    <row r="7" spans="2:12 16384:16384" s="288" customFormat="1" x14ac:dyDescent="0.2">
      <c r="C7" s="3142"/>
      <c r="D7" s="2624">
        <f>D6-2.5%</f>
        <v>0.95499999999999996</v>
      </c>
      <c r="E7" s="2773" t="s">
        <v>1870</v>
      </c>
      <c r="F7" s="2625">
        <f>F5*$D$7</f>
        <v>4.2974999999999999E-2</v>
      </c>
      <c r="G7" s="2625">
        <f t="shared" ref="G7:I7" si="5">G5*$D$7</f>
        <v>4.2974999999999999E-2</v>
      </c>
      <c r="H7" s="2625">
        <f t="shared" si="5"/>
        <v>4.2974999999999999E-2</v>
      </c>
      <c r="I7" s="2625">
        <f t="shared" si="5"/>
        <v>4.2974999999999999E-2</v>
      </c>
      <c r="J7" s="2625">
        <f t="shared" ref="J7:L7" si="6">J5*$D$7</f>
        <v>4.2974999999999999E-2</v>
      </c>
      <c r="K7" s="2625">
        <f t="shared" si="6"/>
        <v>4.2974999999999999E-2</v>
      </c>
      <c r="L7" s="2625">
        <f t="shared" si="6"/>
        <v>4.2974999999999999E-2</v>
      </c>
      <c r="XFD7" s="2618" t="s">
        <v>1870</v>
      </c>
    </row>
    <row r="8" spans="2:12 16384:16384" s="288" customFormat="1" x14ac:dyDescent="0.2">
      <c r="C8" s="3140" t="s">
        <v>3073</v>
      </c>
      <c r="D8" s="2621">
        <v>1</v>
      </c>
      <c r="E8" s="2771" t="s">
        <v>1868</v>
      </c>
      <c r="F8" s="2767">
        <v>0.61</v>
      </c>
      <c r="G8" s="2767">
        <f>F8*(1+2%)</f>
        <v>0.62219999999999998</v>
      </c>
      <c r="H8" s="2767">
        <f t="shared" ref="H8:L8" si="7">G8*(1+2%)</f>
        <v>0.63464399999999999</v>
      </c>
      <c r="I8" s="2767">
        <f t="shared" si="7"/>
        <v>0.64733688</v>
      </c>
      <c r="J8" s="2767">
        <f t="shared" si="7"/>
        <v>0.66028361759999998</v>
      </c>
      <c r="K8" s="2767">
        <f t="shared" si="7"/>
        <v>0.67348928995199997</v>
      </c>
      <c r="L8" s="2767">
        <f t="shared" si="7"/>
        <v>0.68695907575103998</v>
      </c>
    </row>
    <row r="9" spans="2:12 16384:16384" s="288" customFormat="1" x14ac:dyDescent="0.2">
      <c r="C9" s="3141"/>
      <c r="D9" s="2622">
        <f>D8+2%</f>
        <v>1.02</v>
      </c>
      <c r="E9" s="2772" t="s">
        <v>1869</v>
      </c>
      <c r="F9" s="2623">
        <f>F8*$D$9</f>
        <v>0.62219999999999998</v>
      </c>
      <c r="G9" s="2623">
        <f t="shared" ref="G9:I9" si="8">G8*$D$9</f>
        <v>0.63464399999999999</v>
      </c>
      <c r="H9" s="2623">
        <f t="shared" si="8"/>
        <v>0.64733688</v>
      </c>
      <c r="I9" s="2623">
        <f t="shared" si="8"/>
        <v>0.66028361759999998</v>
      </c>
      <c r="J9" s="2623">
        <f t="shared" ref="J9:L9" si="9">J8*$D$9</f>
        <v>0.67348928995199997</v>
      </c>
      <c r="K9" s="2623">
        <f t="shared" si="9"/>
        <v>0.68695907575103998</v>
      </c>
      <c r="L9" s="2623">
        <f t="shared" si="9"/>
        <v>0.70069825726606083</v>
      </c>
    </row>
    <row r="10" spans="2:12 16384:16384" s="288" customFormat="1" x14ac:dyDescent="0.2">
      <c r="C10" s="3142"/>
      <c r="D10" s="2624">
        <f>D9+2%</f>
        <v>1.04</v>
      </c>
      <c r="E10" s="2773" t="s">
        <v>1870</v>
      </c>
      <c r="F10" s="2625">
        <f>F8*$D$10</f>
        <v>0.63439999999999996</v>
      </c>
      <c r="G10" s="2625">
        <f t="shared" ref="G10:I10" si="10">G8*$D$10</f>
        <v>0.647088</v>
      </c>
      <c r="H10" s="2625">
        <f t="shared" si="10"/>
        <v>0.66002976000000002</v>
      </c>
      <c r="I10" s="2625">
        <f t="shared" si="10"/>
        <v>0.67323035520000007</v>
      </c>
      <c r="J10" s="2625">
        <f t="shared" ref="J10:L10" si="11">J8*$D$10</f>
        <v>0.68669496230399996</v>
      </c>
      <c r="K10" s="2625">
        <f t="shared" si="11"/>
        <v>0.70042886155008</v>
      </c>
      <c r="L10" s="2625">
        <f t="shared" si="11"/>
        <v>0.71443743878108157</v>
      </c>
    </row>
    <row r="11" spans="2:12 16384:16384" s="288" customFormat="1" x14ac:dyDescent="0.2">
      <c r="C11" s="3140" t="s">
        <v>3074</v>
      </c>
      <c r="D11" s="2621">
        <v>1</v>
      </c>
      <c r="E11" s="2771" t="s">
        <v>1868</v>
      </c>
      <c r="F11" s="2767">
        <v>6.5000000000000002E-2</v>
      </c>
      <c r="G11" s="2767">
        <f>F11</f>
        <v>6.5000000000000002E-2</v>
      </c>
      <c r="H11" s="2767">
        <f t="shared" ref="H11:L11" si="12">G11</f>
        <v>6.5000000000000002E-2</v>
      </c>
      <c r="I11" s="2767">
        <f t="shared" si="12"/>
        <v>6.5000000000000002E-2</v>
      </c>
      <c r="J11" s="2767">
        <f t="shared" si="12"/>
        <v>6.5000000000000002E-2</v>
      </c>
      <c r="K11" s="2767">
        <f t="shared" si="12"/>
        <v>6.5000000000000002E-2</v>
      </c>
      <c r="L11" s="2767">
        <f t="shared" si="12"/>
        <v>6.5000000000000002E-2</v>
      </c>
    </row>
    <row r="12" spans="2:12 16384:16384" s="288" customFormat="1" x14ac:dyDescent="0.2">
      <c r="C12" s="3141"/>
      <c r="D12" s="2622">
        <f>D11+3%</f>
        <v>1.03</v>
      </c>
      <c r="E12" s="2772" t="s">
        <v>1869</v>
      </c>
      <c r="F12" s="2623">
        <f>F11*$D$12</f>
        <v>6.695000000000001E-2</v>
      </c>
      <c r="G12" s="2623">
        <f t="shared" ref="G12:I12" si="13">G11*$D$12</f>
        <v>6.695000000000001E-2</v>
      </c>
      <c r="H12" s="2623">
        <f t="shared" si="13"/>
        <v>6.695000000000001E-2</v>
      </c>
      <c r="I12" s="2623">
        <f t="shared" si="13"/>
        <v>6.695000000000001E-2</v>
      </c>
      <c r="J12" s="2623">
        <f t="shared" ref="J12:L12" si="14">J11*$D$12</f>
        <v>6.695000000000001E-2</v>
      </c>
      <c r="K12" s="2623">
        <f t="shared" si="14"/>
        <v>6.695000000000001E-2</v>
      </c>
      <c r="L12" s="2623">
        <f t="shared" si="14"/>
        <v>6.695000000000001E-2</v>
      </c>
    </row>
    <row r="13" spans="2:12 16384:16384" s="288" customFormat="1" x14ac:dyDescent="0.2">
      <c r="C13" s="3142"/>
      <c r="D13" s="2624">
        <f>D12+3%</f>
        <v>1.06</v>
      </c>
      <c r="E13" s="2773" t="s">
        <v>1870</v>
      </c>
      <c r="F13" s="2625">
        <f>F11*$D$13</f>
        <v>6.8900000000000003E-2</v>
      </c>
      <c r="G13" s="2625">
        <f t="shared" ref="G13:I13" si="15">G11*$D$13</f>
        <v>6.8900000000000003E-2</v>
      </c>
      <c r="H13" s="2625">
        <f t="shared" si="15"/>
        <v>6.8900000000000003E-2</v>
      </c>
      <c r="I13" s="2625">
        <f t="shared" si="15"/>
        <v>6.8900000000000003E-2</v>
      </c>
      <c r="J13" s="2625">
        <f t="shared" ref="J13:L13" si="16">J11*$D$13</f>
        <v>6.8900000000000003E-2</v>
      </c>
      <c r="K13" s="2625">
        <f t="shared" si="16"/>
        <v>6.8900000000000003E-2</v>
      </c>
      <c r="L13" s="2625">
        <f t="shared" si="16"/>
        <v>6.8900000000000003E-2</v>
      </c>
    </row>
    <row r="14" spans="2:12 16384:16384" s="288" customFormat="1" x14ac:dyDescent="0.2">
      <c r="C14" s="3140" t="s">
        <v>3083</v>
      </c>
      <c r="D14" s="2621">
        <v>1</v>
      </c>
      <c r="E14" s="2771" t="s">
        <v>1868</v>
      </c>
      <c r="F14" s="2768">
        <v>0.01</v>
      </c>
      <c r="G14" s="2768">
        <v>0.01</v>
      </c>
      <c r="H14" s="2768">
        <v>0.01</v>
      </c>
      <c r="I14" s="2768">
        <v>0.01</v>
      </c>
      <c r="J14" s="2768">
        <v>0.01</v>
      </c>
      <c r="K14" s="2768">
        <v>0.01</v>
      </c>
      <c r="L14" s="2768">
        <v>0.01</v>
      </c>
    </row>
    <row r="15" spans="2:12 16384:16384" s="288" customFormat="1" x14ac:dyDescent="0.2">
      <c r="C15" s="3141"/>
      <c r="D15" s="2622">
        <v>0.95</v>
      </c>
      <c r="E15" s="2772" t="s">
        <v>1869</v>
      </c>
      <c r="F15" s="2756">
        <f>F$14*$D15</f>
        <v>9.4999999999999998E-3</v>
      </c>
      <c r="G15" s="2756">
        <f>G$14*$D15</f>
        <v>9.4999999999999998E-3</v>
      </c>
      <c r="H15" s="2756">
        <f t="shared" ref="H15:L16" si="17">H$14*$D15</f>
        <v>9.4999999999999998E-3</v>
      </c>
      <c r="I15" s="2756">
        <f t="shared" si="17"/>
        <v>9.4999999999999998E-3</v>
      </c>
      <c r="J15" s="2756">
        <f t="shared" si="17"/>
        <v>9.4999999999999998E-3</v>
      </c>
      <c r="K15" s="2756">
        <f t="shared" si="17"/>
        <v>9.4999999999999998E-3</v>
      </c>
      <c r="L15" s="2756">
        <f t="shared" si="17"/>
        <v>9.4999999999999998E-3</v>
      </c>
    </row>
    <row r="16" spans="2:12 16384:16384" s="288" customFormat="1" x14ac:dyDescent="0.2">
      <c r="C16" s="3142"/>
      <c r="D16" s="2624">
        <v>0.9</v>
      </c>
      <c r="E16" s="2773" t="s">
        <v>1870</v>
      </c>
      <c r="F16" s="2756">
        <f>F$14*$D16</f>
        <v>9.0000000000000011E-3</v>
      </c>
      <c r="G16" s="2756">
        <f>G$14*$D16</f>
        <v>9.0000000000000011E-3</v>
      </c>
      <c r="H16" s="2756">
        <f t="shared" si="17"/>
        <v>9.0000000000000011E-3</v>
      </c>
      <c r="I16" s="2756">
        <f t="shared" si="17"/>
        <v>9.0000000000000011E-3</v>
      </c>
      <c r="J16" s="2756">
        <f t="shared" si="17"/>
        <v>9.0000000000000011E-3</v>
      </c>
      <c r="K16" s="2756">
        <f t="shared" si="17"/>
        <v>9.0000000000000011E-3</v>
      </c>
      <c r="L16" s="2756">
        <f t="shared" si="17"/>
        <v>9.0000000000000011E-3</v>
      </c>
    </row>
    <row r="17" spans="2:12" s="288" customFormat="1" x14ac:dyDescent="0.2">
      <c r="C17" s="3140" t="s">
        <v>1872</v>
      </c>
      <c r="D17" s="2621">
        <v>1</v>
      </c>
      <c r="E17" s="2771" t="s">
        <v>1868</v>
      </c>
      <c r="F17" s="2767">
        <v>-3.5000000000000003E-2</v>
      </c>
      <c r="G17" s="2767">
        <f>F17</f>
        <v>-3.5000000000000003E-2</v>
      </c>
      <c r="H17" s="2767">
        <f t="shared" ref="H17:L17" si="18">G17</f>
        <v>-3.5000000000000003E-2</v>
      </c>
      <c r="I17" s="2767">
        <f t="shared" si="18"/>
        <v>-3.5000000000000003E-2</v>
      </c>
      <c r="J17" s="2767">
        <f t="shared" si="18"/>
        <v>-3.5000000000000003E-2</v>
      </c>
      <c r="K17" s="2767">
        <f t="shared" si="18"/>
        <v>-3.5000000000000003E-2</v>
      </c>
      <c r="L17" s="2767">
        <f t="shared" si="18"/>
        <v>-3.5000000000000003E-2</v>
      </c>
    </row>
    <row r="18" spans="2:12" s="288" customFormat="1" x14ac:dyDescent="0.2">
      <c r="C18" s="3141"/>
      <c r="D18" s="2622">
        <v>1.05</v>
      </c>
      <c r="E18" s="2772" t="s">
        <v>1869</v>
      </c>
      <c r="F18" s="2623">
        <f>F17*$D$18</f>
        <v>-3.6750000000000005E-2</v>
      </c>
      <c r="G18" s="2623">
        <f t="shared" ref="G18:I18" si="19">G17*$D$18</f>
        <v>-3.6750000000000005E-2</v>
      </c>
      <c r="H18" s="2623">
        <f t="shared" si="19"/>
        <v>-3.6750000000000005E-2</v>
      </c>
      <c r="I18" s="2623">
        <f t="shared" si="19"/>
        <v>-3.6750000000000005E-2</v>
      </c>
      <c r="J18" s="2623">
        <f t="shared" ref="J18:L18" si="20">J17*$D$18</f>
        <v>-3.6750000000000005E-2</v>
      </c>
      <c r="K18" s="2623">
        <f t="shared" si="20"/>
        <v>-3.6750000000000005E-2</v>
      </c>
      <c r="L18" s="2623">
        <f t="shared" si="20"/>
        <v>-3.6750000000000005E-2</v>
      </c>
    </row>
    <row r="19" spans="2:12" s="288" customFormat="1" x14ac:dyDescent="0.2">
      <c r="C19" s="3142"/>
      <c r="D19" s="2624">
        <v>1.1000000000000001</v>
      </c>
      <c r="E19" s="2773" t="s">
        <v>1870</v>
      </c>
      <c r="F19" s="2625">
        <f>F17*$D$19</f>
        <v>-3.8500000000000006E-2</v>
      </c>
      <c r="G19" s="2625">
        <f t="shared" ref="G19:I19" si="21">G17*$D$19</f>
        <v>-3.8500000000000006E-2</v>
      </c>
      <c r="H19" s="2625">
        <f t="shared" si="21"/>
        <v>-3.8500000000000006E-2</v>
      </c>
      <c r="I19" s="2625">
        <f t="shared" si="21"/>
        <v>-3.8500000000000006E-2</v>
      </c>
      <c r="J19" s="2625">
        <f t="shared" ref="J19:L19" si="22">J17*$D$19</f>
        <v>-3.8500000000000006E-2</v>
      </c>
      <c r="K19" s="2625">
        <f t="shared" si="22"/>
        <v>-3.8500000000000006E-2</v>
      </c>
      <c r="L19" s="2625">
        <f t="shared" si="22"/>
        <v>-3.8500000000000006E-2</v>
      </c>
    </row>
    <row r="20" spans="2:12" s="288" customFormat="1" x14ac:dyDescent="0.2">
      <c r="C20" s="3140" t="s">
        <v>1873</v>
      </c>
      <c r="D20" s="2621">
        <v>1</v>
      </c>
      <c r="E20" s="2771" t="str">
        <f t="shared" ref="E20:E28" si="23">E17</f>
        <v>CLIENTE</v>
      </c>
      <c r="F20" s="2767">
        <v>-7.4999999999999997E-3</v>
      </c>
      <c r="G20" s="2767">
        <f>F20</f>
        <v>-7.4999999999999997E-3</v>
      </c>
      <c r="H20" s="2767">
        <f t="shared" ref="H20:L20" si="24">G20</f>
        <v>-7.4999999999999997E-3</v>
      </c>
      <c r="I20" s="2767">
        <f t="shared" si="24"/>
        <v>-7.4999999999999997E-3</v>
      </c>
      <c r="J20" s="2767">
        <f t="shared" si="24"/>
        <v>-7.4999999999999997E-3</v>
      </c>
      <c r="K20" s="2767">
        <f t="shared" si="24"/>
        <v>-7.4999999999999997E-3</v>
      </c>
      <c r="L20" s="2767">
        <f t="shared" si="24"/>
        <v>-7.4999999999999997E-3</v>
      </c>
    </row>
    <row r="21" spans="2:12" s="288" customFormat="1" x14ac:dyDescent="0.2">
      <c r="C21" s="3141"/>
      <c r="D21" s="2622">
        <v>1.05</v>
      </c>
      <c r="E21" s="2772" t="str">
        <f t="shared" si="23"/>
        <v>MEDIO</v>
      </c>
      <c r="F21" s="2623">
        <f>F20*$D$21</f>
        <v>-7.8750000000000001E-3</v>
      </c>
      <c r="G21" s="2623">
        <f t="shared" ref="G21:I21" si="25">G20*$D$21</f>
        <v>-7.8750000000000001E-3</v>
      </c>
      <c r="H21" s="2623">
        <f t="shared" si="25"/>
        <v>-7.8750000000000001E-3</v>
      </c>
      <c r="I21" s="2623">
        <f t="shared" si="25"/>
        <v>-7.8750000000000001E-3</v>
      </c>
      <c r="J21" s="2623">
        <f t="shared" ref="J21:L21" si="26">J20*$D$21</f>
        <v>-7.8750000000000001E-3</v>
      </c>
      <c r="K21" s="2623">
        <f t="shared" si="26"/>
        <v>-7.8750000000000001E-3</v>
      </c>
      <c r="L21" s="2623">
        <f t="shared" si="26"/>
        <v>-7.8750000000000001E-3</v>
      </c>
    </row>
    <row r="22" spans="2:12" s="288" customFormat="1" x14ac:dyDescent="0.2">
      <c r="C22" s="3142"/>
      <c r="D22" s="2624">
        <v>1.1000000000000001</v>
      </c>
      <c r="E22" s="2773" t="str">
        <f t="shared" si="23"/>
        <v>STRESS</v>
      </c>
      <c r="F22" s="2625">
        <f>F20*$D$22</f>
        <v>-8.2500000000000004E-3</v>
      </c>
      <c r="G22" s="2625">
        <f t="shared" ref="G22:I22" si="27">G20*$D$22</f>
        <v>-8.2500000000000004E-3</v>
      </c>
      <c r="H22" s="2625">
        <f t="shared" si="27"/>
        <v>-8.2500000000000004E-3</v>
      </c>
      <c r="I22" s="2625">
        <f t="shared" si="27"/>
        <v>-8.2500000000000004E-3</v>
      </c>
      <c r="J22" s="2625">
        <f t="shared" ref="J22:L22" si="28">J20*$D$22</f>
        <v>-8.2500000000000004E-3</v>
      </c>
      <c r="K22" s="2625">
        <f t="shared" si="28"/>
        <v>-8.2500000000000004E-3</v>
      </c>
      <c r="L22" s="2625">
        <f t="shared" si="28"/>
        <v>-8.2500000000000004E-3</v>
      </c>
    </row>
    <row r="23" spans="2:12" s="288" customFormat="1" x14ac:dyDescent="0.2">
      <c r="C23" s="3140" t="s">
        <v>1874</v>
      </c>
      <c r="D23" s="2621">
        <v>1</v>
      </c>
      <c r="E23" s="2771" t="str">
        <f t="shared" si="23"/>
        <v>CLIENTE</v>
      </c>
      <c r="F23" s="2767">
        <v>-0.01</v>
      </c>
      <c r="G23" s="2767">
        <f>F23</f>
        <v>-0.01</v>
      </c>
      <c r="H23" s="2767">
        <f t="shared" ref="H23:L23" si="29">G23</f>
        <v>-0.01</v>
      </c>
      <c r="I23" s="2767">
        <f t="shared" si="29"/>
        <v>-0.01</v>
      </c>
      <c r="J23" s="2767">
        <f t="shared" si="29"/>
        <v>-0.01</v>
      </c>
      <c r="K23" s="2767">
        <f t="shared" si="29"/>
        <v>-0.01</v>
      </c>
      <c r="L23" s="2767">
        <f t="shared" si="29"/>
        <v>-0.01</v>
      </c>
    </row>
    <row r="24" spans="2:12" s="288" customFormat="1" x14ac:dyDescent="0.2">
      <c r="C24" s="3141"/>
      <c r="D24" s="2622">
        <f>D23+2%</f>
        <v>1.02</v>
      </c>
      <c r="E24" s="2772" t="str">
        <f t="shared" si="23"/>
        <v>MEDIO</v>
      </c>
      <c r="F24" s="2623">
        <f>F23*$D$24</f>
        <v>-1.0200000000000001E-2</v>
      </c>
      <c r="G24" s="2623">
        <f t="shared" ref="G24:I24" si="30">G23*$D$24</f>
        <v>-1.0200000000000001E-2</v>
      </c>
      <c r="H24" s="2623">
        <f t="shared" si="30"/>
        <v>-1.0200000000000001E-2</v>
      </c>
      <c r="I24" s="2623">
        <f t="shared" si="30"/>
        <v>-1.0200000000000001E-2</v>
      </c>
      <c r="J24" s="2623">
        <f t="shared" ref="J24:L24" si="31">J23*$D$24</f>
        <v>-1.0200000000000001E-2</v>
      </c>
      <c r="K24" s="2623">
        <f t="shared" si="31"/>
        <v>-1.0200000000000001E-2</v>
      </c>
      <c r="L24" s="2623">
        <f t="shared" si="31"/>
        <v>-1.0200000000000001E-2</v>
      </c>
    </row>
    <row r="25" spans="2:12" s="288" customFormat="1" x14ac:dyDescent="0.2">
      <c r="C25" s="3142"/>
      <c r="D25" s="2624">
        <f>D24+2%</f>
        <v>1.04</v>
      </c>
      <c r="E25" s="2773" t="str">
        <f t="shared" si="23"/>
        <v>STRESS</v>
      </c>
      <c r="F25" s="2625">
        <f>F23*$D$25</f>
        <v>-1.0400000000000001E-2</v>
      </c>
      <c r="G25" s="2625">
        <f t="shared" ref="G25:I25" si="32">G23*$D$25</f>
        <v>-1.0400000000000001E-2</v>
      </c>
      <c r="H25" s="2625">
        <f t="shared" si="32"/>
        <v>-1.0400000000000001E-2</v>
      </c>
      <c r="I25" s="2625">
        <f t="shared" si="32"/>
        <v>-1.0400000000000001E-2</v>
      </c>
      <c r="J25" s="2625">
        <f t="shared" ref="J25:L25" si="33">J23*$D$25</f>
        <v>-1.0400000000000001E-2</v>
      </c>
      <c r="K25" s="2625">
        <f t="shared" si="33"/>
        <v>-1.0400000000000001E-2</v>
      </c>
      <c r="L25" s="2625">
        <f t="shared" si="33"/>
        <v>-1.0400000000000001E-2</v>
      </c>
    </row>
    <row r="26" spans="2:12" s="288" customFormat="1" x14ac:dyDescent="0.2">
      <c r="C26" s="3140" t="s">
        <v>3075</v>
      </c>
      <c r="D26" s="2621">
        <v>1</v>
      </c>
      <c r="E26" s="2771" t="str">
        <f t="shared" si="23"/>
        <v>CLIENTE</v>
      </c>
      <c r="F26" s="2767">
        <v>7.4999999999999997E-2</v>
      </c>
      <c r="G26" s="2767">
        <f>F26</f>
        <v>7.4999999999999997E-2</v>
      </c>
      <c r="H26" s="2767">
        <f t="shared" ref="H26:L26" si="34">G26</f>
        <v>7.4999999999999997E-2</v>
      </c>
      <c r="I26" s="2767">
        <f t="shared" si="34"/>
        <v>7.4999999999999997E-2</v>
      </c>
      <c r="J26" s="2767">
        <f t="shared" si="34"/>
        <v>7.4999999999999997E-2</v>
      </c>
      <c r="K26" s="2767">
        <f t="shared" si="34"/>
        <v>7.4999999999999997E-2</v>
      </c>
      <c r="L26" s="2767">
        <f t="shared" si="34"/>
        <v>7.4999999999999997E-2</v>
      </c>
    </row>
    <row r="27" spans="2:12" s="288" customFormat="1" x14ac:dyDescent="0.2">
      <c r="C27" s="3141"/>
      <c r="D27" s="2622">
        <v>1.1000000000000001</v>
      </c>
      <c r="E27" s="2772" t="str">
        <f t="shared" si="23"/>
        <v>MEDIO</v>
      </c>
      <c r="F27" s="2623">
        <f>F26*$D$27</f>
        <v>8.2500000000000004E-2</v>
      </c>
      <c r="G27" s="2623">
        <f t="shared" ref="G27:I27" si="35">G26*$D$27</f>
        <v>8.2500000000000004E-2</v>
      </c>
      <c r="H27" s="2623">
        <f t="shared" si="35"/>
        <v>8.2500000000000004E-2</v>
      </c>
      <c r="I27" s="2623">
        <f t="shared" si="35"/>
        <v>8.2500000000000004E-2</v>
      </c>
      <c r="J27" s="2623">
        <f t="shared" ref="J27:L27" si="36">J26*$D$27</f>
        <v>8.2500000000000004E-2</v>
      </c>
      <c r="K27" s="2623">
        <f t="shared" si="36"/>
        <v>8.2500000000000004E-2</v>
      </c>
      <c r="L27" s="2623">
        <f t="shared" si="36"/>
        <v>8.2500000000000004E-2</v>
      </c>
    </row>
    <row r="28" spans="2:12" s="288" customFormat="1" x14ac:dyDescent="0.2">
      <c r="C28" s="3142"/>
      <c r="D28" s="2624">
        <v>1.2</v>
      </c>
      <c r="E28" s="2773" t="str">
        <f t="shared" si="23"/>
        <v>STRESS</v>
      </c>
      <c r="F28" s="2625">
        <f>F26*$D$28</f>
        <v>0.09</v>
      </c>
      <c r="G28" s="2625">
        <f t="shared" ref="G28:I28" si="37">G26*$D$28</f>
        <v>0.09</v>
      </c>
      <c r="H28" s="2625">
        <f t="shared" si="37"/>
        <v>0.09</v>
      </c>
      <c r="I28" s="2625">
        <f t="shared" si="37"/>
        <v>0.09</v>
      </c>
      <c r="J28" s="2625">
        <f t="shared" ref="J28:L28" si="38">J26*$D$28</f>
        <v>0.09</v>
      </c>
      <c r="K28" s="2625">
        <f t="shared" si="38"/>
        <v>0.09</v>
      </c>
      <c r="L28" s="2625">
        <f t="shared" si="38"/>
        <v>0.09</v>
      </c>
    </row>
    <row r="30" spans="2:12" x14ac:dyDescent="0.2">
      <c r="B30" s="2412" t="s">
        <v>1832</v>
      </c>
      <c r="C30" s="2760">
        <f>'Info Entrada'!C1</f>
        <v>42735</v>
      </c>
      <c r="D30" s="2760">
        <f>'Info Entrada'!D1</f>
        <v>43100</v>
      </c>
      <c r="E30" s="2760">
        <f>'Info Entrada'!E1</f>
        <v>43465</v>
      </c>
      <c r="F30" s="2601">
        <f>'Info Entrada'!H1</f>
        <v>43830</v>
      </c>
      <c r="G30" s="2601">
        <f>'Info Entrada'!I1</f>
        <v>44196</v>
      </c>
      <c r="H30" s="2601">
        <f>'Info Entrada'!J1</f>
        <v>44561</v>
      </c>
      <c r="I30" s="2601">
        <f>'Info Entrada'!K1</f>
        <v>44926</v>
      </c>
      <c r="J30" s="2601">
        <f>'Info Entrada'!L1</f>
        <v>45291</v>
      </c>
      <c r="K30" s="2601">
        <f>'Info Entrada'!M1</f>
        <v>45657</v>
      </c>
      <c r="L30" s="2601">
        <f>'Info Entrada'!N1</f>
        <v>46022</v>
      </c>
    </row>
    <row r="31" spans="2:12" x14ac:dyDescent="0.2">
      <c r="B31" s="2430" t="s">
        <v>1374</v>
      </c>
      <c r="C31" s="2602">
        <f>IFERROR('Info Entrada'!C77,0)</f>
        <v>0</v>
      </c>
      <c r="D31" s="2602">
        <f>IFERROR('Info Entrada'!D77,0)</f>
        <v>0</v>
      </c>
      <c r="E31" s="2602">
        <f>IFERROR('Info Entrada'!E77,0)</f>
        <v>0</v>
      </c>
      <c r="F31" s="2602">
        <f t="shared" ref="F31:L31" si="39">IFERROR(E31*(1+VLOOKUP($C$2,$E$5:$L$7,F4,0)),0)</f>
        <v>0</v>
      </c>
      <c r="G31" s="2602">
        <f t="shared" si="39"/>
        <v>0</v>
      </c>
      <c r="H31" s="2602">
        <f t="shared" si="39"/>
        <v>0</v>
      </c>
      <c r="I31" s="2602">
        <f t="shared" si="39"/>
        <v>0</v>
      </c>
      <c r="J31" s="2602">
        <f t="shared" si="39"/>
        <v>0</v>
      </c>
      <c r="K31" s="2602">
        <f t="shared" si="39"/>
        <v>0</v>
      </c>
      <c r="L31" s="2602">
        <f t="shared" si="39"/>
        <v>0</v>
      </c>
    </row>
    <row r="32" spans="2:12" x14ac:dyDescent="0.2">
      <c r="B32" s="2431" t="s">
        <v>541</v>
      </c>
      <c r="C32" s="2603">
        <f t="shared" ref="C32:L32" si="40">SUM(C31:C31)</f>
        <v>0</v>
      </c>
      <c r="D32" s="2603">
        <f t="shared" si="40"/>
        <v>0</v>
      </c>
      <c r="E32" s="2603">
        <f t="shared" si="40"/>
        <v>0</v>
      </c>
      <c r="F32" s="2603">
        <f t="shared" si="40"/>
        <v>0</v>
      </c>
      <c r="G32" s="2603">
        <f t="shared" si="40"/>
        <v>0</v>
      </c>
      <c r="H32" s="2603">
        <f t="shared" si="40"/>
        <v>0</v>
      </c>
      <c r="I32" s="2603">
        <f t="shared" si="40"/>
        <v>0</v>
      </c>
      <c r="J32" s="2603">
        <f t="shared" si="40"/>
        <v>0</v>
      </c>
      <c r="K32" s="2603">
        <f t="shared" si="40"/>
        <v>0</v>
      </c>
      <c r="L32" s="2603">
        <f t="shared" si="40"/>
        <v>0</v>
      </c>
    </row>
    <row r="33" spans="2:12" x14ac:dyDescent="0.2">
      <c r="B33" s="2410" t="s">
        <v>1834</v>
      </c>
      <c r="C33" s="2761"/>
      <c r="D33" s="2604" t="str">
        <f>IFERROR(IF(C32&lt;&gt;0,(D32-C32)/C32,""),0)</f>
        <v/>
      </c>
      <c r="E33" s="2604" t="str">
        <f t="shared" ref="E33:L33" si="41">IFERROR(IF(D32&lt;&gt;0,(E32-D32)/D32,""),0)</f>
        <v/>
      </c>
      <c r="F33" s="2604" t="str">
        <f t="shared" si="41"/>
        <v/>
      </c>
      <c r="G33" s="2604" t="str">
        <f t="shared" si="41"/>
        <v/>
      </c>
      <c r="H33" s="2604" t="str">
        <f t="shared" si="41"/>
        <v/>
      </c>
      <c r="I33" s="2604" t="str">
        <f t="shared" si="41"/>
        <v/>
      </c>
      <c r="J33" s="2604" t="str">
        <f t="shared" si="41"/>
        <v/>
      </c>
      <c r="K33" s="2604" t="str">
        <f t="shared" si="41"/>
        <v/>
      </c>
      <c r="L33" s="2604" t="str">
        <f t="shared" si="41"/>
        <v/>
      </c>
    </row>
    <row r="34" spans="2:12" x14ac:dyDescent="0.2">
      <c r="C34" s="2762"/>
      <c r="D34" s="2600"/>
      <c r="E34" s="2600"/>
      <c r="F34" s="2600"/>
      <c r="G34" s="2600"/>
      <c r="H34" s="2600"/>
      <c r="I34" s="2600"/>
      <c r="J34" s="2600"/>
      <c r="K34" s="2600"/>
      <c r="L34" s="2600"/>
    </row>
    <row r="35" spans="2:12" x14ac:dyDescent="0.2">
      <c r="B35" s="2412" t="s">
        <v>1835</v>
      </c>
      <c r="C35" s="2760">
        <f t="shared" ref="C35:L35" si="42">C30</f>
        <v>42735</v>
      </c>
      <c r="D35" s="2760">
        <f t="shared" si="42"/>
        <v>43100</v>
      </c>
      <c r="E35" s="2760">
        <f t="shared" si="42"/>
        <v>43465</v>
      </c>
      <c r="F35" s="2601">
        <f t="shared" si="42"/>
        <v>43830</v>
      </c>
      <c r="G35" s="2601">
        <f t="shared" si="42"/>
        <v>44196</v>
      </c>
      <c r="H35" s="2601">
        <f t="shared" si="42"/>
        <v>44561</v>
      </c>
      <c r="I35" s="2601">
        <f t="shared" si="42"/>
        <v>44926</v>
      </c>
      <c r="J35" s="2601">
        <f t="shared" si="42"/>
        <v>45291</v>
      </c>
      <c r="K35" s="2601">
        <f t="shared" si="42"/>
        <v>45657</v>
      </c>
      <c r="L35" s="2601">
        <f t="shared" si="42"/>
        <v>46022</v>
      </c>
    </row>
    <row r="36" spans="2:12" x14ac:dyDescent="0.2">
      <c r="B36" s="2430" t="s">
        <v>1875</v>
      </c>
      <c r="C36" s="2602">
        <f>'Info Entrada'!C89</f>
        <v>0</v>
      </c>
      <c r="D36" s="2602">
        <f>'Info Entrada'!D89</f>
        <v>0</v>
      </c>
      <c r="E36" s="2602">
        <f>'Info Entrada'!E89</f>
        <v>0</v>
      </c>
      <c r="F36" s="2602">
        <f t="shared" ref="F36:L36" si="43">IFERROR(F31*VLOOKUP($C$2,$E$8:$L$10,F4,0),0)</f>
        <v>0</v>
      </c>
      <c r="G36" s="2602">
        <f t="shared" si="43"/>
        <v>0</v>
      </c>
      <c r="H36" s="2602">
        <f t="shared" si="43"/>
        <v>0</v>
      </c>
      <c r="I36" s="2602">
        <f t="shared" si="43"/>
        <v>0</v>
      </c>
      <c r="J36" s="2602">
        <f t="shared" si="43"/>
        <v>0</v>
      </c>
      <c r="K36" s="2602">
        <f t="shared" si="43"/>
        <v>0</v>
      </c>
      <c r="L36" s="2602">
        <f t="shared" si="43"/>
        <v>0</v>
      </c>
    </row>
    <row r="37" spans="2:12" x14ac:dyDescent="0.2">
      <c r="B37" s="2431" t="s">
        <v>1845</v>
      </c>
      <c r="C37" s="2603">
        <f t="shared" ref="C37:L37" si="44">SUM(C36:C36)</f>
        <v>0</v>
      </c>
      <c r="D37" s="2603">
        <f t="shared" si="44"/>
        <v>0</v>
      </c>
      <c r="E37" s="2603">
        <f t="shared" si="44"/>
        <v>0</v>
      </c>
      <c r="F37" s="2603">
        <f t="shared" si="44"/>
        <v>0</v>
      </c>
      <c r="G37" s="2603">
        <f t="shared" si="44"/>
        <v>0</v>
      </c>
      <c r="H37" s="2603">
        <f t="shared" si="44"/>
        <v>0</v>
      </c>
      <c r="I37" s="2603">
        <f t="shared" si="44"/>
        <v>0</v>
      </c>
      <c r="J37" s="2603">
        <f t="shared" si="44"/>
        <v>0</v>
      </c>
      <c r="K37" s="2603">
        <f t="shared" si="44"/>
        <v>0</v>
      </c>
      <c r="L37" s="2603">
        <f t="shared" si="44"/>
        <v>0</v>
      </c>
    </row>
    <row r="38" spans="2:12" x14ac:dyDescent="0.2">
      <c r="B38" s="2410" t="s">
        <v>1833</v>
      </c>
      <c r="C38" s="2605" t="str">
        <f t="shared" ref="C38:L38" si="45">IF(C37&lt;&gt;0,C37/C32,"")</f>
        <v/>
      </c>
      <c r="D38" s="2604" t="str">
        <f t="shared" si="45"/>
        <v/>
      </c>
      <c r="E38" s="2604" t="str">
        <f t="shared" si="45"/>
        <v/>
      </c>
      <c r="F38" s="2604" t="str">
        <f t="shared" si="45"/>
        <v/>
      </c>
      <c r="G38" s="2604" t="str">
        <f t="shared" si="45"/>
        <v/>
      </c>
      <c r="H38" s="2604" t="str">
        <f t="shared" si="45"/>
        <v/>
      </c>
      <c r="I38" s="2604" t="str">
        <f t="shared" si="45"/>
        <v/>
      </c>
      <c r="J38" s="2604" t="str">
        <f t="shared" si="45"/>
        <v/>
      </c>
      <c r="K38" s="2604" t="str">
        <f t="shared" si="45"/>
        <v/>
      </c>
      <c r="L38" s="2604" t="str">
        <f t="shared" si="45"/>
        <v/>
      </c>
    </row>
    <row r="40" spans="2:12" x14ac:dyDescent="0.2">
      <c r="B40" s="2412" t="s">
        <v>1838</v>
      </c>
      <c r="C40" s="2760">
        <f t="shared" ref="C40:L40" si="46">C35</f>
        <v>42735</v>
      </c>
      <c r="D40" s="2760">
        <f t="shared" si="46"/>
        <v>43100</v>
      </c>
      <c r="E40" s="2760">
        <f t="shared" si="46"/>
        <v>43465</v>
      </c>
      <c r="F40" s="2601">
        <f t="shared" si="46"/>
        <v>43830</v>
      </c>
      <c r="G40" s="2601">
        <f t="shared" si="46"/>
        <v>44196</v>
      </c>
      <c r="H40" s="2601">
        <f t="shared" si="46"/>
        <v>44561</v>
      </c>
      <c r="I40" s="2601">
        <f t="shared" si="46"/>
        <v>44926</v>
      </c>
      <c r="J40" s="2601">
        <f t="shared" si="46"/>
        <v>45291</v>
      </c>
      <c r="K40" s="2601">
        <f t="shared" si="46"/>
        <v>45657</v>
      </c>
      <c r="L40" s="2601">
        <f t="shared" si="46"/>
        <v>46022</v>
      </c>
    </row>
    <row r="41" spans="2:12" x14ac:dyDescent="0.2">
      <c r="B41" s="2430" t="s">
        <v>1876</v>
      </c>
      <c r="C41" s="2602">
        <f>'Info Entrada'!C94</f>
        <v>0</v>
      </c>
      <c r="D41" s="2602">
        <f>'Info Entrada'!D94</f>
        <v>0</v>
      </c>
      <c r="E41" s="2602">
        <f>'Info Entrada'!E94</f>
        <v>0</v>
      </c>
      <c r="F41" s="2602">
        <f t="shared" ref="F41:L41" si="47">IFERROR(F31*VLOOKUP($C$2,$E$11:$L$13,F4,0),0)</f>
        <v>0</v>
      </c>
      <c r="G41" s="2602">
        <f t="shared" si="47"/>
        <v>0</v>
      </c>
      <c r="H41" s="2602">
        <f t="shared" si="47"/>
        <v>0</v>
      </c>
      <c r="I41" s="2602">
        <f t="shared" si="47"/>
        <v>0</v>
      </c>
      <c r="J41" s="2602">
        <f t="shared" si="47"/>
        <v>0</v>
      </c>
      <c r="K41" s="2602">
        <f t="shared" si="47"/>
        <v>0</v>
      </c>
      <c r="L41" s="2602">
        <f t="shared" si="47"/>
        <v>0</v>
      </c>
    </row>
    <row r="42" spans="2:12" x14ac:dyDescent="0.2">
      <c r="B42" s="2431" t="s">
        <v>1846</v>
      </c>
      <c r="C42" s="2603">
        <f t="shared" ref="C42:L42" si="48">SUM(C41:C41)</f>
        <v>0</v>
      </c>
      <c r="D42" s="2603">
        <f t="shared" si="48"/>
        <v>0</v>
      </c>
      <c r="E42" s="2603">
        <f t="shared" si="48"/>
        <v>0</v>
      </c>
      <c r="F42" s="2603">
        <f t="shared" si="48"/>
        <v>0</v>
      </c>
      <c r="G42" s="2603">
        <f t="shared" si="48"/>
        <v>0</v>
      </c>
      <c r="H42" s="2603">
        <f t="shared" si="48"/>
        <v>0</v>
      </c>
      <c r="I42" s="2603">
        <f t="shared" si="48"/>
        <v>0</v>
      </c>
      <c r="J42" s="2603">
        <f t="shared" si="48"/>
        <v>0</v>
      </c>
      <c r="K42" s="2603">
        <f t="shared" si="48"/>
        <v>0</v>
      </c>
      <c r="L42" s="2603">
        <f t="shared" si="48"/>
        <v>0</v>
      </c>
    </row>
    <row r="43" spans="2:12" x14ac:dyDescent="0.2">
      <c r="B43" s="2410" t="s">
        <v>1839</v>
      </c>
      <c r="C43" s="2605" t="str">
        <f t="shared" ref="C43:L43" si="49">IF(C42&lt;&gt;0,C42/C32,"")</f>
        <v/>
      </c>
      <c r="D43" s="2605" t="str">
        <f t="shared" si="49"/>
        <v/>
      </c>
      <c r="E43" s="2605" t="str">
        <f t="shared" si="49"/>
        <v/>
      </c>
      <c r="F43" s="2605" t="str">
        <f t="shared" si="49"/>
        <v/>
      </c>
      <c r="G43" s="2605" t="str">
        <f t="shared" si="49"/>
        <v/>
      </c>
      <c r="H43" s="2605" t="str">
        <f t="shared" si="49"/>
        <v/>
      </c>
      <c r="I43" s="2605" t="str">
        <f t="shared" si="49"/>
        <v/>
      </c>
      <c r="J43" s="2605" t="str">
        <f t="shared" si="49"/>
        <v/>
      </c>
      <c r="K43" s="2605" t="str">
        <f t="shared" si="49"/>
        <v/>
      </c>
      <c r="L43" s="2605" t="str">
        <f t="shared" si="49"/>
        <v/>
      </c>
    </row>
    <row r="45" spans="2:12" x14ac:dyDescent="0.2">
      <c r="B45" s="2412" t="s">
        <v>3082</v>
      </c>
      <c r="C45" s="2760">
        <f>'Info Entrada'!C1</f>
        <v>42735</v>
      </c>
      <c r="D45" s="2760">
        <f>'Info Entrada'!D1</f>
        <v>43100</v>
      </c>
      <c r="E45" s="2760">
        <f>'Info Entrada'!E1</f>
        <v>43465</v>
      </c>
      <c r="F45" s="2601">
        <f>'Info Entrada'!H1</f>
        <v>43830</v>
      </c>
      <c r="G45" s="2601">
        <f>'Info Entrada'!I1</f>
        <v>44196</v>
      </c>
      <c r="H45" s="2601">
        <f>'Info Entrada'!J1</f>
        <v>44561</v>
      </c>
      <c r="I45" s="2601">
        <f>'Info Entrada'!K1</f>
        <v>44926</v>
      </c>
      <c r="J45" s="2601">
        <f>'Info Entrada'!L1</f>
        <v>45291</v>
      </c>
      <c r="K45" s="2601">
        <f>'Info Entrada'!M1</f>
        <v>45657</v>
      </c>
      <c r="L45" s="2601">
        <f>'Info Entrada'!N1</f>
        <v>46022</v>
      </c>
    </row>
    <row r="46" spans="2:12" x14ac:dyDescent="0.2">
      <c r="B46" s="2430" t="str">
        <f>B45</f>
        <v>Otros Ingresos Operativos</v>
      </c>
      <c r="C46" s="2602">
        <f>'Info Entrada'!C111</f>
        <v>0</v>
      </c>
      <c r="D46" s="2602">
        <f>'Info Entrada'!D111</f>
        <v>0</v>
      </c>
      <c r="E46" s="2602">
        <f>'Info Entrada'!E111</f>
        <v>0</v>
      </c>
      <c r="F46" s="2602">
        <f>IFERROR(IF(E46&lt;&gt;0,(F31*VLOOKUP($C$2,$E$14:$L$16,F4,0)),0),0)</f>
        <v>0</v>
      </c>
      <c r="G46" s="2602">
        <f t="shared" ref="G46:L46" si="50">IFERROR(IF(F46&lt;&gt;0,(G31*VLOOKUP($C$2,$E$14:$L$16,G4,0)),0),0)</f>
        <v>0</v>
      </c>
      <c r="H46" s="2602">
        <f t="shared" si="50"/>
        <v>0</v>
      </c>
      <c r="I46" s="2602">
        <f t="shared" si="50"/>
        <v>0</v>
      </c>
      <c r="J46" s="2602">
        <f t="shared" si="50"/>
        <v>0</v>
      </c>
      <c r="K46" s="2602">
        <f t="shared" si="50"/>
        <v>0</v>
      </c>
      <c r="L46" s="2602">
        <f t="shared" si="50"/>
        <v>0</v>
      </c>
    </row>
    <row r="49" spans="2:12" x14ac:dyDescent="0.2">
      <c r="B49" s="2412" t="s">
        <v>1847</v>
      </c>
    </row>
    <row r="50" spans="2:12" x14ac:dyDescent="0.2">
      <c r="B50" s="2409" t="s">
        <v>1836</v>
      </c>
      <c r="E50" s="2421" t="str">
        <f>IFERROR(IF('Info Entrada'!E116&lt;&gt;0,'Info Entrada'!E85/'Info Entrada'!E116,""),0)</f>
        <v/>
      </c>
    </row>
    <row r="51" spans="2:12" x14ac:dyDescent="0.2">
      <c r="B51" s="2409" t="s">
        <v>1837</v>
      </c>
      <c r="E51" s="2421" t="str">
        <f>IF(E50&lt;&gt;"",100%-E50,"")</f>
        <v/>
      </c>
    </row>
    <row r="53" spans="2:12" x14ac:dyDescent="0.2">
      <c r="B53" s="2412" t="s">
        <v>1848</v>
      </c>
    </row>
    <row r="54" spans="2:12" x14ac:dyDescent="0.2">
      <c r="B54" s="2409" t="s">
        <v>1836</v>
      </c>
      <c r="E54" s="2421" t="str">
        <f>IFERROR(IF('Info Entrada'!E117&lt;&gt;0,'Info Entrada'!E86/'Info Entrada'!E117,""),0)</f>
        <v/>
      </c>
    </row>
    <row r="55" spans="2:12" x14ac:dyDescent="0.2">
      <c r="B55" s="2409" t="s">
        <v>1837</v>
      </c>
      <c r="E55" s="2421" t="str">
        <f>IF(E54&lt;&gt;"",100%-E54,"")</f>
        <v/>
      </c>
    </row>
    <row r="57" spans="2:12" x14ac:dyDescent="0.2">
      <c r="B57" s="2412" t="s">
        <v>1840</v>
      </c>
      <c r="C57" s="2760">
        <f t="shared" ref="C57:L57" si="51">C40</f>
        <v>42735</v>
      </c>
      <c r="D57" s="2760">
        <f t="shared" si="51"/>
        <v>43100</v>
      </c>
      <c r="E57" s="2760">
        <f t="shared" si="51"/>
        <v>43465</v>
      </c>
      <c r="F57" s="2601">
        <f t="shared" si="51"/>
        <v>43830</v>
      </c>
      <c r="G57" s="2601">
        <f t="shared" si="51"/>
        <v>44196</v>
      </c>
      <c r="H57" s="2601">
        <f t="shared" si="51"/>
        <v>44561</v>
      </c>
      <c r="I57" s="2601">
        <f t="shared" si="51"/>
        <v>44926</v>
      </c>
      <c r="J57" s="2601">
        <f t="shared" si="51"/>
        <v>45291</v>
      </c>
      <c r="K57" s="2601">
        <f t="shared" si="51"/>
        <v>45657</v>
      </c>
      <c r="L57" s="2601">
        <f t="shared" si="51"/>
        <v>46022</v>
      </c>
    </row>
    <row r="58" spans="2:12" x14ac:dyDescent="0.2">
      <c r="B58" s="2430" t="s">
        <v>1877</v>
      </c>
      <c r="C58" s="2602">
        <f>'Info Entrada'!C196</f>
        <v>0</v>
      </c>
      <c r="D58" s="2602">
        <f>'Info Entrada'!D196</f>
        <v>0</v>
      </c>
      <c r="E58" s="2602">
        <f>'Info Entrada'!E196</f>
        <v>0</v>
      </c>
      <c r="F58" s="2602">
        <f>E58-F80</f>
        <v>0</v>
      </c>
      <c r="G58" s="2602">
        <f t="shared" ref="G58:L58" si="52">F58-G80</f>
        <v>0</v>
      </c>
      <c r="H58" s="2602">
        <f t="shared" si="52"/>
        <v>0</v>
      </c>
      <c r="I58" s="2602">
        <f t="shared" si="52"/>
        <v>0</v>
      </c>
      <c r="J58" s="2602">
        <f t="shared" si="52"/>
        <v>0</v>
      </c>
      <c r="K58" s="2602">
        <f t="shared" si="52"/>
        <v>0</v>
      </c>
      <c r="L58" s="2602">
        <f t="shared" si="52"/>
        <v>0</v>
      </c>
    </row>
    <row r="59" spans="2:12" x14ac:dyDescent="0.2">
      <c r="B59" s="2430" t="s">
        <v>3084</v>
      </c>
      <c r="C59" s="2602">
        <f>'Info Entrada'!C116</f>
        <v>0</v>
      </c>
      <c r="D59" s="2602">
        <f>'Info Entrada'!D116</f>
        <v>0</v>
      </c>
      <c r="E59" s="2602">
        <f>'Info Entrada'!E116</f>
        <v>0</v>
      </c>
      <c r="F59" s="2602">
        <f>F58*F60</f>
        <v>0</v>
      </c>
      <c r="G59" s="2602">
        <f t="shared" ref="G59:L59" si="53">G58*G60</f>
        <v>0</v>
      </c>
      <c r="H59" s="2602">
        <f t="shared" si="53"/>
        <v>0</v>
      </c>
      <c r="I59" s="2602">
        <f t="shared" si="53"/>
        <v>0</v>
      </c>
      <c r="J59" s="2602">
        <f t="shared" si="53"/>
        <v>0</v>
      </c>
      <c r="K59" s="2602">
        <f t="shared" si="53"/>
        <v>0</v>
      </c>
      <c r="L59" s="2602">
        <f t="shared" si="53"/>
        <v>0</v>
      </c>
    </row>
    <row r="60" spans="2:12" x14ac:dyDescent="0.2">
      <c r="B60" s="2430" t="s">
        <v>1878</v>
      </c>
      <c r="C60" s="2606">
        <f>IF(C59&gt;0,C59/'Info Entrada'!C196,0%)</f>
        <v>0</v>
      </c>
      <c r="D60" s="2606">
        <f>IF(D59&gt;0,D59/'Info Entrada'!D196,0%)</f>
        <v>0</v>
      </c>
      <c r="E60" s="2606">
        <f>IF(E59&gt;0,E59/'Info Entrada'!E196,0%)</f>
        <v>0</v>
      </c>
      <c r="F60" s="2765">
        <f>AVERAGE(C60:E60)</f>
        <v>0</v>
      </c>
      <c r="G60" s="2765">
        <f>F60</f>
        <v>0</v>
      </c>
      <c r="H60" s="2765">
        <f t="shared" ref="H60:L60" si="54">G60</f>
        <v>0</v>
      </c>
      <c r="I60" s="2765">
        <f t="shared" si="54"/>
        <v>0</v>
      </c>
      <c r="J60" s="2765">
        <f t="shared" si="54"/>
        <v>0</v>
      </c>
      <c r="K60" s="2765">
        <f t="shared" si="54"/>
        <v>0</v>
      </c>
      <c r="L60" s="2765">
        <f t="shared" si="54"/>
        <v>0</v>
      </c>
    </row>
    <row r="61" spans="2:12" x14ac:dyDescent="0.2">
      <c r="B61" s="2431" t="s">
        <v>1879</v>
      </c>
      <c r="C61" s="2603">
        <f>C59</f>
        <v>0</v>
      </c>
      <c r="D61" s="2603">
        <f t="shared" ref="D61:L61" si="55">D59</f>
        <v>0</v>
      </c>
      <c r="E61" s="2603">
        <f t="shared" si="55"/>
        <v>0</v>
      </c>
      <c r="F61" s="2603">
        <f t="shared" si="55"/>
        <v>0</v>
      </c>
      <c r="G61" s="2603">
        <f t="shared" si="55"/>
        <v>0</v>
      </c>
      <c r="H61" s="2603">
        <f t="shared" si="55"/>
        <v>0</v>
      </c>
      <c r="I61" s="2603">
        <f t="shared" si="55"/>
        <v>0</v>
      </c>
      <c r="J61" s="2603">
        <f t="shared" si="55"/>
        <v>0</v>
      </c>
      <c r="K61" s="2603">
        <f t="shared" si="55"/>
        <v>0</v>
      </c>
      <c r="L61" s="2603">
        <f t="shared" si="55"/>
        <v>0</v>
      </c>
    </row>
    <row r="63" spans="2:12" x14ac:dyDescent="0.2">
      <c r="B63" s="2412" t="s">
        <v>1841</v>
      </c>
      <c r="C63" s="2760">
        <f t="shared" ref="C63:L63" si="56">C57</f>
        <v>42735</v>
      </c>
      <c r="D63" s="2760">
        <f t="shared" si="56"/>
        <v>43100</v>
      </c>
      <c r="E63" s="2760">
        <f t="shared" si="56"/>
        <v>43465</v>
      </c>
      <c r="F63" s="2601">
        <f t="shared" si="56"/>
        <v>43830</v>
      </c>
      <c r="G63" s="2601">
        <f t="shared" si="56"/>
        <v>44196</v>
      </c>
      <c r="H63" s="2601">
        <f t="shared" si="56"/>
        <v>44561</v>
      </c>
      <c r="I63" s="2601">
        <f t="shared" si="56"/>
        <v>44926</v>
      </c>
      <c r="J63" s="2601">
        <f t="shared" si="56"/>
        <v>45291</v>
      </c>
      <c r="K63" s="2601">
        <f t="shared" si="56"/>
        <v>45657</v>
      </c>
      <c r="L63" s="2601">
        <f t="shared" si="56"/>
        <v>46022</v>
      </c>
    </row>
    <row r="64" spans="2:12" x14ac:dyDescent="0.2">
      <c r="B64" s="2430" t="s">
        <v>1880</v>
      </c>
      <c r="C64" s="2602">
        <f>'Info Entrada'!C201</f>
        <v>0</v>
      </c>
      <c r="D64" s="2602">
        <f>'Info Entrada'!D201</f>
        <v>0</v>
      </c>
      <c r="E64" s="2602">
        <f>'Info Entrada'!E201</f>
        <v>0</v>
      </c>
      <c r="F64" s="2602">
        <f t="shared" ref="F64:L64" si="57">E64-F81</f>
        <v>0</v>
      </c>
      <c r="G64" s="2602">
        <f t="shared" si="57"/>
        <v>0</v>
      </c>
      <c r="H64" s="2602">
        <f t="shared" si="57"/>
        <v>0</v>
      </c>
      <c r="I64" s="2602">
        <f t="shared" si="57"/>
        <v>0</v>
      </c>
      <c r="J64" s="2602">
        <f t="shared" si="57"/>
        <v>0</v>
      </c>
      <c r="K64" s="2602">
        <f t="shared" si="57"/>
        <v>0</v>
      </c>
      <c r="L64" s="2602">
        <f t="shared" si="57"/>
        <v>0</v>
      </c>
    </row>
    <row r="65" spans="2:12" x14ac:dyDescent="0.2">
      <c r="B65" s="2430" t="s">
        <v>1881</v>
      </c>
      <c r="C65" s="2602">
        <f>'Info Entrada'!C117</f>
        <v>0</v>
      </c>
      <c r="D65" s="2602">
        <f>'Info Entrada'!D117</f>
        <v>0</v>
      </c>
      <c r="E65" s="2602">
        <f>'Info Entrada'!E117</f>
        <v>0</v>
      </c>
      <c r="F65" s="2602">
        <f>F64*F66</f>
        <v>0</v>
      </c>
      <c r="G65" s="2602">
        <f t="shared" ref="G65" si="58">G64*G66</f>
        <v>0</v>
      </c>
      <c r="H65" s="2602">
        <f t="shared" ref="H65" si="59">H64*H66</f>
        <v>0</v>
      </c>
      <c r="I65" s="2602">
        <f t="shared" ref="I65" si="60">I64*I66</f>
        <v>0</v>
      </c>
      <c r="J65" s="2602">
        <f t="shared" ref="J65" si="61">J64*J66</f>
        <v>0</v>
      </c>
      <c r="K65" s="2602">
        <f t="shared" ref="K65" si="62">K64*K66</f>
        <v>0</v>
      </c>
      <c r="L65" s="2602">
        <f t="shared" ref="L65" si="63">L64*L66</f>
        <v>0</v>
      </c>
    </row>
    <row r="66" spans="2:12" x14ac:dyDescent="0.2">
      <c r="B66" s="2430" t="s">
        <v>1882</v>
      </c>
      <c r="C66" s="2606">
        <f>IF(C65&gt;0,C65/C64,0%)</f>
        <v>0</v>
      </c>
      <c r="D66" s="2606">
        <f t="shared" ref="D66:E66" si="64">IF(D65&gt;0,D65/D64,0%)</f>
        <v>0</v>
      </c>
      <c r="E66" s="2606">
        <f t="shared" si="64"/>
        <v>0</v>
      </c>
      <c r="F66" s="2765">
        <v>0.05</v>
      </c>
      <c r="G66" s="2765">
        <f>F66</f>
        <v>0.05</v>
      </c>
      <c r="H66" s="2765">
        <f t="shared" ref="H66:L66" si="65">G66</f>
        <v>0.05</v>
      </c>
      <c r="I66" s="2765">
        <f t="shared" si="65"/>
        <v>0.05</v>
      </c>
      <c r="J66" s="2765">
        <f t="shared" si="65"/>
        <v>0.05</v>
      </c>
      <c r="K66" s="2765">
        <f t="shared" si="65"/>
        <v>0.05</v>
      </c>
      <c r="L66" s="2765">
        <f t="shared" si="65"/>
        <v>0.05</v>
      </c>
    </row>
    <row r="67" spans="2:12" x14ac:dyDescent="0.2">
      <c r="B67" s="2431" t="s">
        <v>1866</v>
      </c>
      <c r="C67" s="2603">
        <f>C65</f>
        <v>0</v>
      </c>
      <c r="D67" s="2603">
        <f t="shared" ref="D67:L67" si="66">D65</f>
        <v>0</v>
      </c>
      <c r="E67" s="2603">
        <f t="shared" si="66"/>
        <v>0</v>
      </c>
      <c r="F67" s="2603">
        <f t="shared" si="66"/>
        <v>0</v>
      </c>
      <c r="G67" s="2603">
        <f t="shared" si="66"/>
        <v>0</v>
      </c>
      <c r="H67" s="2603">
        <f t="shared" si="66"/>
        <v>0</v>
      </c>
      <c r="I67" s="2603">
        <f t="shared" si="66"/>
        <v>0</v>
      </c>
      <c r="J67" s="2603">
        <f t="shared" si="66"/>
        <v>0</v>
      </c>
      <c r="K67" s="2603">
        <f t="shared" si="66"/>
        <v>0</v>
      </c>
      <c r="L67" s="2603">
        <f t="shared" si="66"/>
        <v>0</v>
      </c>
    </row>
    <row r="69" spans="2:12" x14ac:dyDescent="0.2">
      <c r="B69" s="2432" t="s">
        <v>1843</v>
      </c>
      <c r="C69" s="2763">
        <f t="shared" ref="C69:L69" si="67">C63</f>
        <v>42735</v>
      </c>
      <c r="D69" s="2763">
        <f t="shared" si="67"/>
        <v>43100</v>
      </c>
      <c r="E69" s="2763">
        <f t="shared" si="67"/>
        <v>43465</v>
      </c>
      <c r="F69" s="2607">
        <f t="shared" si="67"/>
        <v>43830</v>
      </c>
      <c r="G69" s="2607">
        <f t="shared" si="67"/>
        <v>44196</v>
      </c>
      <c r="H69" s="2607">
        <f t="shared" si="67"/>
        <v>44561</v>
      </c>
      <c r="I69" s="2607">
        <f t="shared" si="67"/>
        <v>44926</v>
      </c>
      <c r="J69" s="2607">
        <f t="shared" si="67"/>
        <v>45291</v>
      </c>
      <c r="K69" s="2608">
        <f t="shared" si="67"/>
        <v>45657</v>
      </c>
      <c r="L69" s="2608">
        <f t="shared" si="67"/>
        <v>46022</v>
      </c>
    </row>
    <row r="70" spans="2:12" x14ac:dyDescent="0.2">
      <c r="B70" s="2436" t="s">
        <v>503</v>
      </c>
      <c r="C70" s="2609">
        <f>IFERROR('Resumen EEFF'!B127,0)</f>
        <v>0</v>
      </c>
      <c r="D70" s="2609">
        <f>IFERROR('Resumen EEFF'!C127,0)</f>
        <v>0</v>
      </c>
      <c r="E70" s="2609">
        <f>IFERROR('Resumen EEFF'!D127,0)</f>
        <v>0</v>
      </c>
      <c r="F70" s="2609">
        <f>AVERAGE(C70:E70)</f>
        <v>0</v>
      </c>
      <c r="G70" s="2609">
        <f>F70</f>
        <v>0</v>
      </c>
      <c r="H70" s="2609">
        <f t="shared" ref="H70:L70" si="68">G70</f>
        <v>0</v>
      </c>
      <c r="I70" s="2609">
        <f t="shared" si="68"/>
        <v>0</v>
      </c>
      <c r="J70" s="2609">
        <f t="shared" si="68"/>
        <v>0</v>
      </c>
      <c r="K70" s="2610">
        <f t="shared" si="68"/>
        <v>0</v>
      </c>
      <c r="L70" s="2610">
        <f t="shared" si="68"/>
        <v>0</v>
      </c>
    </row>
    <row r="71" spans="2:12" x14ac:dyDescent="0.2">
      <c r="B71" s="2436" t="s">
        <v>1842</v>
      </c>
      <c r="C71" s="2609">
        <f>IFERROR('Resumen EEFF'!B128,0)</f>
        <v>0</v>
      </c>
      <c r="D71" s="2609">
        <f>IFERROR('Resumen EEFF'!C128,0)</f>
        <v>0</v>
      </c>
      <c r="E71" s="2609">
        <f>IFERROR('Resumen EEFF'!D128,0)</f>
        <v>0</v>
      </c>
      <c r="F71" s="2609">
        <f t="shared" ref="F71:F72" si="69">AVERAGE(C71:E71)</f>
        <v>0</v>
      </c>
      <c r="G71" s="2609">
        <f t="shared" ref="G71:L71" si="70">F71</f>
        <v>0</v>
      </c>
      <c r="H71" s="2609">
        <f t="shared" si="70"/>
        <v>0</v>
      </c>
      <c r="I71" s="2609">
        <f t="shared" si="70"/>
        <v>0</v>
      </c>
      <c r="J71" s="2609">
        <f t="shared" si="70"/>
        <v>0</v>
      </c>
      <c r="K71" s="2610">
        <f t="shared" si="70"/>
        <v>0</v>
      </c>
      <c r="L71" s="2610">
        <f t="shared" si="70"/>
        <v>0</v>
      </c>
    </row>
    <row r="72" spans="2:12" x14ac:dyDescent="0.2">
      <c r="B72" s="2436" t="s">
        <v>308</v>
      </c>
      <c r="C72" s="2609">
        <f>IFERROR('Resumen EEFF'!B129,0)</f>
        <v>0</v>
      </c>
      <c r="D72" s="2609">
        <f>IFERROR('Resumen EEFF'!C129,0)</f>
        <v>0</v>
      </c>
      <c r="E72" s="2609">
        <f>IFERROR('Resumen EEFF'!D129,0)</f>
        <v>0</v>
      </c>
      <c r="F72" s="2609">
        <f t="shared" si="69"/>
        <v>0</v>
      </c>
      <c r="G72" s="2609">
        <f t="shared" ref="G72:L72" si="71">F72</f>
        <v>0</v>
      </c>
      <c r="H72" s="2609">
        <f t="shared" si="71"/>
        <v>0</v>
      </c>
      <c r="I72" s="2609">
        <f t="shared" si="71"/>
        <v>0</v>
      </c>
      <c r="J72" s="2609">
        <f t="shared" si="71"/>
        <v>0</v>
      </c>
      <c r="K72" s="2610">
        <f t="shared" si="71"/>
        <v>0</v>
      </c>
      <c r="L72" s="2610">
        <f t="shared" si="71"/>
        <v>0</v>
      </c>
    </row>
    <row r="74" spans="2:12" x14ac:dyDescent="0.2">
      <c r="B74" s="2412" t="s">
        <v>1844</v>
      </c>
      <c r="C74" s="2760">
        <f>C69</f>
        <v>42735</v>
      </c>
      <c r="D74" s="2760">
        <f t="shared" ref="D74:J74" si="72">D69</f>
        <v>43100</v>
      </c>
      <c r="E74" s="2760">
        <f t="shared" si="72"/>
        <v>43465</v>
      </c>
      <c r="F74" s="2601">
        <f t="shared" si="72"/>
        <v>43830</v>
      </c>
      <c r="G74" s="2601">
        <f t="shared" si="72"/>
        <v>44196</v>
      </c>
      <c r="H74" s="2601">
        <f t="shared" si="72"/>
        <v>44561</v>
      </c>
      <c r="I74" s="2601">
        <f t="shared" si="72"/>
        <v>44926</v>
      </c>
      <c r="J74" s="2601">
        <f t="shared" si="72"/>
        <v>45291</v>
      </c>
      <c r="K74" s="2601">
        <f t="shared" ref="K74:L74" si="73">K69</f>
        <v>45657</v>
      </c>
      <c r="L74" s="2601">
        <f t="shared" si="73"/>
        <v>46022</v>
      </c>
    </row>
    <row r="75" spans="2:12" x14ac:dyDescent="0.2">
      <c r="B75" s="2430" t="s">
        <v>503</v>
      </c>
      <c r="C75" s="2602">
        <f t="shared" ref="C75:L75" si="74">IFERROR((C32*C70)/360,0)</f>
        <v>0</v>
      </c>
      <c r="D75" s="2602">
        <f t="shared" si="74"/>
        <v>0</v>
      </c>
      <c r="E75" s="2602">
        <f t="shared" si="74"/>
        <v>0</v>
      </c>
      <c r="F75" s="2602">
        <f>IFERROR((F32*F70)/360,0)</f>
        <v>0</v>
      </c>
      <c r="G75" s="2602">
        <f t="shared" si="74"/>
        <v>0</v>
      </c>
      <c r="H75" s="2602">
        <f t="shared" si="74"/>
        <v>0</v>
      </c>
      <c r="I75" s="2602">
        <f t="shared" si="74"/>
        <v>0</v>
      </c>
      <c r="J75" s="2602">
        <f t="shared" si="74"/>
        <v>0</v>
      </c>
      <c r="K75" s="2602">
        <f t="shared" si="74"/>
        <v>0</v>
      </c>
      <c r="L75" s="2602">
        <f t="shared" si="74"/>
        <v>0</v>
      </c>
    </row>
    <row r="76" spans="2:12" x14ac:dyDescent="0.2">
      <c r="B76" s="2430" t="s">
        <v>1842</v>
      </c>
      <c r="C76" s="2602">
        <f t="shared" ref="C76:L76" si="75">IFERROR((C37*C71)/360,0)</f>
        <v>0</v>
      </c>
      <c r="D76" s="2602">
        <f t="shared" si="75"/>
        <v>0</v>
      </c>
      <c r="E76" s="2602">
        <f t="shared" si="75"/>
        <v>0</v>
      </c>
      <c r="F76" s="2602">
        <f>IFERROR((F37*F71)/360,0)</f>
        <v>0</v>
      </c>
      <c r="G76" s="2602">
        <f t="shared" si="75"/>
        <v>0</v>
      </c>
      <c r="H76" s="2602">
        <f t="shared" si="75"/>
        <v>0</v>
      </c>
      <c r="I76" s="2602">
        <f t="shared" si="75"/>
        <v>0</v>
      </c>
      <c r="J76" s="2602">
        <f t="shared" si="75"/>
        <v>0</v>
      </c>
      <c r="K76" s="2602">
        <f t="shared" si="75"/>
        <v>0</v>
      </c>
      <c r="L76" s="2602">
        <f t="shared" si="75"/>
        <v>0</v>
      </c>
    </row>
    <row r="77" spans="2:12" x14ac:dyDescent="0.2">
      <c r="B77" s="2430" t="s">
        <v>308</v>
      </c>
      <c r="C77" s="2602">
        <f t="shared" ref="C77:L77" si="76">IFERROR((C72*C37)/360,0)</f>
        <v>0</v>
      </c>
      <c r="D77" s="2602">
        <f t="shared" si="76"/>
        <v>0</v>
      </c>
      <c r="E77" s="2602">
        <f t="shared" si="76"/>
        <v>0</v>
      </c>
      <c r="F77" s="2602">
        <f>IFERROR((F72*F37)/360,0)</f>
        <v>0</v>
      </c>
      <c r="G77" s="2602">
        <f t="shared" si="76"/>
        <v>0</v>
      </c>
      <c r="H77" s="2602">
        <f t="shared" si="76"/>
        <v>0</v>
      </c>
      <c r="I77" s="2602">
        <f t="shared" si="76"/>
        <v>0</v>
      </c>
      <c r="J77" s="2602">
        <f t="shared" si="76"/>
        <v>0</v>
      </c>
      <c r="K77" s="2602">
        <f t="shared" si="76"/>
        <v>0</v>
      </c>
      <c r="L77" s="2602">
        <f t="shared" si="76"/>
        <v>0</v>
      </c>
    </row>
    <row r="79" spans="2:12" x14ac:dyDescent="0.2">
      <c r="B79" s="2412" t="s">
        <v>1850</v>
      </c>
      <c r="C79" s="2760">
        <f t="shared" ref="C79:L79" si="77">C74</f>
        <v>42735</v>
      </c>
      <c r="D79" s="2760">
        <f t="shared" si="77"/>
        <v>43100</v>
      </c>
      <c r="E79" s="2760">
        <f t="shared" si="77"/>
        <v>43465</v>
      </c>
      <c r="F79" s="2601">
        <f t="shared" si="77"/>
        <v>43830</v>
      </c>
      <c r="G79" s="2601">
        <f t="shared" si="77"/>
        <v>44196</v>
      </c>
      <c r="H79" s="2601">
        <f t="shared" si="77"/>
        <v>44561</v>
      </c>
      <c r="I79" s="2601">
        <f t="shared" si="77"/>
        <v>44926</v>
      </c>
      <c r="J79" s="2601">
        <f t="shared" si="77"/>
        <v>45291</v>
      </c>
      <c r="K79" s="2601">
        <f t="shared" si="77"/>
        <v>45657</v>
      </c>
      <c r="L79" s="2601">
        <f t="shared" si="77"/>
        <v>46022</v>
      </c>
    </row>
    <row r="80" spans="2:12" x14ac:dyDescent="0.2">
      <c r="B80" s="2440" t="s">
        <v>1883</v>
      </c>
      <c r="C80" s="2602"/>
      <c r="D80" s="2602"/>
      <c r="E80" s="2602"/>
      <c r="F80" s="2602">
        <f>IFERROR(F31*-VLOOKUP($C$2,$E$17:$L$19,F4,0),0)</f>
        <v>0</v>
      </c>
      <c r="G80" s="2602">
        <f t="shared" ref="G80:L80" si="78">IFERROR(G31*-VLOOKUP($C$2,$E$17:$K$19,G4,0),0)</f>
        <v>0</v>
      </c>
      <c r="H80" s="2602">
        <f t="shared" si="78"/>
        <v>0</v>
      </c>
      <c r="I80" s="2602">
        <f t="shared" si="78"/>
        <v>0</v>
      </c>
      <c r="J80" s="2602">
        <f t="shared" si="78"/>
        <v>0</v>
      </c>
      <c r="K80" s="2602">
        <f t="shared" si="78"/>
        <v>0</v>
      </c>
      <c r="L80" s="2602">
        <f t="shared" si="78"/>
        <v>0</v>
      </c>
    </row>
    <row r="81" spans="2:12" x14ac:dyDescent="0.2">
      <c r="B81" s="2440" t="s">
        <v>1884</v>
      </c>
      <c r="C81" s="2602"/>
      <c r="D81" s="2602"/>
      <c r="E81" s="2602"/>
      <c r="F81" s="2602">
        <f t="shared" ref="F81:L81" si="79">IFERROR(F31*-VLOOKUP($C$2,$E$20:$L$22,F5,0),0)</f>
        <v>0</v>
      </c>
      <c r="G81" s="2602">
        <f t="shared" si="79"/>
        <v>0</v>
      </c>
      <c r="H81" s="2602">
        <f t="shared" si="79"/>
        <v>0</v>
      </c>
      <c r="I81" s="2602">
        <f t="shared" si="79"/>
        <v>0</v>
      </c>
      <c r="J81" s="2602">
        <f t="shared" si="79"/>
        <v>0</v>
      </c>
      <c r="K81" s="2602">
        <f t="shared" si="79"/>
        <v>0</v>
      </c>
      <c r="L81" s="2602">
        <f t="shared" si="79"/>
        <v>0</v>
      </c>
    </row>
    <row r="82" spans="2:12" x14ac:dyDescent="0.2">
      <c r="B82" s="2440" t="s">
        <v>1874</v>
      </c>
      <c r="C82" s="2602"/>
      <c r="D82" s="2602"/>
      <c r="E82" s="2602"/>
      <c r="F82" s="2602">
        <f>IFERROR(-F31*-VLOOKUP($C$2,$E$23:$L$25,F4,0),0)</f>
        <v>0</v>
      </c>
      <c r="G82" s="2602">
        <f t="shared" ref="G82:L82" si="80">IFERROR(-G31*-VLOOKUP($C$2,$E$23:$L$25,G4,0),0)</f>
        <v>0</v>
      </c>
      <c r="H82" s="2602">
        <f t="shared" si="80"/>
        <v>0</v>
      </c>
      <c r="I82" s="2602">
        <f t="shared" si="80"/>
        <v>0</v>
      </c>
      <c r="J82" s="2602">
        <f t="shared" si="80"/>
        <v>0</v>
      </c>
      <c r="K82" s="2602">
        <f t="shared" si="80"/>
        <v>0</v>
      </c>
      <c r="L82" s="2602">
        <f t="shared" si="80"/>
        <v>0</v>
      </c>
    </row>
    <row r="83" spans="2:12" x14ac:dyDescent="0.2">
      <c r="B83" s="2423" t="s">
        <v>203</v>
      </c>
      <c r="C83" s="2611">
        <f>SUM(C80:C82)</f>
        <v>0</v>
      </c>
      <c r="D83" s="2611">
        <f t="shared" ref="D83:J83" si="81">SUM(D80:D82)</f>
        <v>0</v>
      </c>
      <c r="E83" s="2611">
        <f t="shared" si="81"/>
        <v>0</v>
      </c>
      <c r="F83" s="2611">
        <f t="shared" si="81"/>
        <v>0</v>
      </c>
      <c r="G83" s="2611">
        <f t="shared" si="81"/>
        <v>0</v>
      </c>
      <c r="H83" s="2611">
        <f t="shared" si="81"/>
        <v>0</v>
      </c>
      <c r="I83" s="2611">
        <f t="shared" si="81"/>
        <v>0</v>
      </c>
      <c r="J83" s="2611">
        <f t="shared" si="81"/>
        <v>0</v>
      </c>
      <c r="K83" s="2611">
        <f t="shared" ref="K83:L83" si="82">SUM(K80:K82)</f>
        <v>0</v>
      </c>
      <c r="L83" s="2611">
        <f t="shared" si="82"/>
        <v>0</v>
      </c>
    </row>
    <row r="85" spans="2:12" x14ac:dyDescent="0.2">
      <c r="B85" s="2412" t="s">
        <v>1855</v>
      </c>
      <c r="C85" s="2760">
        <f t="shared" ref="C85:L85" si="83">C79</f>
        <v>42735</v>
      </c>
      <c r="D85" s="2760">
        <f t="shared" si="83"/>
        <v>43100</v>
      </c>
      <c r="E85" s="2760">
        <f t="shared" si="83"/>
        <v>43465</v>
      </c>
      <c r="F85" s="2601">
        <f t="shared" si="83"/>
        <v>43830</v>
      </c>
      <c r="G85" s="2601">
        <f t="shared" si="83"/>
        <v>44196</v>
      </c>
      <c r="H85" s="2601">
        <f t="shared" si="83"/>
        <v>44561</v>
      </c>
      <c r="I85" s="2601">
        <f t="shared" si="83"/>
        <v>44926</v>
      </c>
      <c r="J85" s="2601">
        <f t="shared" si="83"/>
        <v>45291</v>
      </c>
      <c r="K85" s="2601">
        <f t="shared" si="83"/>
        <v>45657</v>
      </c>
      <c r="L85" s="2601">
        <f t="shared" si="83"/>
        <v>46022</v>
      </c>
    </row>
    <row r="86" spans="2:12" x14ac:dyDescent="0.2">
      <c r="B86" s="2410" t="s">
        <v>1851</v>
      </c>
      <c r="C86" s="2613"/>
      <c r="D86" s="2613"/>
      <c r="E86" s="2613"/>
      <c r="F86" s="2774">
        <f>E89</f>
        <v>0</v>
      </c>
      <c r="G86" s="2774">
        <f t="shared" ref="G86:L86" si="84">F89</f>
        <v>0</v>
      </c>
      <c r="H86" s="2774">
        <f t="shared" si="84"/>
        <v>0</v>
      </c>
      <c r="I86" s="2774">
        <f t="shared" si="84"/>
        <v>0</v>
      </c>
      <c r="J86" s="2774">
        <f t="shared" si="84"/>
        <v>0</v>
      </c>
      <c r="K86" s="2774">
        <f t="shared" si="84"/>
        <v>0</v>
      </c>
      <c r="L86" s="2774">
        <f t="shared" si="84"/>
        <v>0</v>
      </c>
    </row>
    <row r="87" spans="2:12" x14ac:dyDescent="0.2">
      <c r="B87" s="2410" t="s">
        <v>1857</v>
      </c>
      <c r="C87" s="2613"/>
      <c r="D87" s="2613"/>
      <c r="E87" s="2613"/>
      <c r="F87" s="2775"/>
      <c r="G87" s="2775"/>
      <c r="H87" s="2775"/>
      <c r="I87" s="2775"/>
      <c r="J87" s="2775"/>
      <c r="K87" s="2775"/>
      <c r="L87" s="2775"/>
    </row>
    <row r="88" spans="2:12" x14ac:dyDescent="0.2">
      <c r="B88" s="2410" t="s">
        <v>1858</v>
      </c>
      <c r="C88" s="2613"/>
      <c r="D88" s="2613"/>
      <c r="E88" s="2612"/>
      <c r="F88" s="2775"/>
      <c r="G88" s="2775"/>
      <c r="H88" s="2775"/>
      <c r="I88" s="2775"/>
      <c r="J88" s="2775"/>
      <c r="K88" s="2775"/>
      <c r="L88" s="2775"/>
    </row>
    <row r="89" spans="2:12" x14ac:dyDescent="0.2">
      <c r="B89" s="2411" t="s">
        <v>1854</v>
      </c>
      <c r="C89" s="2611"/>
      <c r="D89" s="2611"/>
      <c r="E89" s="2614">
        <f>IFERROR('Info Entrada'!E228+'Info Entrada'!E229,0)</f>
        <v>0</v>
      </c>
      <c r="F89" s="2614">
        <f>F86+F87+F88</f>
        <v>0</v>
      </c>
      <c r="G89" s="2614">
        <f t="shared" ref="G89:J89" si="85">G86+G87+G88</f>
        <v>0</v>
      </c>
      <c r="H89" s="2614">
        <f t="shared" si="85"/>
        <v>0</v>
      </c>
      <c r="I89" s="2614">
        <f t="shared" si="85"/>
        <v>0</v>
      </c>
      <c r="J89" s="2614">
        <f t="shared" si="85"/>
        <v>0</v>
      </c>
      <c r="K89" s="2614">
        <f t="shared" ref="K89:L89" si="86">K86+K87+K88</f>
        <v>0</v>
      </c>
      <c r="L89" s="2614">
        <f t="shared" si="86"/>
        <v>0</v>
      </c>
    </row>
    <row r="91" spans="2:12" x14ac:dyDescent="0.2">
      <c r="B91" s="2412" t="s">
        <v>1856</v>
      </c>
      <c r="C91" s="2760">
        <f>C85</f>
        <v>42735</v>
      </c>
      <c r="D91" s="2760">
        <f t="shared" ref="D91:J91" si="87">D85</f>
        <v>43100</v>
      </c>
      <c r="E91" s="2760">
        <f t="shared" si="87"/>
        <v>43465</v>
      </c>
      <c r="F91" s="2601">
        <f t="shared" si="87"/>
        <v>43830</v>
      </c>
      <c r="G91" s="2601">
        <f t="shared" si="87"/>
        <v>44196</v>
      </c>
      <c r="H91" s="2601">
        <f t="shared" si="87"/>
        <v>44561</v>
      </c>
      <c r="I91" s="2601">
        <f t="shared" si="87"/>
        <v>44926</v>
      </c>
      <c r="J91" s="2601">
        <f t="shared" si="87"/>
        <v>45291</v>
      </c>
      <c r="K91" s="2601">
        <f t="shared" ref="K91:L91" si="88">K85</f>
        <v>45657</v>
      </c>
      <c r="L91" s="2601">
        <f t="shared" si="88"/>
        <v>46022</v>
      </c>
    </row>
    <row r="92" spans="2:12" x14ac:dyDescent="0.2">
      <c r="B92" s="2410" t="s">
        <v>1851</v>
      </c>
      <c r="C92" s="2613"/>
      <c r="D92" s="2613"/>
      <c r="E92" s="2613"/>
      <c r="F92" s="2774">
        <f>E95</f>
        <v>0</v>
      </c>
      <c r="G92" s="2774">
        <f t="shared" ref="G92:L92" si="89">F95</f>
        <v>0</v>
      </c>
      <c r="H92" s="2774">
        <f t="shared" si="89"/>
        <v>0</v>
      </c>
      <c r="I92" s="2774">
        <f t="shared" si="89"/>
        <v>0</v>
      </c>
      <c r="J92" s="2774">
        <f t="shared" si="89"/>
        <v>0</v>
      </c>
      <c r="K92" s="2774">
        <f t="shared" si="89"/>
        <v>0</v>
      </c>
      <c r="L92" s="2774">
        <f t="shared" si="89"/>
        <v>0</v>
      </c>
    </row>
    <row r="93" spans="2:12" x14ac:dyDescent="0.2">
      <c r="B93" s="2410" t="s">
        <v>1852</v>
      </c>
      <c r="C93" s="2613"/>
      <c r="D93" s="2613"/>
      <c r="E93" s="2613"/>
      <c r="F93" s="2775"/>
      <c r="G93" s="2775"/>
      <c r="H93" s="2775"/>
      <c r="I93" s="2775"/>
      <c r="J93" s="2775"/>
      <c r="K93" s="2775"/>
      <c r="L93" s="2775"/>
    </row>
    <row r="94" spans="2:12" x14ac:dyDescent="0.2">
      <c r="B94" s="2410" t="s">
        <v>1853</v>
      </c>
      <c r="C94" s="2613"/>
      <c r="D94" s="2613"/>
      <c r="E94" s="2613"/>
      <c r="F94" s="2775"/>
      <c r="G94" s="2775"/>
      <c r="H94" s="2775"/>
      <c r="I94" s="2775"/>
      <c r="J94" s="2775"/>
      <c r="K94" s="2775"/>
      <c r="L94" s="2775"/>
    </row>
    <row r="95" spans="2:12" x14ac:dyDescent="0.2">
      <c r="B95" s="2411" t="s">
        <v>1854</v>
      </c>
      <c r="C95" s="2611"/>
      <c r="D95" s="2611"/>
      <c r="E95" s="2614">
        <f>'Info Entrada'!E235</f>
        <v>0</v>
      </c>
      <c r="F95" s="2614">
        <f>F92+F93+F94</f>
        <v>0</v>
      </c>
      <c r="G95" s="2614">
        <f t="shared" ref="G95" si="90">G92+G93+G94</f>
        <v>0</v>
      </c>
      <c r="H95" s="2614">
        <f t="shared" ref="H95" si="91">H92+H93+H94</f>
        <v>0</v>
      </c>
      <c r="I95" s="2614">
        <f t="shared" ref="I95" si="92">I92+I93+I94</f>
        <v>0</v>
      </c>
      <c r="J95" s="2614">
        <f t="shared" ref="J95:K95" si="93">J92+J93+J94</f>
        <v>0</v>
      </c>
      <c r="K95" s="2614">
        <f t="shared" si="93"/>
        <v>0</v>
      </c>
      <c r="L95" s="2614">
        <f t="shared" ref="L95" si="94">L92+L93+L94</f>
        <v>0</v>
      </c>
    </row>
    <row r="97" spans="1:12" x14ac:dyDescent="0.2">
      <c r="B97" s="2438" t="s">
        <v>1871</v>
      </c>
      <c r="C97" s="2441"/>
    </row>
    <row r="98" spans="1:12" x14ac:dyDescent="0.2">
      <c r="B98" s="2432" t="s">
        <v>482</v>
      </c>
      <c r="C98" s="2763">
        <f>C91</f>
        <v>42735</v>
      </c>
      <c r="D98" s="2763">
        <f>D91</f>
        <v>43100</v>
      </c>
      <c r="E98" s="2763">
        <f>E91</f>
        <v>43465</v>
      </c>
      <c r="F98" s="2607">
        <f t="shared" ref="F98:L98" si="95">F30</f>
        <v>43830</v>
      </c>
      <c r="G98" s="2607">
        <f t="shared" si="95"/>
        <v>44196</v>
      </c>
      <c r="H98" s="2607">
        <f t="shared" si="95"/>
        <v>44561</v>
      </c>
      <c r="I98" s="2607">
        <f t="shared" si="95"/>
        <v>44926</v>
      </c>
      <c r="J98" s="2607">
        <f t="shared" si="95"/>
        <v>45291</v>
      </c>
      <c r="K98" s="2608">
        <f t="shared" si="95"/>
        <v>45657</v>
      </c>
      <c r="L98" s="2608">
        <f t="shared" si="95"/>
        <v>46022</v>
      </c>
    </row>
    <row r="99" spans="1:12" x14ac:dyDescent="0.2">
      <c r="B99" s="2433" t="s">
        <v>1864</v>
      </c>
      <c r="C99" s="2615">
        <f>IFERROR('Info Entrada'!C245+C97,"")</f>
        <v>0</v>
      </c>
      <c r="D99" s="2615">
        <f>IFERROR('Info Entrada'!C247+'Info Entrada'!D245,0)</f>
        <v>0</v>
      </c>
      <c r="E99" s="2615">
        <f>IFERROR('Info Entrada'!D247+'Info Entrada'!E245,0)</f>
        <v>0</v>
      </c>
      <c r="F99" s="2615">
        <f>IFERROR('Info Entrada'!E247+'Info Entrada'!F245,0)</f>
        <v>0</v>
      </c>
      <c r="G99" s="2615">
        <f>IFERROR('Info Entrada'!F247+'Info Entrada'!G245,0)</f>
        <v>0</v>
      </c>
      <c r="H99" s="2615">
        <f>IFERROR('Info Entrada'!G247+'Info Entrada'!H245,0)</f>
        <v>0</v>
      </c>
      <c r="I99" s="2615">
        <f ca="1">IFERROR('Info Entrada'!H247+'Info Entrada'!I245,0)</f>
        <v>0</v>
      </c>
      <c r="J99" s="2615">
        <f ca="1">IFERROR('Info Entrada'!I247+'Info Entrada'!J245,0)</f>
        <v>0</v>
      </c>
      <c r="K99" s="2616">
        <f ca="1">IFERROR('Info Entrada'!J247+'Info Entrada'!K245,0)</f>
        <v>0</v>
      </c>
      <c r="L99" s="2616">
        <f ca="1">IFERROR('Info Entrada'!K247+'Info Entrada'!L245,0)</f>
        <v>0</v>
      </c>
    </row>
    <row r="100" spans="1:12" s="1662" customFormat="1" x14ac:dyDescent="0.2">
      <c r="A100" s="2409"/>
      <c r="B100" s="2434" t="s">
        <v>1863</v>
      </c>
      <c r="C100" s="2617" t="str">
        <f>IF(C99&gt;0,C101/C99,"")</f>
        <v/>
      </c>
      <c r="D100" s="2764" t="str">
        <f>IFERROR(IF(D99&gt;0,Cuadros!O47/D99,""),0)</f>
        <v/>
      </c>
      <c r="E100" s="2617" t="str">
        <f>IFERROR(IF(E99&gt;0,Cuadros!AG47/E99,""),0)</f>
        <v/>
      </c>
      <c r="F100" s="2606">
        <f>VLOOKUP($C$2,$E$26:$L$28,F4,0)</f>
        <v>7.4999999999999997E-2</v>
      </c>
      <c r="G100" s="2606">
        <f t="shared" ref="G100:L100" si="96">VLOOKUP($C$2,$E$26:$L$28,G4,0)</f>
        <v>7.4999999999999997E-2</v>
      </c>
      <c r="H100" s="2606">
        <f t="shared" si="96"/>
        <v>7.4999999999999997E-2</v>
      </c>
      <c r="I100" s="2606">
        <f t="shared" si="96"/>
        <v>7.4999999999999997E-2</v>
      </c>
      <c r="J100" s="2606">
        <f t="shared" si="96"/>
        <v>7.4999999999999997E-2</v>
      </c>
      <c r="K100" s="2606">
        <f t="shared" si="96"/>
        <v>7.4999999999999997E-2</v>
      </c>
      <c r="L100" s="2606">
        <f t="shared" si="96"/>
        <v>7.4999999999999997E-2</v>
      </c>
    </row>
    <row r="101" spans="1:12" x14ac:dyDescent="0.2">
      <c r="B101" s="2435" t="s">
        <v>1865</v>
      </c>
      <c r="C101" s="2602" t="str">
        <f>IF(C100&lt;&gt;"",C99*C100,"")</f>
        <v/>
      </c>
      <c r="D101" s="2602" t="str">
        <f>IFERROR(IF(D100&lt;&gt;"",D99*D100,""),0)</f>
        <v/>
      </c>
      <c r="E101" s="2602" t="str">
        <f t="shared" ref="E101:L101" si="97">IFERROR(IF(E100&lt;&gt;"",E99*E100,""),0)</f>
        <v/>
      </c>
      <c r="F101" s="2602">
        <f>IFERROR(IF(F100&lt;&gt;"",F99*F100,""),0)</f>
        <v>0</v>
      </c>
      <c r="G101" s="2602">
        <f t="shared" si="97"/>
        <v>0</v>
      </c>
      <c r="H101" s="2602">
        <f t="shared" si="97"/>
        <v>0</v>
      </c>
      <c r="I101" s="2602">
        <f t="shared" ca="1" si="97"/>
        <v>0</v>
      </c>
      <c r="J101" s="2602">
        <f t="shared" ca="1" si="97"/>
        <v>0</v>
      </c>
      <c r="K101" s="2602">
        <f t="shared" ca="1" si="97"/>
        <v>0</v>
      </c>
      <c r="L101" s="2602">
        <f t="shared" ca="1" si="97"/>
        <v>0</v>
      </c>
    </row>
  </sheetData>
  <mergeCells count="8">
    <mergeCell ref="C26:C28"/>
    <mergeCell ref="C17:C19"/>
    <mergeCell ref="C20:C22"/>
    <mergeCell ref="C23:C25"/>
    <mergeCell ref="C5:C7"/>
    <mergeCell ref="C8:C10"/>
    <mergeCell ref="C11:C13"/>
    <mergeCell ref="C14:C16"/>
  </mergeCells>
  <dataValidations disablePrompts="1" count="1">
    <dataValidation type="list" allowBlank="1" showInputMessage="1" showErrorMessage="1" sqref="C2:C3">
      <formula1>$XFD$5:$XFD$7</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39997558519241921"/>
  </sheetPr>
  <dimension ref="B2:AK111"/>
  <sheetViews>
    <sheetView showGridLines="0" topLeftCell="L7" zoomScale="80" zoomScaleNormal="80" workbookViewId="0">
      <selection activeCell="M27" sqref="M27"/>
    </sheetView>
  </sheetViews>
  <sheetFormatPr baseColWidth="10" defaultRowHeight="11.25" x14ac:dyDescent="0.2"/>
  <cols>
    <col min="1" max="1" width="2.140625" style="288" customWidth="1"/>
    <col min="2" max="2" width="20.140625" style="2063" customWidth="1"/>
    <col min="3" max="3" width="13.5703125" style="2063" bestFit="1" customWidth="1"/>
    <col min="4" max="9" width="14" style="2063" customWidth="1"/>
    <col min="10" max="10" width="7.85546875" style="2063" customWidth="1"/>
    <col min="11" max="11" width="8" style="288" bestFit="1" customWidth="1"/>
    <col min="12" max="12" width="34.5703125" style="288" bestFit="1" customWidth="1"/>
    <col min="13" max="15" width="12.7109375" style="288" customWidth="1"/>
    <col min="16" max="16" width="10.42578125" style="288" customWidth="1"/>
    <col min="17" max="17" width="9.140625" style="288" customWidth="1"/>
    <col min="18" max="23" width="9.140625" style="1437" customWidth="1"/>
    <col min="24" max="25" width="9.140625" style="288" customWidth="1"/>
    <col min="26" max="31" width="9.7109375" style="288" customWidth="1"/>
    <col min="32" max="34" width="11.42578125" style="288" customWidth="1"/>
    <col min="35" max="16384" width="11.42578125" style="288"/>
  </cols>
  <sheetData>
    <row r="2" spans="2:33" x14ac:dyDescent="0.2">
      <c r="B2" s="1773" t="s">
        <v>1725</v>
      </c>
      <c r="C2" s="2003">
        <v>40908</v>
      </c>
      <c r="D2" s="2004"/>
      <c r="E2" s="2004"/>
      <c r="F2" s="2004"/>
      <c r="G2" s="2004"/>
      <c r="H2" s="2004"/>
      <c r="I2" s="2004"/>
      <c r="J2" s="2004"/>
      <c r="R2" s="288"/>
      <c r="S2" s="288"/>
      <c r="T2" s="288"/>
      <c r="U2" s="288"/>
      <c r="V2" s="288"/>
      <c r="W2" s="288"/>
    </row>
    <row r="3" spans="2:33" ht="22.5" customHeight="1" x14ac:dyDescent="0.2">
      <c r="B3" s="1774" t="s">
        <v>195</v>
      </c>
      <c r="C3" s="1773" t="s">
        <v>421</v>
      </c>
      <c r="D3" s="1773" t="s">
        <v>598</v>
      </c>
      <c r="E3" s="1773" t="s">
        <v>599</v>
      </c>
      <c r="F3" s="1773" t="s">
        <v>422</v>
      </c>
      <c r="G3" s="1773" t="s">
        <v>423</v>
      </c>
      <c r="H3" s="1773" t="s">
        <v>424</v>
      </c>
      <c r="I3" s="1773" t="s">
        <v>425</v>
      </c>
      <c r="J3" s="1773" t="s">
        <v>426</v>
      </c>
      <c r="AA3" s="1672"/>
      <c r="AB3" s="1672"/>
      <c r="AC3" s="1672"/>
      <c r="AD3" s="1672"/>
      <c r="AE3" s="1672"/>
      <c r="AF3" s="1673"/>
      <c r="AG3" s="1673"/>
    </row>
    <row r="4" spans="2:33" x14ac:dyDescent="0.2">
      <c r="B4" s="1775"/>
      <c r="C4" s="1776"/>
      <c r="D4" s="1777"/>
      <c r="E4" s="1776"/>
      <c r="F4" s="1777"/>
      <c r="G4" s="1776">
        <f>+E4+D4+F4</f>
        <v>0</v>
      </c>
      <c r="H4" s="1778">
        <f>IFERROR(G4/VLOOKUP($C$2,General!$C$36:$D$129,2,0),0)</f>
        <v>0</v>
      </c>
      <c r="I4" s="1776"/>
      <c r="J4" s="1775"/>
      <c r="AA4" s="1677"/>
      <c r="AB4" s="1678"/>
      <c r="AC4" s="1677"/>
      <c r="AD4" s="1677"/>
      <c r="AE4" s="1678"/>
      <c r="AF4" s="1673"/>
      <c r="AG4" s="1673"/>
    </row>
    <row r="5" spans="2:33" x14ac:dyDescent="0.2">
      <c r="B5" s="1775"/>
      <c r="C5" s="1776"/>
      <c r="D5" s="1777"/>
      <c r="E5" s="1776"/>
      <c r="F5" s="1777"/>
      <c r="G5" s="1776">
        <f t="shared" ref="G5:G19" si="0">+E5+D5+F5</f>
        <v>0</v>
      </c>
      <c r="H5" s="1778">
        <f>IFERROR(G5/VLOOKUP($C$2,General!$C$36:$D$129,2,0),0)</f>
        <v>0</v>
      </c>
      <c r="I5" s="1776"/>
      <c r="J5" s="1775"/>
      <c r="AA5" s="1679"/>
      <c r="AB5" s="1679"/>
      <c r="AC5" s="1680"/>
      <c r="AD5" s="1680"/>
      <c r="AE5" s="1680"/>
      <c r="AF5" s="1673"/>
      <c r="AG5" s="1673"/>
    </row>
    <row r="6" spans="2:33" x14ac:dyDescent="0.2">
      <c r="B6" s="1775"/>
      <c r="C6" s="1776"/>
      <c r="D6" s="1777"/>
      <c r="E6" s="1776"/>
      <c r="F6" s="1777"/>
      <c r="G6" s="1776">
        <f t="shared" si="0"/>
        <v>0</v>
      </c>
      <c r="H6" s="1778">
        <f>IFERROR(G6/VLOOKUP($C$2,General!$C$36:$D$129,2,0),0)</f>
        <v>0</v>
      </c>
      <c r="I6" s="1776"/>
      <c r="J6" s="1775"/>
      <c r="AA6" s="1679"/>
      <c r="AB6" s="1679"/>
      <c r="AC6" s="1680"/>
      <c r="AD6" s="1680"/>
      <c r="AE6" s="1680"/>
      <c r="AF6" s="1673"/>
      <c r="AG6" s="1673"/>
    </row>
    <row r="7" spans="2:33" x14ac:dyDescent="0.2">
      <c r="B7" s="1775"/>
      <c r="C7" s="1776"/>
      <c r="D7" s="1777"/>
      <c r="E7" s="1776"/>
      <c r="F7" s="1777"/>
      <c r="G7" s="1776">
        <f t="shared" si="0"/>
        <v>0</v>
      </c>
      <c r="H7" s="1778">
        <f>IFERROR(G7/VLOOKUP($C$2,General!$C$36:$D$129,2,0),0)</f>
        <v>0</v>
      </c>
      <c r="I7" s="1776"/>
      <c r="J7" s="1775"/>
      <c r="AA7" s="1679"/>
      <c r="AB7" s="1679"/>
      <c r="AC7" s="1680"/>
      <c r="AD7" s="1680"/>
      <c r="AE7" s="1680"/>
      <c r="AF7" s="1673"/>
      <c r="AG7" s="1673"/>
    </row>
    <row r="8" spans="2:33" x14ac:dyDescent="0.2">
      <c r="B8" s="1775"/>
      <c r="C8" s="1776"/>
      <c r="D8" s="1777"/>
      <c r="E8" s="1776"/>
      <c r="F8" s="1777"/>
      <c r="G8" s="1776">
        <f t="shared" si="0"/>
        <v>0</v>
      </c>
      <c r="H8" s="1778">
        <f>IFERROR(G8/VLOOKUP($C$2,General!$C$36:$D$129,2,0),0)</f>
        <v>0</v>
      </c>
      <c r="I8" s="1776"/>
      <c r="J8" s="1775"/>
      <c r="AA8" s="1679"/>
      <c r="AB8" s="1679"/>
      <c r="AC8" s="1680"/>
      <c r="AD8" s="1680"/>
      <c r="AE8" s="1680"/>
      <c r="AF8" s="1673"/>
      <c r="AG8" s="1673"/>
    </row>
    <row r="9" spans="2:33" x14ac:dyDescent="0.2">
      <c r="B9" s="1775"/>
      <c r="C9" s="1776"/>
      <c r="D9" s="1777"/>
      <c r="E9" s="1776"/>
      <c r="F9" s="1777"/>
      <c r="G9" s="1776">
        <f t="shared" si="0"/>
        <v>0</v>
      </c>
      <c r="H9" s="1778">
        <f>IFERROR(G9/VLOOKUP($C$2,General!$C$36:$D$129,2,0),0)</f>
        <v>0</v>
      </c>
      <c r="I9" s="1776"/>
      <c r="J9" s="1775"/>
      <c r="AA9" s="1679"/>
      <c r="AB9" s="1679"/>
      <c r="AC9" s="1679"/>
      <c r="AD9" s="1679"/>
      <c r="AE9" s="1679"/>
      <c r="AF9" s="1673"/>
      <c r="AG9" s="1673"/>
    </row>
    <row r="10" spans="2:33" x14ac:dyDescent="0.2">
      <c r="B10" s="1775"/>
      <c r="C10" s="1776"/>
      <c r="D10" s="1777"/>
      <c r="E10" s="1776"/>
      <c r="F10" s="1777"/>
      <c r="G10" s="1776">
        <f t="shared" si="0"/>
        <v>0</v>
      </c>
      <c r="H10" s="1778">
        <f>IFERROR(G10/VLOOKUP($C$2,General!$C$36:$D$129,2,0),0)</f>
        <v>0</v>
      </c>
      <c r="I10" s="1776"/>
      <c r="J10" s="1775"/>
      <c r="AA10" s="1679"/>
      <c r="AB10" s="1679"/>
      <c r="AC10" s="1679"/>
      <c r="AD10" s="1679"/>
      <c r="AE10" s="1679"/>
      <c r="AF10" s="1673"/>
      <c r="AG10" s="1673"/>
    </row>
    <row r="11" spans="2:33" x14ac:dyDescent="0.2">
      <c r="B11" s="1775"/>
      <c r="C11" s="1776"/>
      <c r="D11" s="1777"/>
      <c r="E11" s="1776"/>
      <c r="F11" s="1777"/>
      <c r="G11" s="1776">
        <f t="shared" si="0"/>
        <v>0</v>
      </c>
      <c r="H11" s="1778">
        <f>IFERROR(G11/VLOOKUP($C$2,General!$C$36:$D$129,2,0),0)</f>
        <v>0</v>
      </c>
      <c r="I11" s="1776"/>
      <c r="J11" s="1775"/>
      <c r="AA11" s="1677"/>
      <c r="AB11" s="1678"/>
      <c r="AC11" s="1679"/>
      <c r="AD11" s="1679"/>
      <c r="AE11" s="1679"/>
      <c r="AF11" s="1673"/>
      <c r="AG11" s="1673"/>
    </row>
    <row r="12" spans="2:33" x14ac:dyDescent="0.2">
      <c r="B12" s="1775"/>
      <c r="C12" s="1776"/>
      <c r="D12" s="1777"/>
      <c r="E12" s="1776"/>
      <c r="F12" s="1777"/>
      <c r="G12" s="1776">
        <f t="shared" si="0"/>
        <v>0</v>
      </c>
      <c r="H12" s="1778">
        <f>IFERROR(G12/VLOOKUP($C$2,General!$C$36:$D$129,2,0),0)</f>
        <v>0</v>
      </c>
      <c r="I12" s="1776"/>
      <c r="J12" s="1775"/>
      <c r="AA12" s="1677"/>
      <c r="AB12" s="1678"/>
      <c r="AC12" s="1679"/>
      <c r="AD12" s="1679"/>
      <c r="AE12" s="1679"/>
      <c r="AF12" s="1673"/>
      <c r="AG12" s="1673"/>
    </row>
    <row r="13" spans="2:33" x14ac:dyDescent="0.2">
      <c r="B13" s="1775"/>
      <c r="C13" s="1776"/>
      <c r="D13" s="1777"/>
      <c r="E13" s="1776"/>
      <c r="F13" s="1777"/>
      <c r="G13" s="1776">
        <f t="shared" si="0"/>
        <v>0</v>
      </c>
      <c r="H13" s="1778">
        <f>IFERROR(G13/VLOOKUP($C$2,General!$C$36:$D$129,2,0),0)</f>
        <v>0</v>
      </c>
      <c r="I13" s="1776"/>
      <c r="J13" s="1775"/>
      <c r="AA13" s="1677"/>
      <c r="AB13" s="1678"/>
      <c r="AC13" s="1679"/>
      <c r="AD13" s="1679"/>
      <c r="AE13" s="1679"/>
      <c r="AF13" s="1673"/>
      <c r="AG13" s="1673"/>
    </row>
    <row r="14" spans="2:33" x14ac:dyDescent="0.2">
      <c r="B14" s="1775"/>
      <c r="C14" s="1776"/>
      <c r="D14" s="1777"/>
      <c r="E14" s="1776"/>
      <c r="F14" s="1777"/>
      <c r="G14" s="1776">
        <f t="shared" si="0"/>
        <v>0</v>
      </c>
      <c r="H14" s="1778">
        <f>IFERROR(G14/VLOOKUP($C$2,General!$C$36:$D$129,2,0),0)</f>
        <v>0</v>
      </c>
      <c r="I14" s="1776"/>
      <c r="J14" s="1775"/>
      <c r="AA14" s="1677"/>
      <c r="AB14" s="1678"/>
      <c r="AC14" s="1679"/>
      <c r="AD14" s="1679"/>
      <c r="AE14" s="1679"/>
      <c r="AF14" s="1673"/>
      <c r="AG14" s="1673"/>
    </row>
    <row r="15" spans="2:33" x14ac:dyDescent="0.2">
      <c r="B15" s="1775"/>
      <c r="C15" s="1776"/>
      <c r="D15" s="1777"/>
      <c r="E15" s="1776"/>
      <c r="F15" s="1777"/>
      <c r="G15" s="1776">
        <f t="shared" si="0"/>
        <v>0</v>
      </c>
      <c r="H15" s="1778">
        <f>IFERROR(G15/VLOOKUP($C$2,General!$C$36:$D$129,2,0),0)</f>
        <v>0</v>
      </c>
      <c r="I15" s="1776"/>
      <c r="J15" s="1775"/>
      <c r="AA15" s="1677"/>
      <c r="AB15" s="1678"/>
      <c r="AC15" s="1679"/>
      <c r="AD15" s="1679"/>
      <c r="AE15" s="1679"/>
      <c r="AF15" s="1673"/>
      <c r="AG15" s="1673"/>
    </row>
    <row r="16" spans="2:33" x14ac:dyDescent="0.2">
      <c r="B16" s="1775"/>
      <c r="C16" s="1776"/>
      <c r="D16" s="1777"/>
      <c r="E16" s="1776"/>
      <c r="F16" s="1777"/>
      <c r="G16" s="1776">
        <f t="shared" si="0"/>
        <v>0</v>
      </c>
      <c r="H16" s="1778">
        <f>IFERROR(G16/VLOOKUP($C$2,General!$C$36:$D$129,2,0),0)</f>
        <v>0</v>
      </c>
      <c r="I16" s="1776"/>
      <c r="J16" s="1775"/>
      <c r="AA16" s="1677"/>
      <c r="AB16" s="1678"/>
      <c r="AC16" s="1679"/>
      <c r="AD16" s="1679"/>
      <c r="AE16" s="1679"/>
      <c r="AF16" s="1673"/>
      <c r="AG16" s="1673"/>
    </row>
    <row r="17" spans="2:37" x14ac:dyDescent="0.2">
      <c r="B17" s="1775"/>
      <c r="C17" s="1776"/>
      <c r="D17" s="1777"/>
      <c r="E17" s="1776"/>
      <c r="F17" s="1777"/>
      <c r="G17" s="1776">
        <f t="shared" si="0"/>
        <v>0</v>
      </c>
      <c r="H17" s="1778">
        <f>IFERROR(G17/VLOOKUP($C$2,General!$C$36:$D$129,2,0),0)</f>
        <v>0</v>
      </c>
      <c r="I17" s="1776"/>
      <c r="J17" s="1775"/>
      <c r="AA17" s="1677"/>
      <c r="AB17" s="1678"/>
      <c r="AC17" s="1679"/>
      <c r="AD17" s="1679"/>
      <c r="AE17" s="1679"/>
      <c r="AF17" s="1673"/>
      <c r="AG17" s="1673"/>
    </row>
    <row r="18" spans="2:37" x14ac:dyDescent="0.2">
      <c r="B18" s="1775"/>
      <c r="C18" s="1776"/>
      <c r="D18" s="1777"/>
      <c r="E18" s="1776"/>
      <c r="F18" s="1777"/>
      <c r="G18" s="1776">
        <f t="shared" si="0"/>
        <v>0</v>
      </c>
      <c r="H18" s="1778">
        <f>IFERROR(G18/VLOOKUP($C$2,General!$C$36:$D$129,2,0),0)</f>
        <v>0</v>
      </c>
      <c r="I18" s="1776"/>
      <c r="J18" s="1775"/>
      <c r="AA18" s="1677"/>
      <c r="AB18" s="1678"/>
      <c r="AC18" s="1679"/>
      <c r="AD18" s="1679"/>
      <c r="AE18" s="1679"/>
      <c r="AF18" s="1673"/>
      <c r="AG18" s="1673"/>
    </row>
    <row r="19" spans="2:37" x14ac:dyDescent="0.2">
      <c r="B19" s="1775"/>
      <c r="C19" s="1776"/>
      <c r="D19" s="1777"/>
      <c r="E19" s="1776"/>
      <c r="F19" s="1777"/>
      <c r="G19" s="1776">
        <f t="shared" si="0"/>
        <v>0</v>
      </c>
      <c r="H19" s="1778">
        <f>IFERROR(G19/VLOOKUP($C$2,General!$C$36:$D$129,2,0),0)</f>
        <v>0</v>
      </c>
      <c r="I19" s="1776"/>
      <c r="J19" s="1775"/>
      <c r="AA19" s="1677"/>
      <c r="AB19" s="1678"/>
      <c r="AC19" s="1679"/>
      <c r="AD19" s="1679"/>
      <c r="AE19" s="1679"/>
      <c r="AF19" s="1673"/>
      <c r="AG19" s="1673"/>
    </row>
    <row r="20" spans="2:37" x14ac:dyDescent="0.2">
      <c r="B20" s="1781" t="s">
        <v>203</v>
      </c>
      <c r="C20" s="1781">
        <f>SUM(C4:C19)</f>
        <v>0</v>
      </c>
      <c r="D20" s="1781">
        <f t="shared" ref="D20:H20" si="1">SUM(D4:D19)</f>
        <v>0</v>
      </c>
      <c r="E20" s="1781">
        <f t="shared" si="1"/>
        <v>0</v>
      </c>
      <c r="F20" s="1781">
        <f t="shared" si="1"/>
        <v>0</v>
      </c>
      <c r="G20" s="1781">
        <f t="shared" si="1"/>
        <v>0</v>
      </c>
      <c r="H20" s="1782">
        <f t="shared" si="1"/>
        <v>0</v>
      </c>
      <c r="I20" s="2005"/>
      <c r="J20" s="2005"/>
      <c r="L20" s="1693"/>
      <c r="M20" s="1693"/>
      <c r="N20" s="1694"/>
      <c r="O20" s="1695"/>
      <c r="AA20" s="1689"/>
      <c r="AB20" s="1689"/>
      <c r="AC20" s="1679"/>
      <c r="AD20" s="1679"/>
      <c r="AE20" s="1679"/>
      <c r="AF20" s="1673"/>
      <c r="AG20" s="1673"/>
    </row>
    <row r="21" spans="2:37" x14ac:dyDescent="0.2">
      <c r="B21" s="2005"/>
      <c r="C21" s="1779"/>
      <c r="D21" s="1779"/>
      <c r="E21" s="1779"/>
      <c r="F21" s="1779"/>
      <c r="G21" s="1779"/>
      <c r="H21" s="2006"/>
      <c r="I21" s="2005"/>
      <c r="J21" s="2005"/>
      <c r="L21" s="1693"/>
      <c r="M21" s="1693"/>
      <c r="N21" s="1694"/>
      <c r="O21" s="1695"/>
      <c r="AA21" s="1689"/>
      <c r="AB21" s="1689"/>
      <c r="AC21" s="1679"/>
      <c r="AD21" s="1679"/>
      <c r="AE21" s="1679"/>
      <c r="AF21" s="1673"/>
      <c r="AG21" s="1673"/>
    </row>
    <row r="22" spans="2:37" x14ac:dyDescent="0.2">
      <c r="B22" s="2005"/>
      <c r="C22" s="1779"/>
      <c r="D22" s="1779"/>
      <c r="E22" s="1779"/>
      <c r="F22" s="1779"/>
      <c r="G22" s="1779"/>
      <c r="H22" s="2006"/>
      <c r="I22" s="2005"/>
      <c r="J22" s="2005"/>
      <c r="L22" s="1693"/>
      <c r="M22" s="1693"/>
      <c r="N22" s="1694"/>
      <c r="O22" s="1695"/>
      <c r="AA22" s="1689"/>
      <c r="AB22" s="1689"/>
      <c r="AC22" s="1679"/>
      <c r="AD22" s="1679"/>
      <c r="AE22" s="1679"/>
      <c r="AF22" s="1673"/>
      <c r="AG22" s="1673"/>
    </row>
    <row r="23" spans="2:37" x14ac:dyDescent="0.2">
      <c r="B23" s="2005"/>
      <c r="C23" s="1779"/>
      <c r="D23" s="1779"/>
      <c r="E23" s="1779"/>
      <c r="F23" s="1779"/>
      <c r="G23" s="1779"/>
      <c r="H23" s="2006"/>
      <c r="I23" s="2005"/>
      <c r="J23" s="2005"/>
      <c r="L23" s="1693"/>
      <c r="M23" s="1693"/>
      <c r="N23" s="1694"/>
      <c r="O23" s="1695"/>
      <c r="AA23" s="1689"/>
      <c r="AB23" s="1689"/>
      <c r="AC23" s="1679"/>
      <c r="AD23" s="1679"/>
      <c r="AE23" s="1679"/>
      <c r="AF23" s="1673"/>
      <c r="AG23" s="1673"/>
    </row>
    <row r="24" spans="2:37" x14ac:dyDescent="0.2">
      <c r="B24" s="2005"/>
      <c r="C24" s="1779"/>
      <c r="D24" s="1779"/>
      <c r="E24" s="1779"/>
      <c r="F24" s="1779"/>
      <c r="G24" s="1779"/>
      <c r="H24" s="2006"/>
      <c r="I24" s="2005"/>
      <c r="J24" s="2005"/>
      <c r="L24" s="1696"/>
      <c r="M24" s="1696"/>
      <c r="N24" s="1696"/>
      <c r="O24" s="1696"/>
      <c r="Y24" s="1697"/>
      <c r="Z24" s="1698"/>
      <c r="AA24" s="1698"/>
      <c r="AB24" s="1698"/>
      <c r="AC24" s="1679"/>
      <c r="AD24" s="1679"/>
      <c r="AE24" s="1679"/>
      <c r="AF24" s="1673"/>
      <c r="AG24" s="1673"/>
    </row>
    <row r="25" spans="2:37" ht="12" thickBot="1" x14ac:dyDescent="0.25">
      <c r="B25" s="2005"/>
      <c r="C25" s="1779"/>
      <c r="D25" s="1779"/>
      <c r="E25" s="1779"/>
      <c r="F25" s="1779"/>
      <c r="G25" s="1779"/>
      <c r="H25" s="2006"/>
      <c r="I25" s="2005"/>
      <c r="J25" s="2005"/>
      <c r="L25" s="1434"/>
      <c r="M25" s="1434"/>
      <c r="N25" s="2513"/>
      <c r="O25" s="2513"/>
      <c r="P25" s="2514" t="s">
        <v>509</v>
      </c>
      <c r="Q25" s="2515"/>
      <c r="R25" s="2515"/>
      <c r="S25" s="2515"/>
      <c r="T25" s="2515"/>
      <c r="U25" s="2516"/>
      <c r="V25" s="2515"/>
      <c r="W25" s="2515"/>
      <c r="X25" s="2515"/>
      <c r="Y25" s="2515"/>
      <c r="Z25" s="2515"/>
      <c r="AA25" s="2515"/>
      <c r="AB25" s="2515"/>
      <c r="AC25" s="2515"/>
      <c r="AD25" s="2515"/>
      <c r="AE25" s="2516"/>
      <c r="AF25" s="1673"/>
      <c r="AG25" s="1673"/>
    </row>
    <row r="26" spans="2:37" s="1699" customFormat="1" ht="12" thickBot="1" x14ac:dyDescent="0.25">
      <c r="B26" s="2005"/>
      <c r="C26" s="1780"/>
      <c r="D26" s="1780"/>
      <c r="E26" s="1780"/>
      <c r="F26" s="1780"/>
      <c r="G26" s="1780"/>
      <c r="H26" s="2007"/>
      <c r="I26" s="2008"/>
      <c r="J26" s="2008"/>
      <c r="L26" s="2517" t="s">
        <v>420</v>
      </c>
      <c r="M26" s="2517">
        <f>'Info Entrada'!C1</f>
        <v>42735</v>
      </c>
      <c r="N26" s="2517">
        <f>'Info Entrada'!D1</f>
        <v>43100</v>
      </c>
      <c r="O26" s="2517">
        <f>'Info Entrada'!E1</f>
        <v>43465</v>
      </c>
      <c r="P26" s="1702">
        <f>+'Info Entrada'!H1</f>
        <v>43830</v>
      </c>
      <c r="Q26" s="1703">
        <f>'Info Entrada'!I1</f>
        <v>44196</v>
      </c>
      <c r="R26" s="1703">
        <f>'Info Entrada'!J1</f>
        <v>44561</v>
      </c>
      <c r="S26" s="1703">
        <f>'Info Entrada'!K1</f>
        <v>44926</v>
      </c>
      <c r="T26" s="1703">
        <f>'Info Entrada'!L1</f>
        <v>45291</v>
      </c>
      <c r="U26" s="1704">
        <f>'Info Entrada'!M1</f>
        <v>45657</v>
      </c>
      <c r="V26" s="1705">
        <f>'Info Entrada'!N1</f>
        <v>46022</v>
      </c>
      <c r="W26" s="1703">
        <f>'Info Entrada'!O1</f>
        <v>46387</v>
      </c>
      <c r="X26" s="1703">
        <f>'Info Entrada'!P1</f>
        <v>46752</v>
      </c>
      <c r="Y26" s="1703">
        <f>'Info Entrada'!Q1</f>
        <v>47118</v>
      </c>
      <c r="Z26" s="1703">
        <f>'Info Entrada'!R1</f>
        <v>47483</v>
      </c>
      <c r="AA26" s="1703">
        <f>'Info Entrada'!S1</f>
        <v>47848</v>
      </c>
      <c r="AB26" s="1703">
        <f>'Info Entrada'!T1</f>
        <v>48213</v>
      </c>
      <c r="AC26" s="1703">
        <f>'Info Entrada'!U1</f>
        <v>48579</v>
      </c>
      <c r="AD26" s="1703">
        <f>'Info Entrada'!V1</f>
        <v>48944</v>
      </c>
      <c r="AE26" s="1703">
        <f>'Info Entrada'!W1</f>
        <v>49309</v>
      </c>
      <c r="AF26" s="1771"/>
      <c r="AG26" s="1700">
        <f>'Info Entrada'!F1</f>
        <v>43281</v>
      </c>
      <c r="AH26" s="1701">
        <f>'Info Entrada'!G1</f>
        <v>43646</v>
      </c>
      <c r="AI26" s="1771"/>
      <c r="AJ26" s="1771"/>
      <c r="AK26" s="1771"/>
    </row>
    <row r="27" spans="2:37" s="1699" customFormat="1" x14ac:dyDescent="0.2">
      <c r="B27" s="2005"/>
      <c r="C27" s="1780"/>
      <c r="D27" s="1780"/>
      <c r="E27" s="1780"/>
      <c r="F27" s="1780"/>
      <c r="G27" s="1780"/>
      <c r="H27" s="2007"/>
      <c r="I27" s="2008"/>
      <c r="J27" s="2008"/>
      <c r="L27" s="2518" t="s">
        <v>435</v>
      </c>
      <c r="M27" s="1706">
        <f>'Info Entrada'!C119</f>
        <v>0</v>
      </c>
      <c r="N27" s="1706">
        <f>'Info Entrada'!D119</f>
        <v>0</v>
      </c>
      <c r="O27" s="1706">
        <f>'Info Entrada'!E119</f>
        <v>0</v>
      </c>
      <c r="P27" s="1708">
        <f>'Info Entrada'!H119</f>
        <v>0</v>
      </c>
      <c r="Q27" s="1706">
        <f>'Info Entrada'!I119</f>
        <v>0</v>
      </c>
      <c r="R27" s="1706">
        <f>'Info Entrada'!J119</f>
        <v>0</v>
      </c>
      <c r="S27" s="1706">
        <f>'Info Entrada'!K119</f>
        <v>0</v>
      </c>
      <c r="T27" s="1706">
        <f>'Info Entrada'!L119</f>
        <v>0</v>
      </c>
      <c r="U27" s="1709">
        <f>'Info Entrada'!M119</f>
        <v>0</v>
      </c>
      <c r="V27" s="1710">
        <f>'Info Entrada'!N119</f>
        <v>0</v>
      </c>
      <c r="W27" s="1706">
        <f>'Info Entrada'!O119</f>
        <v>0</v>
      </c>
      <c r="X27" s="1706">
        <f>'Info Entrada'!P119</f>
        <v>0</v>
      </c>
      <c r="Y27" s="1706">
        <f>'Info Entrada'!Q119</f>
        <v>0</v>
      </c>
      <c r="Z27" s="1706">
        <f>'Info Entrada'!R119</f>
        <v>0</v>
      </c>
      <c r="AA27" s="1706">
        <f>'Info Entrada'!S119</f>
        <v>0</v>
      </c>
      <c r="AB27" s="1706">
        <f>'Info Entrada'!T119</f>
        <v>0</v>
      </c>
      <c r="AC27" s="1706">
        <f>'Info Entrada'!U119</f>
        <v>0</v>
      </c>
      <c r="AD27" s="1706">
        <f>'Info Entrada'!V119</f>
        <v>0</v>
      </c>
      <c r="AE27" s="1706">
        <f>'Info Entrada'!W119</f>
        <v>0</v>
      </c>
      <c r="AF27" s="1771"/>
      <c r="AG27" s="1706">
        <f>'Info Entrada'!F119</f>
        <v>0</v>
      </c>
      <c r="AH27" s="1707">
        <f>'Info Entrada'!G119</f>
        <v>0</v>
      </c>
      <c r="AI27" s="1771"/>
      <c r="AJ27" s="1771"/>
      <c r="AK27" s="1771"/>
    </row>
    <row r="28" spans="2:37" s="1699" customFormat="1" x14ac:dyDescent="0.15">
      <c r="B28" s="2009"/>
      <c r="C28" s="2009"/>
      <c r="D28" s="2009"/>
      <c r="E28" s="2009"/>
      <c r="F28" s="2009"/>
      <c r="G28" s="2009"/>
      <c r="H28" s="2009"/>
      <c r="I28" s="2009"/>
      <c r="J28" s="2010"/>
      <c r="L28" s="2519" t="s">
        <v>1296</v>
      </c>
      <c r="M28" s="1711">
        <f>'Info Entrada'!C116+'Info Entrada'!C117</f>
        <v>0</v>
      </c>
      <c r="N28" s="1711">
        <f>'Info Entrada'!D116+'Info Entrada'!D117</f>
        <v>0</v>
      </c>
      <c r="O28" s="1711">
        <f>'Info Entrada'!E116+'Info Entrada'!E117</f>
        <v>0</v>
      </c>
      <c r="P28" s="1713">
        <f>'Info Entrada'!H116+'Info Entrada'!H117</f>
        <v>0</v>
      </c>
      <c r="Q28" s="1711">
        <f>'Info Entrada'!I116+'Info Entrada'!I117</f>
        <v>0</v>
      </c>
      <c r="R28" s="1711">
        <f>'Info Entrada'!J116+'Info Entrada'!J117</f>
        <v>0</v>
      </c>
      <c r="S28" s="1711">
        <f>'Info Entrada'!K116+'Info Entrada'!K117</f>
        <v>0</v>
      </c>
      <c r="T28" s="1711">
        <f>'Info Entrada'!L116+'Info Entrada'!L117</f>
        <v>0</v>
      </c>
      <c r="U28" s="1714">
        <f>'Info Entrada'!M116+'Info Entrada'!M117</f>
        <v>0</v>
      </c>
      <c r="V28" s="1715">
        <f>'Info Entrada'!N116+'Info Entrada'!N117</f>
        <v>0</v>
      </c>
      <c r="W28" s="1711">
        <f>'Info Entrada'!O116+'Info Entrada'!O117</f>
        <v>0</v>
      </c>
      <c r="X28" s="1711">
        <f>'Info Entrada'!P116+'Info Entrada'!P117</f>
        <v>0</v>
      </c>
      <c r="Y28" s="1711">
        <f>'Info Entrada'!Q116+'Info Entrada'!Q117</f>
        <v>0</v>
      </c>
      <c r="Z28" s="1711">
        <f>'Info Entrada'!R116+'Info Entrada'!R117</f>
        <v>0</v>
      </c>
      <c r="AA28" s="1711">
        <f>'Info Entrada'!S116+'Info Entrada'!S117</f>
        <v>0</v>
      </c>
      <c r="AB28" s="1711">
        <f>'Info Entrada'!T116+'Info Entrada'!T117</f>
        <v>0</v>
      </c>
      <c r="AC28" s="1711">
        <f>'Info Entrada'!U116+'Info Entrada'!U117</f>
        <v>0</v>
      </c>
      <c r="AD28" s="1711">
        <f>'Info Entrada'!V116+'Info Entrada'!V117</f>
        <v>0</v>
      </c>
      <c r="AE28" s="1711">
        <f>'Info Entrada'!W116+'Info Entrada'!W117</f>
        <v>0</v>
      </c>
      <c r="AF28" s="1771"/>
      <c r="AG28" s="1711">
        <f>'Info Entrada'!F116+'Info Entrada'!F117</f>
        <v>0</v>
      </c>
      <c r="AH28" s="1712">
        <f>'Info Entrada'!G116+'Info Entrada'!G117</f>
        <v>0</v>
      </c>
      <c r="AI28" s="1771"/>
      <c r="AJ28" s="1771"/>
      <c r="AK28" s="1771"/>
    </row>
    <row r="29" spans="2:37" s="1699" customFormat="1" ht="12" thickBot="1" x14ac:dyDescent="0.2">
      <c r="B29" s="2009"/>
      <c r="C29" s="2009"/>
      <c r="D29" s="2011"/>
      <c r="E29" s="2011"/>
      <c r="F29" s="2009"/>
      <c r="G29" s="2009"/>
      <c r="H29" s="2009"/>
      <c r="I29" s="2009"/>
      <c r="J29" s="2009"/>
      <c r="L29" s="2520" t="s">
        <v>549</v>
      </c>
      <c r="M29" s="2520">
        <v>0</v>
      </c>
      <c r="N29" s="1711">
        <f>+N27+N28</f>
        <v>0</v>
      </c>
      <c r="O29" s="1711">
        <f>+O27+O28</f>
        <v>0</v>
      </c>
      <c r="P29" s="1713">
        <f t="shared" ref="P29:Q29" si="2">+P27+P28</f>
        <v>0</v>
      </c>
      <c r="Q29" s="1711">
        <f t="shared" si="2"/>
        <v>0</v>
      </c>
      <c r="R29" s="1711">
        <f t="shared" ref="R29:AE29" si="3">+R27+R28</f>
        <v>0</v>
      </c>
      <c r="S29" s="1711">
        <f t="shared" si="3"/>
        <v>0</v>
      </c>
      <c r="T29" s="1711">
        <f t="shared" si="3"/>
        <v>0</v>
      </c>
      <c r="U29" s="1714">
        <f t="shared" si="3"/>
        <v>0</v>
      </c>
      <c r="V29" s="1715">
        <f t="shared" si="3"/>
        <v>0</v>
      </c>
      <c r="W29" s="1711">
        <f t="shared" si="3"/>
        <v>0</v>
      </c>
      <c r="X29" s="1711">
        <f t="shared" si="3"/>
        <v>0</v>
      </c>
      <c r="Y29" s="1711">
        <f t="shared" si="3"/>
        <v>0</v>
      </c>
      <c r="Z29" s="1711">
        <f t="shared" si="3"/>
        <v>0</v>
      </c>
      <c r="AA29" s="1711">
        <f t="shared" si="3"/>
        <v>0</v>
      </c>
      <c r="AB29" s="1711">
        <f t="shared" si="3"/>
        <v>0</v>
      </c>
      <c r="AC29" s="1711">
        <f t="shared" si="3"/>
        <v>0</v>
      </c>
      <c r="AD29" s="1711">
        <f t="shared" si="3"/>
        <v>0</v>
      </c>
      <c r="AE29" s="1711">
        <f t="shared" si="3"/>
        <v>0</v>
      </c>
      <c r="AF29" s="1771"/>
      <c r="AG29" s="1711">
        <f>+AG27+AG28</f>
        <v>0</v>
      </c>
      <c r="AH29" s="1712">
        <f>+AH27+AH28</f>
        <v>0</v>
      </c>
      <c r="AI29" s="1771"/>
      <c r="AJ29" s="1771"/>
      <c r="AK29" s="1771"/>
    </row>
    <row r="30" spans="2:37" s="1699" customFormat="1" x14ac:dyDescent="0.2">
      <c r="B30" s="2012" t="s">
        <v>543</v>
      </c>
      <c r="C30" s="2013">
        <f>'Info Entrada'!C1-366</f>
        <v>42369</v>
      </c>
      <c r="D30" s="2009"/>
      <c r="E30" s="2009"/>
      <c r="F30" s="2009"/>
      <c r="G30" s="2009"/>
      <c r="H30" s="2009"/>
      <c r="I30" s="2009"/>
      <c r="J30" s="2009"/>
      <c r="L30" s="2521" t="s">
        <v>1297</v>
      </c>
      <c r="M30" s="2521">
        <v>0</v>
      </c>
      <c r="N30" s="1711">
        <f>'Info Entrada'!D110</f>
        <v>0</v>
      </c>
      <c r="O30" s="1711">
        <f>'Info Entrada'!E110</f>
        <v>0</v>
      </c>
      <c r="P30" s="1713">
        <f>'Info Entrada'!H110</f>
        <v>0</v>
      </c>
      <c r="Q30" s="1711">
        <f>'Info Entrada'!I110</f>
        <v>0</v>
      </c>
      <c r="R30" s="1711">
        <f>'Info Entrada'!J110</f>
        <v>0</v>
      </c>
      <c r="S30" s="1711">
        <f>'Info Entrada'!K110</f>
        <v>0</v>
      </c>
      <c r="T30" s="1711">
        <f>'Info Entrada'!L110</f>
        <v>0</v>
      </c>
      <c r="U30" s="1714">
        <f>'Info Entrada'!M110</f>
        <v>0</v>
      </c>
      <c r="V30" s="1715">
        <f>'Info Entrada'!N110</f>
        <v>0</v>
      </c>
      <c r="W30" s="1711">
        <f>'Info Entrada'!O110</f>
        <v>0</v>
      </c>
      <c r="X30" s="1711">
        <f>'Info Entrada'!P110</f>
        <v>0</v>
      </c>
      <c r="Y30" s="1711">
        <f>'Info Entrada'!Q110</f>
        <v>0</v>
      </c>
      <c r="Z30" s="1711">
        <f>'Info Entrada'!R110</f>
        <v>0</v>
      </c>
      <c r="AA30" s="1711">
        <f>'Info Entrada'!S110</f>
        <v>0</v>
      </c>
      <c r="AB30" s="1711">
        <f>'Info Entrada'!T110</f>
        <v>0</v>
      </c>
      <c r="AC30" s="1711">
        <f>'Info Entrada'!U110</f>
        <v>0</v>
      </c>
      <c r="AD30" s="1711">
        <f>'Info Entrada'!V110</f>
        <v>0</v>
      </c>
      <c r="AE30" s="1711">
        <f>'Info Entrada'!W110</f>
        <v>0</v>
      </c>
      <c r="AF30" s="1771"/>
      <c r="AG30" s="1711">
        <f>'Info Entrada'!F110</f>
        <v>0</v>
      </c>
      <c r="AH30" s="1712">
        <f>'Info Entrada'!G110</f>
        <v>0</v>
      </c>
      <c r="AI30" s="1771"/>
      <c r="AJ30" s="1771"/>
      <c r="AK30" s="1771"/>
    </row>
    <row r="31" spans="2:37" s="1699" customFormat="1" x14ac:dyDescent="0.15">
      <c r="B31" s="2014" t="s">
        <v>1312</v>
      </c>
      <c r="C31" s="2015"/>
      <c r="D31" s="2009"/>
      <c r="E31" s="2009"/>
      <c r="F31" s="2009"/>
      <c r="G31" s="2009"/>
      <c r="H31" s="2009"/>
      <c r="I31" s="2009"/>
      <c r="J31" s="2009"/>
      <c r="L31" s="2521" t="s">
        <v>802</v>
      </c>
      <c r="M31" s="2521">
        <v>0</v>
      </c>
      <c r="N31" s="1711"/>
      <c r="O31" s="1711"/>
      <c r="P31" s="1713"/>
      <c r="Q31" s="1711"/>
      <c r="R31" s="1711"/>
      <c r="S31" s="1711"/>
      <c r="T31" s="1711"/>
      <c r="U31" s="1714"/>
      <c r="V31" s="1715"/>
      <c r="W31" s="1711"/>
      <c r="X31" s="1711"/>
      <c r="Y31" s="1711"/>
      <c r="Z31" s="1711"/>
      <c r="AA31" s="1711"/>
      <c r="AB31" s="1711"/>
      <c r="AC31" s="1711"/>
      <c r="AD31" s="1711"/>
      <c r="AE31" s="1711"/>
      <c r="AF31" s="1771"/>
      <c r="AG31" s="1711"/>
      <c r="AH31" s="1712"/>
      <c r="AI31" s="1771"/>
      <c r="AJ31" s="1771"/>
      <c r="AK31" s="1771"/>
    </row>
    <row r="32" spans="2:37" s="1699" customFormat="1" ht="12" thickBot="1" x14ac:dyDescent="0.2">
      <c r="B32" s="2014" t="s">
        <v>1313</v>
      </c>
      <c r="C32" s="2015"/>
      <c r="D32" s="2009"/>
      <c r="E32" s="2016"/>
      <c r="F32" s="2009"/>
      <c r="G32" s="2009" t="s">
        <v>594</v>
      </c>
      <c r="H32" s="2009"/>
      <c r="I32" s="2009"/>
      <c r="J32" s="2009"/>
      <c r="L32" s="2522" t="s">
        <v>453</v>
      </c>
      <c r="M32" s="2522">
        <v>0</v>
      </c>
      <c r="N32" s="1716">
        <f ca="1">'Info Entrada'!D323</f>
        <v>0</v>
      </c>
      <c r="O32" s="1716">
        <f ca="1">'Info Entrada'!E323</f>
        <v>0</v>
      </c>
      <c r="P32" s="1718">
        <f ca="1">'Info Entrada'!H323</f>
        <v>0</v>
      </c>
      <c r="Q32" s="1716">
        <f ca="1">'Info Entrada'!I323</f>
        <v>0</v>
      </c>
      <c r="R32" s="1716">
        <f ca="1">'Info Entrada'!J323</f>
        <v>0</v>
      </c>
      <c r="S32" s="1716">
        <f ca="1">'Info Entrada'!K323</f>
        <v>0</v>
      </c>
      <c r="T32" s="1716">
        <f ca="1">'Info Entrada'!L323</f>
        <v>0</v>
      </c>
      <c r="U32" s="1719">
        <f ca="1">'Info Entrada'!M323</f>
        <v>0</v>
      </c>
      <c r="V32" s="1720">
        <f ca="1">'Info Entrada'!N323</f>
        <v>0</v>
      </c>
      <c r="W32" s="1716">
        <f ca="1">'Info Entrada'!O323</f>
        <v>0</v>
      </c>
      <c r="X32" s="1716">
        <f ca="1">'Info Entrada'!P323</f>
        <v>0</v>
      </c>
      <c r="Y32" s="1716">
        <f ca="1">'Info Entrada'!Q323</f>
        <v>0</v>
      </c>
      <c r="Z32" s="1716">
        <f ca="1">'Info Entrada'!R323</f>
        <v>0</v>
      </c>
      <c r="AA32" s="1716">
        <f ca="1">'Info Entrada'!S323</f>
        <v>0</v>
      </c>
      <c r="AB32" s="1716">
        <f ca="1">'Info Entrada'!T323</f>
        <v>0</v>
      </c>
      <c r="AC32" s="1716">
        <f ca="1">'Info Entrada'!U323</f>
        <v>0</v>
      </c>
      <c r="AD32" s="1716">
        <f ca="1">'Info Entrada'!V323</f>
        <v>0</v>
      </c>
      <c r="AE32" s="1716">
        <f ca="1">'Info Entrada'!W323</f>
        <v>0</v>
      </c>
      <c r="AF32" s="1771"/>
      <c r="AG32" s="1716">
        <f ca="1">'Info Entrada'!F323</f>
        <v>0</v>
      </c>
      <c r="AH32" s="1717">
        <f ca="1">'Info Entrada'!G323</f>
        <v>0</v>
      </c>
      <c r="AI32" s="1771"/>
      <c r="AJ32" s="1771"/>
      <c r="AK32" s="1771"/>
    </row>
    <row r="33" spans="2:37" s="1699" customFormat="1" ht="12" thickBot="1" x14ac:dyDescent="0.25">
      <c r="B33" s="2017" t="s">
        <v>1314</v>
      </c>
      <c r="C33" s="2018">
        <f>SUM(C31:C32)</f>
        <v>0</v>
      </c>
      <c r="D33" s="2009"/>
      <c r="E33" s="2019"/>
      <c r="F33" s="2009"/>
      <c r="G33" s="2020" t="s">
        <v>591</v>
      </c>
      <c r="H33" s="2021" t="s">
        <v>592</v>
      </c>
      <c r="I33" s="2009"/>
      <c r="J33" s="2009"/>
      <c r="L33" s="2521" t="s">
        <v>1298</v>
      </c>
      <c r="M33" s="2521">
        <v>0</v>
      </c>
      <c r="N33" s="1711">
        <f ca="1">-(('Info Entrada'!D180-'Info Entrada'!D218-'Info Entrada'!D219)-('Info Entrada'!C180-'Info Entrada'!C218-'Info Entrada'!C219))-('Info Entrada'!D188-'Info Entrada'!C188)+'Info Entrada'!D226-'Info Entrada'!C226+'Info Entrada'!D411-N30</f>
        <v>0</v>
      </c>
      <c r="O33" s="1711">
        <f ca="1">-(('Info Entrada'!E180-'Info Entrada'!E218-'Info Entrada'!E219)-('Info Entrada'!D180-'Info Entrada'!D218-'Info Entrada'!D219))-('Info Entrada'!E188-'Info Entrada'!D188)+'Info Entrada'!E226-'Info Entrada'!D226+'Info Entrada'!E411-O30</f>
        <v>0</v>
      </c>
      <c r="P33" s="1713">
        <f>-(('Info Entrada'!H180-'Info Entrada'!H218-'Info Entrada'!H219)-('Info Entrada'!E180-'Info Entrada'!E218-'Info Entrada'!E219))-('Info Entrada'!H188-'Info Entrada'!E188)+'Info Entrada'!H226-'Info Entrada'!E226+'Info Entrada'!H411-P30</f>
        <v>0</v>
      </c>
      <c r="Q33" s="1711">
        <f>-(('Info Entrada'!I180-'Info Entrada'!I218-'Info Entrada'!I219)-('Info Entrada'!H180-'Info Entrada'!H218-'Info Entrada'!H219))-('Info Entrada'!I188-'Info Entrada'!H188)+'Info Entrada'!I226-'Info Entrada'!H226+'Info Entrada'!I411-Q30</f>
        <v>0</v>
      </c>
      <c r="R33" s="1711">
        <f>-(('Info Entrada'!J180-'Info Entrada'!J218-'Info Entrada'!J219)-('Info Entrada'!I180-'Info Entrada'!I218-'Info Entrada'!I219))-('Info Entrada'!J188-'Info Entrada'!I188)+'Info Entrada'!J226-'Info Entrada'!I226+'Info Entrada'!J411-R30</f>
        <v>0</v>
      </c>
      <c r="S33" s="1711">
        <f>-(('Info Entrada'!K180-'Info Entrada'!K218-'Info Entrada'!K219)-('Info Entrada'!J180-'Info Entrada'!J218-'Info Entrada'!J219))-('Info Entrada'!K188-'Info Entrada'!J188)+'Info Entrada'!K226-'Info Entrada'!J226+'Info Entrada'!K411-S30</f>
        <v>0</v>
      </c>
      <c r="T33" s="1711">
        <f>-(('Info Entrada'!L180-'Info Entrada'!L218-'Info Entrada'!L219)-('Info Entrada'!K180-'Info Entrada'!K218-'Info Entrada'!K219))-('Info Entrada'!L188-'Info Entrada'!K188)+'Info Entrada'!L226-'Info Entrada'!K226+'Info Entrada'!L411-T30</f>
        <v>0</v>
      </c>
      <c r="U33" s="1714">
        <f>-(('Info Entrada'!M180-'Info Entrada'!M218-'Info Entrada'!M219)-('Info Entrada'!L180-'Info Entrada'!L218-'Info Entrada'!L219))-('Info Entrada'!M188-'Info Entrada'!L188)+'Info Entrada'!M226-'Info Entrada'!L226+'Info Entrada'!M411-U30</f>
        <v>0</v>
      </c>
      <c r="V33" s="1715">
        <f>-(('Info Entrada'!N180-'Info Entrada'!N218-'Info Entrada'!N219)-('Info Entrada'!M180-'Info Entrada'!M218-'Info Entrada'!M219))-('Info Entrada'!N188-'Info Entrada'!M188)+'Info Entrada'!N226-'Info Entrada'!M226+'Info Entrada'!N411-V30</f>
        <v>0</v>
      </c>
      <c r="W33" s="1711">
        <f>-(('Info Entrada'!O180-'Info Entrada'!O218-'Info Entrada'!O219)-('Info Entrada'!N180-'Info Entrada'!N218-'Info Entrada'!N219))-('Info Entrada'!O188-'Info Entrada'!N188)+'Info Entrada'!O226-'Info Entrada'!N226+'Info Entrada'!O411-W30</f>
        <v>0</v>
      </c>
      <c r="X33" s="1711">
        <f>-(('Info Entrada'!P180-'Info Entrada'!P218-'Info Entrada'!P219)-('Info Entrada'!O180-'Info Entrada'!O218-'Info Entrada'!O219))-('Info Entrada'!P188-'Info Entrada'!O188)+'Info Entrada'!P226-'Info Entrada'!O226+'Info Entrada'!P411-X30</f>
        <v>0</v>
      </c>
      <c r="Y33" s="1711">
        <f>-(('Info Entrada'!Q180-'Info Entrada'!Q218-'Info Entrada'!Q219)-('Info Entrada'!P180-'Info Entrada'!P218-'Info Entrada'!P219))-('Info Entrada'!Q188-'Info Entrada'!P188)+'Info Entrada'!Q226-'Info Entrada'!P226+'Info Entrada'!Q411-Y30</f>
        <v>0</v>
      </c>
      <c r="Z33" s="1711">
        <f>-(('Info Entrada'!R180-'Info Entrada'!R218-'Info Entrada'!R219)-('Info Entrada'!Q180-'Info Entrada'!Q218-'Info Entrada'!Q219))-('Info Entrada'!R188-'Info Entrada'!Q188)+'Info Entrada'!R226-'Info Entrada'!Q226+'Info Entrada'!R411-Z30</f>
        <v>0</v>
      </c>
      <c r="AA33" s="1711">
        <f>-(('Info Entrada'!S180-'Info Entrada'!S218-'Info Entrada'!S219)-('Info Entrada'!R180-'Info Entrada'!R218-'Info Entrada'!R219))-('Info Entrada'!S188-'Info Entrada'!R188)+'Info Entrada'!S226-'Info Entrada'!R226+'Info Entrada'!S411-AA30</f>
        <v>0</v>
      </c>
      <c r="AB33" s="1711">
        <f>-(('Info Entrada'!T180-'Info Entrada'!T218-'Info Entrada'!T219)-('Info Entrada'!S180-'Info Entrada'!S218-'Info Entrada'!S219))-('Info Entrada'!T188-'Info Entrada'!S188)+'Info Entrada'!T226-'Info Entrada'!S226+'Info Entrada'!T411-AB30</f>
        <v>0</v>
      </c>
      <c r="AC33" s="1711">
        <f>-(('Info Entrada'!U180-'Info Entrada'!U218-'Info Entrada'!U219)-('Info Entrada'!T180-'Info Entrada'!T218-'Info Entrada'!T219))-('Info Entrada'!U188-'Info Entrada'!T188)+'Info Entrada'!U226-'Info Entrada'!T226+'Info Entrada'!U411-AC30</f>
        <v>0</v>
      </c>
      <c r="AD33" s="1711">
        <f>-(('Info Entrada'!V180-'Info Entrada'!V218-'Info Entrada'!V219)-('Info Entrada'!U180-'Info Entrada'!U218-'Info Entrada'!U219))-('Info Entrada'!V188-'Info Entrada'!U188)+'Info Entrada'!V226-'Info Entrada'!U226+'Info Entrada'!V411-AD30</f>
        <v>0</v>
      </c>
      <c r="AE33" s="1711">
        <f>-(('Info Entrada'!W180-'Info Entrada'!W218-'Info Entrada'!W219)-('Info Entrada'!V180-'Info Entrada'!V218-'Info Entrada'!V219))-('Info Entrada'!W188-'Info Entrada'!V188)+'Info Entrada'!W226-'Info Entrada'!V226+'Info Entrada'!W411-AE30</f>
        <v>0</v>
      </c>
      <c r="AF33" s="1771"/>
      <c r="AG33" s="1711">
        <f ca="1">-(('Info Entrada'!F180-'Info Entrada'!F218-'Info Entrada'!F219)-('Info Entrada'!D180-'Info Entrada'!D218-'Info Entrada'!D219))-('Info Entrada'!F188-'Info Entrada'!D188)+'Info Entrada'!F226-'Info Entrada'!D226+'Info Entrada'!F411-AG30</f>
        <v>0</v>
      </c>
      <c r="AH33" s="1712">
        <f ca="1">-(('Info Entrada'!G180-'Info Entrada'!G218-'Info Entrada'!G219)-('Info Entrada'!E180-'Info Entrada'!E218-'Info Entrada'!E219))-('Info Entrada'!G188-'Info Entrada'!E188)+'Info Entrada'!G226-'Info Entrada'!E226+'Info Entrada'!G411-AH30</f>
        <v>0</v>
      </c>
      <c r="AI33" s="1771"/>
      <c r="AJ33" s="1771"/>
      <c r="AK33" s="1771"/>
    </row>
    <row r="34" spans="2:37" s="1699" customFormat="1" ht="12" thickBot="1" x14ac:dyDescent="0.2">
      <c r="B34" s="2009"/>
      <c r="C34" s="2009"/>
      <c r="D34" s="2009"/>
      <c r="E34" s="2019"/>
      <c r="F34" s="2009"/>
      <c r="G34" s="2022"/>
      <c r="H34" s="2023"/>
      <c r="I34" s="2009"/>
      <c r="J34" s="2009"/>
      <c r="L34" s="2523" t="s">
        <v>595</v>
      </c>
      <c r="M34" s="1721">
        <f>M27+M28+M30+M31+M32+M33</f>
        <v>0</v>
      </c>
      <c r="N34" s="1721">
        <f ca="1">N27+N28+N30+N31+N32+N33</f>
        <v>0</v>
      </c>
      <c r="O34" s="1721">
        <f ca="1">O27+O28+O30+O31+O32+O33</f>
        <v>0</v>
      </c>
      <c r="P34" s="1723">
        <f t="shared" ref="P34:AE34" ca="1" si="4">P27+P28+P30+P31+P32+P33</f>
        <v>0</v>
      </c>
      <c r="Q34" s="1721">
        <f t="shared" ca="1" si="4"/>
        <v>0</v>
      </c>
      <c r="R34" s="1721">
        <f t="shared" ca="1" si="4"/>
        <v>0</v>
      </c>
      <c r="S34" s="1721">
        <f t="shared" ca="1" si="4"/>
        <v>0</v>
      </c>
      <c r="T34" s="1721">
        <f t="shared" ca="1" si="4"/>
        <v>0</v>
      </c>
      <c r="U34" s="1724">
        <f t="shared" ca="1" si="4"/>
        <v>0</v>
      </c>
      <c r="V34" s="1725">
        <f t="shared" ca="1" si="4"/>
        <v>0</v>
      </c>
      <c r="W34" s="1721">
        <f t="shared" ca="1" si="4"/>
        <v>0</v>
      </c>
      <c r="X34" s="1721">
        <f t="shared" ca="1" si="4"/>
        <v>0</v>
      </c>
      <c r="Y34" s="1721">
        <f t="shared" ca="1" si="4"/>
        <v>0</v>
      </c>
      <c r="Z34" s="1721">
        <f t="shared" ca="1" si="4"/>
        <v>0</v>
      </c>
      <c r="AA34" s="1721">
        <f t="shared" ca="1" si="4"/>
        <v>0</v>
      </c>
      <c r="AB34" s="1721">
        <f t="shared" ca="1" si="4"/>
        <v>0</v>
      </c>
      <c r="AC34" s="1721">
        <f t="shared" ca="1" si="4"/>
        <v>0</v>
      </c>
      <c r="AD34" s="1721">
        <f t="shared" ca="1" si="4"/>
        <v>0</v>
      </c>
      <c r="AE34" s="1721">
        <f t="shared" ca="1" si="4"/>
        <v>0</v>
      </c>
      <c r="AF34" s="1771"/>
      <c r="AG34" s="1721">
        <f ca="1">AG27+AG28+AG30+AG31+AG32+AG33</f>
        <v>0</v>
      </c>
      <c r="AH34" s="1722">
        <f ca="1">AH27+AH28+AH30+AH31+AH32+AH33</f>
        <v>0</v>
      </c>
      <c r="AI34" s="1771"/>
      <c r="AJ34" s="1771"/>
      <c r="AK34" s="1771"/>
    </row>
    <row r="35" spans="2:37" s="1699" customFormat="1" ht="12" thickBot="1" x14ac:dyDescent="0.2">
      <c r="B35" s="2020" t="s">
        <v>451</v>
      </c>
      <c r="C35" s="2024" t="s">
        <v>548</v>
      </c>
      <c r="D35" s="2021" t="s">
        <v>262</v>
      </c>
      <c r="E35" s="2019"/>
      <c r="F35" s="2009"/>
      <c r="G35" s="2014"/>
      <c r="H35" s="2025"/>
      <c r="I35" s="2009"/>
      <c r="J35" s="2009"/>
      <c r="L35" s="2521" t="s">
        <v>349</v>
      </c>
      <c r="M35" s="1711">
        <f>'Info Entrada'!C123</f>
        <v>0</v>
      </c>
      <c r="N35" s="1711">
        <f>'Info Entrada'!D123</f>
        <v>0</v>
      </c>
      <c r="O35" s="1711">
        <f>'Info Entrada'!E123</f>
        <v>0</v>
      </c>
      <c r="P35" s="1713">
        <f ca="1">'Info Entrada'!H123</f>
        <v>0</v>
      </c>
      <c r="Q35" s="1711">
        <f ca="1">'Info Entrada'!I123</f>
        <v>0</v>
      </c>
      <c r="R35" s="1711">
        <f ca="1">'Info Entrada'!J123</f>
        <v>0</v>
      </c>
      <c r="S35" s="1711">
        <f ca="1">'Info Entrada'!K123</f>
        <v>0</v>
      </c>
      <c r="T35" s="1711">
        <f ca="1">'Info Entrada'!L123</f>
        <v>0</v>
      </c>
      <c r="U35" s="1714">
        <f ca="1">'Info Entrada'!M123</f>
        <v>0</v>
      </c>
      <c r="V35" s="1715">
        <f ca="1">'Info Entrada'!N123</f>
        <v>0</v>
      </c>
      <c r="W35" s="1711">
        <f ca="1">'Info Entrada'!O123</f>
        <v>0</v>
      </c>
      <c r="X35" s="1711">
        <f ca="1">'Info Entrada'!P123</f>
        <v>0</v>
      </c>
      <c r="Y35" s="1711">
        <f ca="1">'Info Entrada'!Q123</f>
        <v>0</v>
      </c>
      <c r="Z35" s="1711">
        <f ca="1">'Info Entrada'!R123</f>
        <v>0</v>
      </c>
      <c r="AA35" s="1711">
        <f ca="1">'Info Entrada'!S123</f>
        <v>0</v>
      </c>
      <c r="AB35" s="1711">
        <f ca="1">'Info Entrada'!T123</f>
        <v>0</v>
      </c>
      <c r="AC35" s="1711">
        <f ca="1">'Info Entrada'!U123</f>
        <v>0</v>
      </c>
      <c r="AD35" s="1711">
        <f ca="1">'Info Entrada'!V123</f>
        <v>0</v>
      </c>
      <c r="AE35" s="1711">
        <f ca="1">'Info Entrada'!W123</f>
        <v>0</v>
      </c>
      <c r="AF35" s="1771"/>
      <c r="AG35" s="1711">
        <f>'Info Entrada'!F123</f>
        <v>0</v>
      </c>
      <c r="AH35" s="1712">
        <f>'Info Entrada'!G123</f>
        <v>0</v>
      </c>
      <c r="AI35" s="1771"/>
      <c r="AJ35" s="1771"/>
      <c r="AK35" s="1771"/>
    </row>
    <row r="36" spans="2:37" s="1699" customFormat="1" x14ac:dyDescent="0.15">
      <c r="B36" s="2026"/>
      <c r="C36" s="2027"/>
      <c r="D36" s="2028" t="e">
        <f>C36/$C$47</f>
        <v>#DIV/0!</v>
      </c>
      <c r="E36" s="2019"/>
      <c r="F36" s="2009"/>
      <c r="G36" s="2014"/>
      <c r="H36" s="2025"/>
      <c r="I36" s="2009"/>
      <c r="J36" s="2009"/>
      <c r="L36" s="2521" t="s">
        <v>448</v>
      </c>
      <c r="M36" s="1711">
        <f>-'Info Entrada'!C124</f>
        <v>0</v>
      </c>
      <c r="N36" s="1711">
        <f>-'Info Entrada'!D124</f>
        <v>0</v>
      </c>
      <c r="O36" s="1711">
        <f>-'Info Entrada'!E124</f>
        <v>0</v>
      </c>
      <c r="P36" s="1713">
        <f ca="1">-'Info Entrada'!H124</f>
        <v>0</v>
      </c>
      <c r="Q36" s="1711">
        <f ca="1">-'Info Entrada'!I124</f>
        <v>0</v>
      </c>
      <c r="R36" s="1711">
        <f ca="1">-'Info Entrada'!J124</f>
        <v>0</v>
      </c>
      <c r="S36" s="1711">
        <f ca="1">-'Info Entrada'!K124</f>
        <v>0</v>
      </c>
      <c r="T36" s="1711">
        <f ca="1">-'Info Entrada'!L124</f>
        <v>0</v>
      </c>
      <c r="U36" s="1714">
        <f ca="1">-'Info Entrada'!M124</f>
        <v>0</v>
      </c>
      <c r="V36" s="1715">
        <f ca="1">-'Info Entrada'!N124</f>
        <v>0</v>
      </c>
      <c r="W36" s="1711">
        <f ca="1">-'Info Entrada'!O124</f>
        <v>0</v>
      </c>
      <c r="X36" s="1711">
        <f ca="1">-'Info Entrada'!P124</f>
        <v>0</v>
      </c>
      <c r="Y36" s="1711">
        <f ca="1">-'Info Entrada'!Q124</f>
        <v>0</v>
      </c>
      <c r="Z36" s="1711">
        <f ca="1">-'Info Entrada'!R124</f>
        <v>0</v>
      </c>
      <c r="AA36" s="1711">
        <f ca="1">-'Info Entrada'!S124</f>
        <v>0</v>
      </c>
      <c r="AB36" s="1711">
        <f ca="1">-'Info Entrada'!T124</f>
        <v>0</v>
      </c>
      <c r="AC36" s="1711">
        <f ca="1">-'Info Entrada'!U124</f>
        <v>0</v>
      </c>
      <c r="AD36" s="1711">
        <f ca="1">-'Info Entrada'!V124</f>
        <v>0</v>
      </c>
      <c r="AE36" s="1711">
        <f ca="1">-'Info Entrada'!W124</f>
        <v>0</v>
      </c>
      <c r="AF36" s="1771"/>
      <c r="AG36" s="1711">
        <f>-'Info Entrada'!F124</f>
        <v>0</v>
      </c>
      <c r="AH36" s="1712">
        <f>-'Info Entrada'!G124</f>
        <v>0</v>
      </c>
      <c r="AI36" s="1771"/>
      <c r="AJ36" s="1771"/>
      <c r="AK36" s="1771"/>
    </row>
    <row r="37" spans="2:37" s="1699" customFormat="1" x14ac:dyDescent="0.15">
      <c r="B37" s="2029"/>
      <c r="C37" s="2030"/>
      <c r="D37" s="2028" t="e">
        <f t="shared" ref="D37:D46" si="5">C37/$C$47</f>
        <v>#DIV/0!</v>
      </c>
      <c r="E37" s="2019"/>
      <c r="F37" s="2009"/>
      <c r="G37" s="2014"/>
      <c r="H37" s="2025"/>
      <c r="I37" s="2009"/>
      <c r="J37" s="2009"/>
      <c r="L37" s="2521" t="s">
        <v>1199</v>
      </c>
      <c r="M37" s="1711">
        <f>'Info Entrada'!C122</f>
        <v>0</v>
      </c>
      <c r="N37" s="1711">
        <f>'Info Entrada'!D122</f>
        <v>0</v>
      </c>
      <c r="O37" s="1711">
        <f>'Info Entrada'!E122</f>
        <v>0</v>
      </c>
      <c r="P37" s="1713">
        <f>'Info Entrada'!H122</f>
        <v>0</v>
      </c>
      <c r="Q37" s="1711">
        <f>'Info Entrada'!I122</f>
        <v>0</v>
      </c>
      <c r="R37" s="1711">
        <f>'Info Entrada'!J122</f>
        <v>0</v>
      </c>
      <c r="S37" s="1711">
        <f>'Info Entrada'!K122</f>
        <v>0</v>
      </c>
      <c r="T37" s="1711">
        <f>'Info Entrada'!L122</f>
        <v>0</v>
      </c>
      <c r="U37" s="1714">
        <f>'Info Entrada'!M122</f>
        <v>0</v>
      </c>
      <c r="V37" s="1715">
        <f>'Info Entrada'!N122</f>
        <v>0</v>
      </c>
      <c r="W37" s="1711">
        <f>'Info Entrada'!O122</f>
        <v>0</v>
      </c>
      <c r="X37" s="1711">
        <f>'Info Entrada'!P122</f>
        <v>0</v>
      </c>
      <c r="Y37" s="1711">
        <f>'Info Entrada'!Q122</f>
        <v>0</v>
      </c>
      <c r="Z37" s="1711">
        <f>'Info Entrada'!R122</f>
        <v>0</v>
      </c>
      <c r="AA37" s="1711">
        <f>'Info Entrada'!S122</f>
        <v>0</v>
      </c>
      <c r="AB37" s="1711">
        <f>'Info Entrada'!T122</f>
        <v>0</v>
      </c>
      <c r="AC37" s="1711">
        <f>'Info Entrada'!U122</f>
        <v>0</v>
      </c>
      <c r="AD37" s="1711">
        <f>'Info Entrada'!V122</f>
        <v>0</v>
      </c>
      <c r="AE37" s="1711">
        <f>'Info Entrada'!W122</f>
        <v>0</v>
      </c>
      <c r="AF37" s="1771"/>
      <c r="AG37" s="1711">
        <f>'Info Entrada'!F122</f>
        <v>0</v>
      </c>
      <c r="AH37" s="1712">
        <f>'Info Entrada'!G122</f>
        <v>0</v>
      </c>
      <c r="AI37" s="1771"/>
      <c r="AJ37" s="1771"/>
      <c r="AK37" s="1771"/>
    </row>
    <row r="38" spans="2:37" s="1699" customFormat="1" ht="12" thickBot="1" x14ac:dyDescent="0.2">
      <c r="B38" s="2029"/>
      <c r="C38" s="2030"/>
      <c r="D38" s="2028" t="e">
        <f t="shared" si="5"/>
        <v>#DIV/0!</v>
      </c>
      <c r="E38" s="2019"/>
      <c r="F38" s="2009"/>
      <c r="G38" s="2031"/>
      <c r="H38" s="2032"/>
      <c r="I38" s="2009"/>
      <c r="J38" s="2009"/>
      <c r="L38" s="2521" t="s">
        <v>500</v>
      </c>
      <c r="M38" s="2521">
        <v>0</v>
      </c>
      <c r="N38" s="1711">
        <f>'Info Entrada'!D127+'Info Entrada'!D161</f>
        <v>0</v>
      </c>
      <c r="O38" s="1711">
        <f>'Info Entrada'!E127+'Info Entrada'!E161</f>
        <v>0</v>
      </c>
      <c r="P38" s="1713">
        <f>'Info Entrada'!H127+'Info Entrada'!H161</f>
        <v>0</v>
      </c>
      <c r="Q38" s="1711">
        <f>'Info Entrada'!I127+'Info Entrada'!I161</f>
        <v>0</v>
      </c>
      <c r="R38" s="1711">
        <f>'Info Entrada'!J127+'Info Entrada'!J161</f>
        <v>0</v>
      </c>
      <c r="S38" s="1711">
        <f>'Info Entrada'!K127+'Info Entrada'!K161</f>
        <v>0</v>
      </c>
      <c r="T38" s="1711">
        <f>'Info Entrada'!L127+'Info Entrada'!L161</f>
        <v>0</v>
      </c>
      <c r="U38" s="1714">
        <f>'Info Entrada'!M127+'Info Entrada'!M161</f>
        <v>0</v>
      </c>
      <c r="V38" s="1715">
        <f>'Info Entrada'!N127+'Info Entrada'!N161</f>
        <v>0</v>
      </c>
      <c r="W38" s="1711">
        <f>'Info Entrada'!O127+'Info Entrada'!O161</f>
        <v>0</v>
      </c>
      <c r="X38" s="1711">
        <f>'Info Entrada'!P127+'Info Entrada'!P161</f>
        <v>0</v>
      </c>
      <c r="Y38" s="1711">
        <f>'Info Entrada'!Q127+'Info Entrada'!Q161</f>
        <v>0</v>
      </c>
      <c r="Z38" s="1711">
        <f>'Info Entrada'!R127+'Info Entrada'!R161</f>
        <v>0</v>
      </c>
      <c r="AA38" s="1711">
        <f>'Info Entrada'!S127+'Info Entrada'!S161</f>
        <v>0</v>
      </c>
      <c r="AB38" s="1711">
        <f>'Info Entrada'!T127+'Info Entrada'!T161</f>
        <v>0</v>
      </c>
      <c r="AC38" s="1711">
        <f>'Info Entrada'!U127+'Info Entrada'!U161</f>
        <v>0</v>
      </c>
      <c r="AD38" s="1711">
        <f>'Info Entrada'!V127+'Info Entrada'!V161</f>
        <v>0</v>
      </c>
      <c r="AE38" s="1711">
        <f>'Info Entrada'!W127+'Info Entrada'!W161</f>
        <v>0</v>
      </c>
      <c r="AF38" s="1771"/>
      <c r="AG38" s="1711">
        <f>'Info Entrada'!F127+'Info Entrada'!F161</f>
        <v>0</v>
      </c>
      <c r="AH38" s="1712">
        <f>'Info Entrada'!G127+'Info Entrada'!G161</f>
        <v>0</v>
      </c>
      <c r="AI38" s="1771"/>
      <c r="AJ38" s="1771"/>
      <c r="AK38" s="1771"/>
    </row>
    <row r="39" spans="2:37" s="1699" customFormat="1" x14ac:dyDescent="0.15">
      <c r="B39" s="2029"/>
      <c r="C39" s="2030"/>
      <c r="D39" s="2028" t="e">
        <f t="shared" si="5"/>
        <v>#DIV/0!</v>
      </c>
      <c r="E39" s="2019"/>
      <c r="F39" s="2009"/>
      <c r="G39" s="2009"/>
      <c r="H39" s="2009"/>
      <c r="I39" s="2009"/>
      <c r="J39" s="2009"/>
      <c r="L39" s="2521" t="s">
        <v>456</v>
      </c>
      <c r="M39" s="2521">
        <v>0</v>
      </c>
      <c r="N39" s="1711">
        <f ca="1">'Info Entrada'!D353</f>
        <v>0</v>
      </c>
      <c r="O39" s="1711">
        <f ca="1">'Info Entrada'!E353</f>
        <v>0</v>
      </c>
      <c r="P39" s="1713">
        <f>'Info Entrada'!H346+'Info Entrada'!H347+'Info Entrada'!H348</f>
        <v>0</v>
      </c>
      <c r="Q39" s="1711">
        <f>'Info Entrada'!I346+'Info Entrada'!I347+'Info Entrada'!I348</f>
        <v>0</v>
      </c>
      <c r="R39" s="1711">
        <f>'Info Entrada'!J346+'Info Entrada'!J347+'Info Entrada'!J348</f>
        <v>0</v>
      </c>
      <c r="S39" s="1711">
        <f>'Info Entrada'!K346+'Info Entrada'!K347+'Info Entrada'!K348</f>
        <v>0</v>
      </c>
      <c r="T39" s="1711">
        <f>'Info Entrada'!L346+'Info Entrada'!L347+'Info Entrada'!L348</f>
        <v>0</v>
      </c>
      <c r="U39" s="1714">
        <f>'Info Entrada'!M346+'Info Entrada'!M347+'Info Entrada'!M348</f>
        <v>0</v>
      </c>
      <c r="V39" s="1715">
        <f>'Info Entrada'!N346+'Info Entrada'!N347+'Info Entrada'!N348</f>
        <v>0</v>
      </c>
      <c r="W39" s="1711">
        <f>'Info Entrada'!O346+'Info Entrada'!O347+'Info Entrada'!O348</f>
        <v>0</v>
      </c>
      <c r="X39" s="1711">
        <f>'Info Entrada'!P346+'Info Entrada'!P347+'Info Entrada'!P348</f>
        <v>0</v>
      </c>
      <c r="Y39" s="1711">
        <f>'Info Entrada'!Q346+'Info Entrada'!Q347+'Info Entrada'!Q348</f>
        <v>0</v>
      </c>
      <c r="Z39" s="1711">
        <f>'Info Entrada'!R346+'Info Entrada'!R347+'Info Entrada'!R348</f>
        <v>0</v>
      </c>
      <c r="AA39" s="1711">
        <f>'Info Entrada'!S346+'Info Entrada'!S347+'Info Entrada'!S348</f>
        <v>0</v>
      </c>
      <c r="AB39" s="1711">
        <f>'Info Entrada'!T346+'Info Entrada'!T347+'Info Entrada'!T348</f>
        <v>0</v>
      </c>
      <c r="AC39" s="1711">
        <f>'Info Entrada'!U346+'Info Entrada'!U347+'Info Entrada'!U348</f>
        <v>0</v>
      </c>
      <c r="AD39" s="1711">
        <f>'Info Entrada'!V346+'Info Entrada'!V347+'Info Entrada'!V348</f>
        <v>0</v>
      </c>
      <c r="AE39" s="1711">
        <f>'Info Entrada'!W346+'Info Entrada'!W347+'Info Entrada'!W348</f>
        <v>0</v>
      </c>
      <c r="AF39" s="1771"/>
      <c r="AG39" s="1711">
        <f ca="1">'Info Entrada'!F353</f>
        <v>0</v>
      </c>
      <c r="AH39" s="1712">
        <f ca="1">'Info Entrada'!G353</f>
        <v>0</v>
      </c>
      <c r="AI39" s="1771"/>
      <c r="AJ39" s="1771"/>
      <c r="AK39" s="1771"/>
    </row>
    <row r="40" spans="2:37" s="1699" customFormat="1" x14ac:dyDescent="0.15">
      <c r="B40" s="2029"/>
      <c r="C40" s="2030"/>
      <c r="D40" s="2028" t="e">
        <f t="shared" si="5"/>
        <v>#DIV/0!</v>
      </c>
      <c r="E40" s="2019"/>
      <c r="F40" s="2009" t="s">
        <v>559</v>
      </c>
      <c r="G40" s="2009"/>
      <c r="H40" s="2009"/>
      <c r="I40" s="2009"/>
      <c r="J40" s="2009"/>
      <c r="L40" s="2521" t="s">
        <v>458</v>
      </c>
      <c r="M40" s="2521">
        <v>0</v>
      </c>
      <c r="N40" s="1711">
        <f ca="1">'Info Entrada'!D386</f>
        <v>0</v>
      </c>
      <c r="O40" s="1711">
        <f ca="1">'Info Entrada'!E386</f>
        <v>0</v>
      </c>
      <c r="P40" s="1713">
        <f ca="1">'Info Entrada'!H383+'Info Entrada'!H384</f>
        <v>0</v>
      </c>
      <c r="Q40" s="1711">
        <f>'Info Entrada'!I383+'Info Entrada'!I384</f>
        <v>0</v>
      </c>
      <c r="R40" s="1711">
        <f>'Info Entrada'!J383+'Info Entrada'!J384</f>
        <v>0</v>
      </c>
      <c r="S40" s="1711">
        <f>'Info Entrada'!K383+'Info Entrada'!K384</f>
        <v>0</v>
      </c>
      <c r="T40" s="1711">
        <f>'Info Entrada'!L383+'Info Entrada'!L384</f>
        <v>0</v>
      </c>
      <c r="U40" s="1714">
        <f>'Info Entrada'!M383+'Info Entrada'!M384</f>
        <v>0</v>
      </c>
      <c r="V40" s="1715">
        <f>'Info Entrada'!N383+'Info Entrada'!N384</f>
        <v>0</v>
      </c>
      <c r="W40" s="1711">
        <f>'Info Entrada'!O383+'Info Entrada'!O384</f>
        <v>0</v>
      </c>
      <c r="X40" s="1711">
        <f>'Info Entrada'!P383+'Info Entrada'!P384</f>
        <v>0</v>
      </c>
      <c r="Y40" s="1711">
        <f>'Info Entrada'!Q383+'Info Entrada'!Q384</f>
        <v>0</v>
      </c>
      <c r="Z40" s="1711">
        <f>'Info Entrada'!R383+'Info Entrada'!R384</f>
        <v>0</v>
      </c>
      <c r="AA40" s="1711">
        <f>'Info Entrada'!S383+'Info Entrada'!S384</f>
        <v>0</v>
      </c>
      <c r="AB40" s="1711">
        <f>'Info Entrada'!T383+'Info Entrada'!T384</f>
        <v>0</v>
      </c>
      <c r="AC40" s="1711">
        <f>'Info Entrada'!U383+'Info Entrada'!U384</f>
        <v>0</v>
      </c>
      <c r="AD40" s="1711">
        <f>'Info Entrada'!V383+'Info Entrada'!V384</f>
        <v>0</v>
      </c>
      <c r="AE40" s="1711">
        <f>'Info Entrada'!W383+'Info Entrada'!W384</f>
        <v>0</v>
      </c>
      <c r="AF40" s="1771"/>
      <c r="AG40" s="1711">
        <f ca="1">'Info Entrada'!F386</f>
        <v>0</v>
      </c>
      <c r="AH40" s="1712">
        <f ca="1">'Info Entrada'!G386</f>
        <v>0</v>
      </c>
      <c r="AI40" s="1771"/>
      <c r="AJ40" s="1771"/>
      <c r="AK40" s="1771"/>
    </row>
    <row r="41" spans="2:37" s="1699" customFormat="1" x14ac:dyDescent="0.15">
      <c r="B41" s="2029"/>
      <c r="C41" s="2030"/>
      <c r="D41" s="2028" t="e">
        <f t="shared" si="5"/>
        <v>#DIV/0!</v>
      </c>
      <c r="E41" s="2019"/>
      <c r="F41" s="2009" t="e">
        <f>CONCATENATE(B36," ",TEXT(D36,"0,0%"),", ",B37," ",TEXT(D37,"0,0%"),", ",B38," ",TEXT(D38,"0,0%"),", ",B39," ",TEXT(D39,"0,0%"),", Otros ",TEXT(SUM(D40:D46),"0,0%"))</f>
        <v>#DIV/0!</v>
      </c>
      <c r="G41" s="2009"/>
      <c r="H41" s="2009"/>
      <c r="I41" s="2009"/>
      <c r="J41" s="2009"/>
      <c r="L41" s="2521" t="s">
        <v>622</v>
      </c>
      <c r="M41" s="2521">
        <v>0</v>
      </c>
      <c r="N41" s="1783">
        <f ca="1">-'Info Entrada'!D367+'Info Entrada'!D100-('Info Entrada'!D201-'Info Entrada'!C201-'Info Entrada'!D136)</f>
        <v>0</v>
      </c>
      <c r="O41" s="1783">
        <f ca="1">-'Info Entrada'!E367+'Info Entrada'!E100-('Info Entrada'!E201-'Info Entrada'!D201-'Info Entrada'!E136)</f>
        <v>0</v>
      </c>
      <c r="P41" s="1713">
        <f ca="1">-'Info Entrada'!H367+'Info Entrada'!H100-('Info Entrada'!H201-'Info Entrada'!E201-'Info Entrada'!H136)</f>
        <v>0</v>
      </c>
      <c r="Q41" s="1711">
        <f ca="1">-'Info Entrada'!I367+'Info Entrada'!I100-('Info Entrada'!I201-'Info Entrada'!H201-'Info Entrada'!I136)</f>
        <v>0</v>
      </c>
      <c r="R41" s="1711">
        <f ca="1">-'Info Entrada'!J367+'Info Entrada'!J100-('Info Entrada'!J201-'Info Entrada'!I201-'Info Entrada'!J136)</f>
        <v>0</v>
      </c>
      <c r="S41" s="1711">
        <f ca="1">-'Info Entrada'!K367+'Info Entrada'!K100-('Info Entrada'!K201-'Info Entrada'!J201-'Info Entrada'!K136)</f>
        <v>0</v>
      </c>
      <c r="T41" s="1711">
        <f ca="1">-'Info Entrada'!L367+'Info Entrada'!L100-('Info Entrada'!L201-'Info Entrada'!K201-'Info Entrada'!L136)</f>
        <v>0</v>
      </c>
      <c r="U41" s="1714">
        <f ca="1">-'Info Entrada'!M367+'Info Entrada'!M100-('Info Entrada'!M201-'Info Entrada'!L201-'Info Entrada'!M136)</f>
        <v>0</v>
      </c>
      <c r="V41" s="1715">
        <f ca="1">-'Info Entrada'!N367+'Info Entrada'!N100-('Info Entrada'!N201-'Info Entrada'!M201-'Info Entrada'!N136)</f>
        <v>0</v>
      </c>
      <c r="W41" s="1711">
        <f ca="1">-'Info Entrada'!O367+'Info Entrada'!O100-('Info Entrada'!O201-'Info Entrada'!N201-'Info Entrada'!O136)</f>
        <v>0</v>
      </c>
      <c r="X41" s="1711">
        <f ca="1">-'Info Entrada'!P367+'Info Entrada'!P100-('Info Entrada'!P201-'Info Entrada'!O201-'Info Entrada'!P136)</f>
        <v>0</v>
      </c>
      <c r="Y41" s="1711">
        <f ca="1">-'Info Entrada'!Q367+'Info Entrada'!Q100-('Info Entrada'!Q201-'Info Entrada'!P201-'Info Entrada'!Q136)</f>
        <v>0</v>
      </c>
      <c r="Z41" s="1711">
        <f ca="1">-'Info Entrada'!R367+'Info Entrada'!R100-('Info Entrada'!R201-'Info Entrada'!Q201-'Info Entrada'!R136)</f>
        <v>0</v>
      </c>
      <c r="AA41" s="1711">
        <f ca="1">-'Info Entrada'!S367+'Info Entrada'!S100-('Info Entrada'!S201-'Info Entrada'!R201-'Info Entrada'!S136)</f>
        <v>0</v>
      </c>
      <c r="AB41" s="1711">
        <f ca="1">-'Info Entrada'!T367+'Info Entrada'!T100-('Info Entrada'!T201-'Info Entrada'!S201-'Info Entrada'!T136)</f>
        <v>0</v>
      </c>
      <c r="AC41" s="1711">
        <f ca="1">-'Info Entrada'!U367+'Info Entrada'!U100-('Info Entrada'!U201-'Info Entrada'!T201-'Info Entrada'!U136)</f>
        <v>0</v>
      </c>
      <c r="AD41" s="1711">
        <f ca="1">-'Info Entrada'!V367+'Info Entrada'!V100-('Info Entrada'!V201-'Info Entrada'!U201-'Info Entrada'!V136)</f>
        <v>0</v>
      </c>
      <c r="AE41" s="1711">
        <f ca="1">-'Info Entrada'!W367+'Info Entrada'!W100-('Info Entrada'!W201-'Info Entrada'!V201-'Info Entrada'!W136)</f>
        <v>0</v>
      </c>
      <c r="AF41" s="1771"/>
      <c r="AG41" s="1711">
        <f ca="1">-'Info Entrada'!F367+'Info Entrada'!F100-('Info Entrada'!F201-'Info Entrada'!D201-'Info Entrada'!F136)</f>
        <v>0</v>
      </c>
      <c r="AH41" s="1712">
        <f ca="1">-'Info Entrada'!G367+'Info Entrada'!G100-('Info Entrada'!G201-'Info Entrada'!E201-'Info Entrada'!G136)</f>
        <v>0</v>
      </c>
      <c r="AI41" s="1771"/>
      <c r="AJ41" s="1771"/>
      <c r="AK41" s="1771"/>
    </row>
    <row r="42" spans="2:37" s="1699" customFormat="1" x14ac:dyDescent="0.15">
      <c r="B42" s="2029"/>
      <c r="C42" s="2030"/>
      <c r="D42" s="2028" t="e">
        <f t="shared" si="5"/>
        <v>#DIV/0!</v>
      </c>
      <c r="E42" s="2019"/>
      <c r="F42" s="2009"/>
      <c r="G42" s="2009"/>
      <c r="H42" s="2009"/>
      <c r="I42" s="2009"/>
      <c r="J42" s="2009"/>
      <c r="L42" s="2521" t="s">
        <v>1299</v>
      </c>
      <c r="M42" s="2521">
        <v>0</v>
      </c>
      <c r="N42" s="1783">
        <f>('Info Entrada'!D241+'Info Entrada'!D244)-('Info Entrada'!C241+'Info Entrada'!C244)+'Info Entrada'!D396-'Info Entrada'!D328</f>
        <v>0</v>
      </c>
      <c r="O42" s="1783">
        <f>('Info Entrada'!E241+'Info Entrada'!E244)-('Info Entrada'!D241+'Info Entrada'!D244)+'Info Entrada'!E396-'Info Entrada'!E328</f>
        <v>0</v>
      </c>
      <c r="P42" s="1713">
        <f ca="1">('Info Entrada'!H241+'Info Entrada'!H244)-('Info Entrada'!E241+'Info Entrada'!E244)+'Info Entrada'!H396-'Info Entrada'!H328</f>
        <v>0</v>
      </c>
      <c r="Q42" s="1711">
        <f ca="1">('Info Entrada'!I241+'Info Entrada'!I244)-('Info Entrada'!H241+'Info Entrada'!H244)+'Info Entrada'!I396-'Info Entrada'!I328</f>
        <v>0</v>
      </c>
      <c r="R42" s="1711">
        <f ca="1">('Info Entrada'!J241+'Info Entrada'!J244)-('Info Entrada'!I241+'Info Entrada'!I244)+'Info Entrada'!J396-'Info Entrada'!J328</f>
        <v>0</v>
      </c>
      <c r="S42" s="1711">
        <f ca="1">('Info Entrada'!K241+'Info Entrada'!K244)-('Info Entrada'!J241+'Info Entrada'!J244)+'Info Entrada'!K396-'Info Entrada'!K328</f>
        <v>0</v>
      </c>
      <c r="T42" s="1711">
        <f ca="1">('Info Entrada'!L241+'Info Entrada'!L244)-('Info Entrada'!K241+'Info Entrada'!K244)+'Info Entrada'!L396-'Info Entrada'!L328</f>
        <v>0</v>
      </c>
      <c r="U42" s="1714">
        <f ca="1">('Info Entrada'!M241+'Info Entrada'!M244)-('Info Entrada'!L241+'Info Entrada'!L244)+'Info Entrada'!M396-'Info Entrada'!M328</f>
        <v>0</v>
      </c>
      <c r="V42" s="1715">
        <f ca="1">('Info Entrada'!N241+'Info Entrada'!N244)-('Info Entrada'!M241+'Info Entrada'!M244)+'Info Entrada'!N396-'Info Entrada'!N328</f>
        <v>0</v>
      </c>
      <c r="W42" s="1711">
        <f ca="1">('Info Entrada'!O241+'Info Entrada'!O244)-('Info Entrada'!N241+'Info Entrada'!N244)+'Info Entrada'!O396-'Info Entrada'!O328</f>
        <v>0</v>
      </c>
      <c r="X42" s="1711">
        <f ca="1">('Info Entrada'!P241+'Info Entrada'!P244)-('Info Entrada'!O241+'Info Entrada'!O244)+'Info Entrada'!P396-'Info Entrada'!P328</f>
        <v>0</v>
      </c>
      <c r="Y42" s="1711">
        <f ca="1">('Info Entrada'!Q241+'Info Entrada'!Q244)-('Info Entrada'!P241+'Info Entrada'!P244)+'Info Entrada'!Q396-'Info Entrada'!Q328</f>
        <v>0</v>
      </c>
      <c r="Z42" s="1711">
        <f ca="1">('Info Entrada'!R241+'Info Entrada'!R244)-('Info Entrada'!Q241+'Info Entrada'!Q244)+'Info Entrada'!R396-'Info Entrada'!R328</f>
        <v>0</v>
      </c>
      <c r="AA42" s="1711">
        <f ca="1">('Info Entrada'!S241+'Info Entrada'!S244)-('Info Entrada'!R241+'Info Entrada'!R244)+'Info Entrada'!S396-'Info Entrada'!S328</f>
        <v>0</v>
      </c>
      <c r="AB42" s="1711">
        <f ca="1">('Info Entrada'!T241+'Info Entrada'!T244)-('Info Entrada'!S241+'Info Entrada'!S244)+'Info Entrada'!T396-'Info Entrada'!T328</f>
        <v>0</v>
      </c>
      <c r="AC42" s="1711">
        <f ca="1">('Info Entrada'!U241+'Info Entrada'!U244)-('Info Entrada'!T241+'Info Entrada'!T244)+'Info Entrada'!U396-'Info Entrada'!U328</f>
        <v>0</v>
      </c>
      <c r="AD42" s="1711">
        <f ca="1">('Info Entrada'!V241+'Info Entrada'!V244)-('Info Entrada'!U241+'Info Entrada'!U244)+'Info Entrada'!V396-'Info Entrada'!V328</f>
        <v>0</v>
      </c>
      <c r="AE42" s="1711">
        <f ca="1">('Info Entrada'!W241+'Info Entrada'!W244)-('Info Entrada'!V241+'Info Entrada'!V244)+'Info Entrada'!W396-'Info Entrada'!W328</f>
        <v>0</v>
      </c>
      <c r="AF42" s="1772"/>
      <c r="AG42" s="1711">
        <f>('Info Entrada'!F241+'Info Entrada'!F244)-('Info Entrada'!D241+'Info Entrada'!D244)+'Info Entrada'!F396-'Info Entrada'!F328</f>
        <v>0</v>
      </c>
      <c r="AH42" s="1712">
        <f>('Info Entrada'!G241+'Info Entrada'!G244)-('Info Entrada'!E241+'Info Entrada'!E244)+'Info Entrada'!G396-'Info Entrada'!G328</f>
        <v>0</v>
      </c>
      <c r="AI42" s="1771"/>
      <c r="AJ42" s="1771"/>
      <c r="AK42" s="1771"/>
    </row>
    <row r="43" spans="2:37" s="1699" customFormat="1" x14ac:dyDescent="0.15">
      <c r="B43" s="2029"/>
      <c r="C43" s="2030"/>
      <c r="D43" s="2028" t="e">
        <f t="shared" si="5"/>
        <v>#DIV/0!</v>
      </c>
      <c r="E43" s="2019"/>
      <c r="F43" s="2009"/>
      <c r="G43" s="2009"/>
      <c r="H43" s="2009"/>
      <c r="I43" s="2009"/>
      <c r="J43" s="2009"/>
      <c r="L43" s="2521" t="s">
        <v>1300</v>
      </c>
      <c r="M43" s="2521">
        <v>0</v>
      </c>
      <c r="N43" s="1711">
        <f>'Info Entrada'!D220-'Info Entrada'!C220+'Info Entrada'!D231-'Info Entrada'!C231-('Info Entrada'!D192-'Info Entrada'!C192)-('Info Entrada'!D205-'Info Entrada'!C205)</f>
        <v>0</v>
      </c>
      <c r="O43" s="1711">
        <f>'Info Entrada'!E220-'Info Entrada'!D220+'Info Entrada'!E231-'Info Entrada'!D231-('Info Entrada'!E192-'Info Entrada'!D192)-('Info Entrada'!E205-'Info Entrada'!D205)</f>
        <v>0</v>
      </c>
      <c r="P43" s="1713">
        <f>'Info Entrada'!H220-'Info Entrada'!E220+'Info Entrada'!H231-'Info Entrada'!E231-('Info Entrada'!H192-'Info Entrada'!E192)-('Info Entrada'!H205-'Info Entrada'!E205)</f>
        <v>0</v>
      </c>
      <c r="Q43" s="1711">
        <f>'Info Entrada'!I220-'Info Entrada'!H220+'Info Entrada'!I231-'Info Entrada'!H231-('Info Entrada'!I192-'Info Entrada'!H192)-('Info Entrada'!I205-'Info Entrada'!H205)</f>
        <v>0</v>
      </c>
      <c r="R43" s="1711">
        <f>'Info Entrada'!J220-'Info Entrada'!I220+'Info Entrada'!J231-'Info Entrada'!I231-('Info Entrada'!J192-'Info Entrada'!I192)-('Info Entrada'!J205-'Info Entrada'!I205)</f>
        <v>0</v>
      </c>
      <c r="S43" s="1711">
        <f>'Info Entrada'!K220-'Info Entrada'!J220+'Info Entrada'!K231-'Info Entrada'!J231-('Info Entrada'!K192-'Info Entrada'!J192)-('Info Entrada'!K205-'Info Entrada'!J205)</f>
        <v>0</v>
      </c>
      <c r="T43" s="1711">
        <f>'Info Entrada'!L220-'Info Entrada'!K220+'Info Entrada'!L231-'Info Entrada'!K231-('Info Entrada'!L192-'Info Entrada'!K192)-('Info Entrada'!L205-'Info Entrada'!K205)</f>
        <v>0</v>
      </c>
      <c r="U43" s="1714">
        <f>'Info Entrada'!M220-'Info Entrada'!L220+'Info Entrada'!M231-'Info Entrada'!L231-('Info Entrada'!M192-'Info Entrada'!L192)-('Info Entrada'!M205-'Info Entrada'!L205)</f>
        <v>0</v>
      </c>
      <c r="V43" s="1715">
        <f>'Info Entrada'!N220-'Info Entrada'!M220+'Info Entrada'!N231-'Info Entrada'!M231-('Info Entrada'!N192-'Info Entrada'!M192)-('Info Entrada'!N205-'Info Entrada'!M205)</f>
        <v>0</v>
      </c>
      <c r="W43" s="1711">
        <f>'Info Entrada'!O220-'Info Entrada'!N220+'Info Entrada'!O231-'Info Entrada'!N231-('Info Entrada'!O192-'Info Entrada'!N192)-('Info Entrada'!O205-'Info Entrada'!N205)</f>
        <v>0</v>
      </c>
      <c r="X43" s="1711">
        <f>'Info Entrada'!P220-'Info Entrada'!O220+'Info Entrada'!P231-'Info Entrada'!O231-('Info Entrada'!P192-'Info Entrada'!O192)-('Info Entrada'!P205-'Info Entrada'!O205)</f>
        <v>0</v>
      </c>
      <c r="Y43" s="1711">
        <f>'Info Entrada'!Q220-'Info Entrada'!P220+'Info Entrada'!Q231-'Info Entrada'!P231-('Info Entrada'!Q192-'Info Entrada'!P192)-('Info Entrada'!Q205-'Info Entrada'!P205)</f>
        <v>0</v>
      </c>
      <c r="Z43" s="1711">
        <f>'Info Entrada'!R220-'Info Entrada'!Q220+'Info Entrada'!R231-'Info Entrada'!Q231-('Info Entrada'!R192-'Info Entrada'!Q192)-('Info Entrada'!R205-'Info Entrada'!Q205)</f>
        <v>0</v>
      </c>
      <c r="AA43" s="1711">
        <f>'Info Entrada'!S220-'Info Entrada'!R220+'Info Entrada'!S231-'Info Entrada'!R231-('Info Entrada'!S192-'Info Entrada'!R192)-('Info Entrada'!S205-'Info Entrada'!R205)</f>
        <v>0</v>
      </c>
      <c r="AB43" s="1711">
        <f>'Info Entrada'!T220-'Info Entrada'!S220+'Info Entrada'!T231-'Info Entrada'!S231-('Info Entrada'!T192-'Info Entrada'!S192)-('Info Entrada'!T205-'Info Entrada'!S205)</f>
        <v>0</v>
      </c>
      <c r="AC43" s="1711">
        <f>'Info Entrada'!U220-'Info Entrada'!T220+'Info Entrada'!U231-'Info Entrada'!T231-('Info Entrada'!U192-'Info Entrada'!T192)-('Info Entrada'!U205-'Info Entrada'!T205)</f>
        <v>0</v>
      </c>
      <c r="AD43" s="1711">
        <f>'Info Entrada'!V220-'Info Entrada'!U220+'Info Entrada'!V231-'Info Entrada'!U231-('Info Entrada'!V192-'Info Entrada'!U192)-('Info Entrada'!V205-'Info Entrada'!U205)</f>
        <v>0</v>
      </c>
      <c r="AE43" s="1711">
        <f>'Info Entrada'!W220-'Info Entrada'!V220+'Info Entrada'!W231-'Info Entrada'!V231-('Info Entrada'!W192-'Info Entrada'!V192)-('Info Entrada'!W205-'Info Entrada'!V205)</f>
        <v>0</v>
      </c>
      <c r="AF43" s="1771"/>
      <c r="AG43" s="1711">
        <f>'Info Entrada'!F220-'Info Entrada'!D220+'Info Entrada'!F231-'Info Entrada'!D231-('Info Entrada'!F192-'Info Entrada'!D192)-('Info Entrada'!F205-'Info Entrada'!D205)</f>
        <v>0</v>
      </c>
      <c r="AH43" s="1712">
        <f>'Info Entrada'!G220-'Info Entrada'!E220+'Info Entrada'!G231-'Info Entrada'!E231-('Info Entrada'!G192-'Info Entrada'!E192)-('Info Entrada'!G205-'Info Entrada'!E205)</f>
        <v>0</v>
      </c>
      <c r="AI43" s="1771"/>
      <c r="AJ43" s="1771"/>
      <c r="AK43" s="1771"/>
    </row>
    <row r="44" spans="2:37" s="1699" customFormat="1" x14ac:dyDescent="0.15">
      <c r="B44" s="2029"/>
      <c r="C44" s="2030"/>
      <c r="D44" s="2028" t="e">
        <f t="shared" si="5"/>
        <v>#DIV/0!</v>
      </c>
      <c r="E44" s="2033"/>
      <c r="F44" s="2034"/>
      <c r="G44" s="284"/>
      <c r="H44" s="2009"/>
      <c r="I44" s="2009"/>
      <c r="J44" s="2009"/>
      <c r="L44" s="2521" t="s">
        <v>545</v>
      </c>
      <c r="M44" s="2521">
        <v>0</v>
      </c>
      <c r="N44" s="1711">
        <f>-('Info Entrada'!D187-'Info Entrada'!C187+'Info Entrada'!D190-'Info Entrada'!C190+'Info Entrada'!D202-'Info Entrada'!C202+'Info Entrada'!D206-'Info Entrada'!C206)</f>
        <v>0</v>
      </c>
      <c r="O44" s="1711">
        <f>-('Info Entrada'!E187-'Info Entrada'!D187+'Info Entrada'!E190-'Info Entrada'!D190+'Info Entrada'!E202-'Info Entrada'!D202+'Info Entrada'!E206-'Info Entrada'!D206)</f>
        <v>0</v>
      </c>
      <c r="P44" s="1713">
        <f>-('Info Entrada'!H187-'Info Entrada'!E187+'Info Entrada'!H190-'Info Entrada'!E190+'Info Entrada'!H202-'Info Entrada'!E202+'Info Entrada'!H206-'Info Entrada'!E206)</f>
        <v>0</v>
      </c>
      <c r="Q44" s="1711">
        <f>-('Info Entrada'!I187-'Info Entrada'!H187+'Info Entrada'!I190-'Info Entrada'!H190+'Info Entrada'!I202-'Info Entrada'!H202+'Info Entrada'!I206-'Info Entrada'!H206)</f>
        <v>0</v>
      </c>
      <c r="R44" s="1711">
        <f>-('Info Entrada'!J187-'Info Entrada'!I187+'Info Entrada'!J190-'Info Entrada'!I190+'Info Entrada'!J202-'Info Entrada'!I202+'Info Entrada'!J206-'Info Entrada'!I206)</f>
        <v>0</v>
      </c>
      <c r="S44" s="1711">
        <f>-('Info Entrada'!K187-'Info Entrada'!J187+'Info Entrada'!K190-'Info Entrada'!J190+'Info Entrada'!K202-'Info Entrada'!J202+'Info Entrada'!K206-'Info Entrada'!J206)</f>
        <v>0</v>
      </c>
      <c r="T44" s="1711">
        <f>-('Info Entrada'!L187-'Info Entrada'!K187+'Info Entrada'!L190-'Info Entrada'!K190+'Info Entrada'!L202-'Info Entrada'!K202+'Info Entrada'!L206-'Info Entrada'!K206)</f>
        <v>0</v>
      </c>
      <c r="U44" s="1714">
        <f>-('Info Entrada'!M187-'Info Entrada'!L187+'Info Entrada'!M190-'Info Entrada'!L190+'Info Entrada'!M202-'Info Entrada'!L202+'Info Entrada'!M206-'Info Entrada'!L206)</f>
        <v>0</v>
      </c>
      <c r="V44" s="1715">
        <f>-('Info Entrada'!N187-'Info Entrada'!M187+'Info Entrada'!N190-'Info Entrada'!M190+'Info Entrada'!N202-'Info Entrada'!M202+'Info Entrada'!N206-'Info Entrada'!M206)</f>
        <v>0</v>
      </c>
      <c r="W44" s="1711">
        <f>-('Info Entrada'!O187-'Info Entrada'!N187+'Info Entrada'!O190-'Info Entrada'!N190+'Info Entrada'!O202-'Info Entrada'!N202+'Info Entrada'!O206-'Info Entrada'!N206)</f>
        <v>0</v>
      </c>
      <c r="X44" s="1711">
        <f>-('Info Entrada'!P187-'Info Entrada'!O187+'Info Entrada'!P190-'Info Entrada'!O190+'Info Entrada'!P202-'Info Entrada'!O202+'Info Entrada'!P206-'Info Entrada'!O206)</f>
        <v>0</v>
      </c>
      <c r="Y44" s="1711">
        <f>-('Info Entrada'!Q187-'Info Entrada'!P187+'Info Entrada'!Q190-'Info Entrada'!P190+'Info Entrada'!Q202-'Info Entrada'!P202+'Info Entrada'!Q206-'Info Entrada'!P206)</f>
        <v>0</v>
      </c>
      <c r="Z44" s="1711">
        <f>-('Info Entrada'!R187-'Info Entrada'!Q187+'Info Entrada'!R190-'Info Entrada'!Q190+'Info Entrada'!R202-'Info Entrada'!Q202+'Info Entrada'!R206-'Info Entrada'!Q206)</f>
        <v>0</v>
      </c>
      <c r="AA44" s="1711">
        <f>-('Info Entrada'!S187-'Info Entrada'!R187+'Info Entrada'!S190-'Info Entrada'!R190+'Info Entrada'!S202-'Info Entrada'!R202+'Info Entrada'!S206-'Info Entrada'!R206)</f>
        <v>0</v>
      </c>
      <c r="AB44" s="1711">
        <f>-('Info Entrada'!T187-'Info Entrada'!S187+'Info Entrada'!T190-'Info Entrada'!S190+'Info Entrada'!T202-'Info Entrada'!S202+'Info Entrada'!T206-'Info Entrada'!S206)</f>
        <v>0</v>
      </c>
      <c r="AC44" s="1711">
        <f>-('Info Entrada'!U187-'Info Entrada'!T187+'Info Entrada'!U190-'Info Entrada'!T190+'Info Entrada'!U202-'Info Entrada'!T202+'Info Entrada'!U206-'Info Entrada'!T206)</f>
        <v>0</v>
      </c>
      <c r="AD44" s="1711">
        <f>-('Info Entrada'!V187-'Info Entrada'!U187+'Info Entrada'!V190-'Info Entrada'!U190+'Info Entrada'!V202-'Info Entrada'!U202+'Info Entrada'!V206-'Info Entrada'!U206)</f>
        <v>0</v>
      </c>
      <c r="AE44" s="1711">
        <f>-('Info Entrada'!W187-'Info Entrada'!V187+'Info Entrada'!W190-'Info Entrada'!V190+'Info Entrada'!W202-'Info Entrada'!V202+'Info Entrada'!W206-'Info Entrada'!V206)</f>
        <v>0</v>
      </c>
      <c r="AF44" s="1771"/>
      <c r="AG44" s="1711">
        <f>-('Info Entrada'!F187-'Info Entrada'!D187+'Info Entrada'!F190-'Info Entrada'!D190+'Info Entrada'!F202-'Info Entrada'!D202+'Info Entrada'!F206-'Info Entrada'!D206)</f>
        <v>0</v>
      </c>
      <c r="AH44" s="1712">
        <f>-('Info Entrada'!G187-'Info Entrada'!E187+'Info Entrada'!G190-'Info Entrada'!E190+'Info Entrada'!G202-'Info Entrada'!E202+'Info Entrada'!G206-'Info Entrada'!E206)</f>
        <v>0</v>
      </c>
      <c r="AI44" s="1771"/>
      <c r="AJ44" s="1771"/>
      <c r="AK44" s="1771"/>
    </row>
    <row r="45" spans="2:37" s="1699" customFormat="1" x14ac:dyDescent="0.15">
      <c r="B45" s="2029"/>
      <c r="C45" s="2030"/>
      <c r="D45" s="2028" t="e">
        <f t="shared" si="5"/>
        <v>#DIV/0!</v>
      </c>
      <c r="E45" s="2035"/>
      <c r="F45" s="2036"/>
      <c r="G45" s="285"/>
      <c r="H45" s="2009"/>
      <c r="I45" s="2009"/>
      <c r="J45" s="2009"/>
      <c r="L45" s="2521" t="s">
        <v>546</v>
      </c>
      <c r="M45" s="2521">
        <v>0</v>
      </c>
      <c r="N45" s="1711">
        <f>'Info Entrada'!D221-'Info Entrada'!C221+'Info Entrada'!D224-'Info Entrada'!C224+'Info Entrada'!D225-'Info Entrada'!C225+'Info Entrada'!D230-'Info Entrada'!C230+'Info Entrada'!D233-'Info Entrada'!C233+'Info Entrada'!D234-'Info Entrada'!C234-'Info Entrada'!D137-'Info Entrada'!D100</f>
        <v>0</v>
      </c>
      <c r="O45" s="1711">
        <f>'Info Entrada'!E221-'Info Entrada'!D221+'Info Entrada'!E224-'Info Entrada'!D224+'Info Entrada'!E225-'Info Entrada'!D225+'Info Entrada'!E230-'Info Entrada'!D230+'Info Entrada'!E233-'Info Entrada'!D233+'Info Entrada'!E234-'Info Entrada'!D234-'Info Entrada'!E137-'Info Entrada'!E100</f>
        <v>0</v>
      </c>
      <c r="P45" s="1713">
        <f>'Info Entrada'!H221-'Info Entrada'!E221+'Info Entrada'!H224-'Info Entrada'!E224+'Info Entrada'!H225-'Info Entrada'!E225+'Info Entrada'!H230-'Info Entrada'!E230+'Info Entrada'!H233-'Info Entrada'!E233+'Info Entrada'!H234-'Info Entrada'!E234-'Info Entrada'!H137-'Info Entrada'!H100</f>
        <v>0</v>
      </c>
      <c r="Q45" s="1711">
        <f>'Info Entrada'!I221-'Info Entrada'!H221+'Info Entrada'!I224-'Info Entrada'!H224+'Info Entrada'!I225-'Info Entrada'!H225+'Info Entrada'!I230-'Info Entrada'!H230+'Info Entrada'!I233-'Info Entrada'!H233+'Info Entrada'!I234-'Info Entrada'!H234-'Info Entrada'!I137-'Info Entrada'!I100</f>
        <v>0</v>
      </c>
      <c r="R45" s="1711">
        <f>'Info Entrada'!J221-'Info Entrada'!I221+'Info Entrada'!J224-'Info Entrada'!I224+'Info Entrada'!J225-'Info Entrada'!I225+'Info Entrada'!J230-'Info Entrada'!I230+'Info Entrada'!J233-'Info Entrada'!I233+'Info Entrada'!J234-'Info Entrada'!I234-'Info Entrada'!J137-'Info Entrada'!J100</f>
        <v>0</v>
      </c>
      <c r="S45" s="1711">
        <f>'Info Entrada'!K221-'Info Entrada'!J221+'Info Entrada'!K224-'Info Entrada'!J224+'Info Entrada'!K225-'Info Entrada'!J225+'Info Entrada'!K230-'Info Entrada'!J230+'Info Entrada'!K233-'Info Entrada'!J233+'Info Entrada'!K234-'Info Entrada'!J234-'Info Entrada'!K137-'Info Entrada'!K100</f>
        <v>0</v>
      </c>
      <c r="T45" s="1711">
        <f>'Info Entrada'!L221-'Info Entrada'!K221+'Info Entrada'!L224-'Info Entrada'!K224+'Info Entrada'!L225-'Info Entrada'!K225+'Info Entrada'!L230-'Info Entrada'!K230+'Info Entrada'!L233-'Info Entrada'!K233+'Info Entrada'!L234-'Info Entrada'!K234-'Info Entrada'!L137-'Info Entrada'!L100</f>
        <v>0</v>
      </c>
      <c r="U45" s="1714">
        <f>'Info Entrada'!M221-'Info Entrada'!L221+'Info Entrada'!M224-'Info Entrada'!L224+'Info Entrada'!M225-'Info Entrada'!L225+'Info Entrada'!M230-'Info Entrada'!L230+'Info Entrada'!M233-'Info Entrada'!L233+'Info Entrada'!M234-'Info Entrada'!L234-'Info Entrada'!M137-'Info Entrada'!M100</f>
        <v>0</v>
      </c>
      <c r="V45" s="1715">
        <f>'Info Entrada'!N221-'Info Entrada'!M221+'Info Entrada'!N224-'Info Entrada'!M224+'Info Entrada'!N225-'Info Entrada'!M225+'Info Entrada'!N230-'Info Entrada'!M230+'Info Entrada'!N233-'Info Entrada'!M233+'Info Entrada'!N234-'Info Entrada'!M234-'Info Entrada'!N137-'Info Entrada'!N100</f>
        <v>0</v>
      </c>
      <c r="W45" s="1711">
        <f>'Info Entrada'!O221-'Info Entrada'!N221+'Info Entrada'!O224-'Info Entrada'!N224+'Info Entrada'!O225-'Info Entrada'!N225+'Info Entrada'!O230-'Info Entrada'!N230+'Info Entrada'!O233-'Info Entrada'!N233+'Info Entrada'!O234-'Info Entrada'!N234-'Info Entrada'!O137-'Info Entrada'!O100</f>
        <v>0</v>
      </c>
      <c r="X45" s="1711">
        <f>'Info Entrada'!P221-'Info Entrada'!O221+'Info Entrada'!P224-'Info Entrada'!O224+'Info Entrada'!P225-'Info Entrada'!O225+'Info Entrada'!P230-'Info Entrada'!O230+'Info Entrada'!P233-'Info Entrada'!O233+'Info Entrada'!P234-'Info Entrada'!O234-'Info Entrada'!P137-'Info Entrada'!P100</f>
        <v>0</v>
      </c>
      <c r="Y45" s="1711">
        <f>'Info Entrada'!Q221-'Info Entrada'!P221+'Info Entrada'!Q224-'Info Entrada'!P224+'Info Entrada'!Q225-'Info Entrada'!P225+'Info Entrada'!Q230-'Info Entrada'!P230+'Info Entrada'!Q233-'Info Entrada'!P233+'Info Entrada'!Q234-'Info Entrada'!P234-'Info Entrada'!Q137-'Info Entrada'!Q100</f>
        <v>0</v>
      </c>
      <c r="Z45" s="1711">
        <f>'Info Entrada'!R221-'Info Entrada'!Q221+'Info Entrada'!R224-'Info Entrada'!Q224+'Info Entrada'!R225-'Info Entrada'!Q225+'Info Entrada'!R230-'Info Entrada'!Q230+'Info Entrada'!R233-'Info Entrada'!Q233+'Info Entrada'!R234-'Info Entrada'!Q234-'Info Entrada'!R137-'Info Entrada'!R100</f>
        <v>0</v>
      </c>
      <c r="AA45" s="1711">
        <f>'Info Entrada'!S221-'Info Entrada'!R221+'Info Entrada'!S224-'Info Entrada'!R224+'Info Entrada'!S225-'Info Entrada'!R225+'Info Entrada'!S230-'Info Entrada'!R230+'Info Entrada'!S233-'Info Entrada'!R233+'Info Entrada'!S234-'Info Entrada'!R234-'Info Entrada'!S137-'Info Entrada'!S100</f>
        <v>0</v>
      </c>
      <c r="AB45" s="1711">
        <f>'Info Entrada'!T221-'Info Entrada'!S221+'Info Entrada'!T224-'Info Entrada'!S224+'Info Entrada'!T225-'Info Entrada'!S225+'Info Entrada'!T230-'Info Entrada'!S230+'Info Entrada'!T233-'Info Entrada'!S233+'Info Entrada'!T234-'Info Entrada'!S234-'Info Entrada'!T137-'Info Entrada'!T100</f>
        <v>0</v>
      </c>
      <c r="AC45" s="1711">
        <f>'Info Entrada'!U221-'Info Entrada'!T221+'Info Entrada'!U224-'Info Entrada'!T224+'Info Entrada'!U225-'Info Entrada'!T225+'Info Entrada'!U230-'Info Entrada'!T230+'Info Entrada'!U233-'Info Entrada'!T233+'Info Entrada'!U234-'Info Entrada'!T234-'Info Entrada'!U137-'Info Entrada'!U100</f>
        <v>0</v>
      </c>
      <c r="AD45" s="1711">
        <f>'Info Entrada'!V221-'Info Entrada'!U221+'Info Entrada'!V224-'Info Entrada'!U224+'Info Entrada'!V225-'Info Entrada'!U225+'Info Entrada'!V230-'Info Entrada'!U230+'Info Entrada'!V233-'Info Entrada'!U233+'Info Entrada'!V234-'Info Entrada'!U234-'Info Entrada'!V137-'Info Entrada'!V100</f>
        <v>0</v>
      </c>
      <c r="AE45" s="1711">
        <f>'Info Entrada'!W221-'Info Entrada'!V221+'Info Entrada'!W224-'Info Entrada'!V224+'Info Entrada'!W225-'Info Entrada'!V225+'Info Entrada'!W230-'Info Entrada'!V230+'Info Entrada'!W233-'Info Entrada'!V233+'Info Entrada'!W234-'Info Entrada'!V234-'Info Entrada'!W137-'Info Entrada'!W100</f>
        <v>0</v>
      </c>
      <c r="AF45" s="1771"/>
      <c r="AG45" s="1711">
        <f>'Info Entrada'!F221-'Info Entrada'!D221+'Info Entrada'!F224-'Info Entrada'!D224+'Info Entrada'!F225-'Info Entrada'!D225+'Info Entrada'!F230-'Info Entrada'!D230+'Info Entrada'!F233-'Info Entrada'!D233+'Info Entrada'!F234-'Info Entrada'!D234-'Info Entrada'!F137-'Info Entrada'!F100</f>
        <v>0</v>
      </c>
      <c r="AH45" s="1712">
        <f>'Info Entrada'!G221-'Info Entrada'!E221+'Info Entrada'!G224-'Info Entrada'!E224+'Info Entrada'!G225-'Info Entrada'!E225+'Info Entrada'!G230-'Info Entrada'!E230+'Info Entrada'!G233-'Info Entrada'!E233+'Info Entrada'!G234-'Info Entrada'!E234-'Info Entrada'!G137-'Info Entrada'!G100</f>
        <v>0</v>
      </c>
      <c r="AI45" s="1771"/>
      <c r="AJ45" s="1771"/>
      <c r="AK45" s="1771"/>
    </row>
    <row r="46" spans="2:37" s="1699" customFormat="1" ht="12" thickBot="1" x14ac:dyDescent="0.2">
      <c r="B46" s="2029"/>
      <c r="C46" s="2030"/>
      <c r="D46" s="2028" t="e">
        <f t="shared" si="5"/>
        <v>#DIV/0!</v>
      </c>
      <c r="E46" s="2035"/>
      <c r="F46" s="2009"/>
      <c r="G46" s="2009"/>
      <c r="H46" s="2009"/>
      <c r="I46" s="2009"/>
      <c r="J46" s="2009"/>
      <c r="L46" s="2521" t="s">
        <v>1301</v>
      </c>
      <c r="M46" s="2521">
        <v>0</v>
      </c>
      <c r="N46" s="1711">
        <f ca="1">('Info Entrada'!D242+'Info Entrada'!D243+'Info Entrada'!D246)-('Info Entrada'!C242+'Info Entrada'!C243+'Info Entrada'!C246)-'Info Entrada'!D398+'Info Entrada'!D403+'Info Entrada'!D140</f>
        <v>0</v>
      </c>
      <c r="O46" s="1711">
        <f ca="1">('Info Entrada'!E242+'Info Entrada'!E243+'Info Entrada'!E246)-('Info Entrada'!D242+'Info Entrada'!D243+'Info Entrada'!D246)-'Info Entrada'!E398+'Info Entrada'!E403+'Info Entrada'!E140</f>
        <v>0</v>
      </c>
      <c r="P46" s="1713">
        <f ca="1">('Info Entrada'!H242+'Info Entrada'!H243+'Info Entrada'!H246)-('Info Entrada'!E242+'Info Entrada'!E243+'Info Entrada'!E246)-'Info Entrada'!H398+'Info Entrada'!H403+'Info Entrada'!H140</f>
        <v>0</v>
      </c>
      <c r="Q46" s="1711">
        <f ca="1">('Info Entrada'!I242+'Info Entrada'!I243+'Info Entrada'!I246)-('Info Entrada'!H242+'Info Entrada'!H243+'Info Entrada'!H246)-'Info Entrada'!I398+'Info Entrada'!I403+'Info Entrada'!I140</f>
        <v>0</v>
      </c>
      <c r="R46" s="1711">
        <f ca="1">('Info Entrada'!J242+'Info Entrada'!J243+'Info Entrada'!J246)-('Info Entrada'!I242+'Info Entrada'!I243+'Info Entrada'!I246)-'Info Entrada'!J398+'Info Entrada'!J403+'Info Entrada'!J140</f>
        <v>0</v>
      </c>
      <c r="S46" s="1711">
        <f ca="1">('Info Entrada'!K242+'Info Entrada'!K243+'Info Entrada'!K246)-('Info Entrada'!J242+'Info Entrada'!J243+'Info Entrada'!J246)-'Info Entrada'!K398+'Info Entrada'!K403+'Info Entrada'!K140</f>
        <v>0</v>
      </c>
      <c r="T46" s="1711">
        <f ca="1">('Info Entrada'!L242+'Info Entrada'!L243+'Info Entrada'!L246)-('Info Entrada'!K242+'Info Entrada'!K243+'Info Entrada'!K246)-'Info Entrada'!L398+'Info Entrada'!L403+'Info Entrada'!L140</f>
        <v>0</v>
      </c>
      <c r="U46" s="1714">
        <f ca="1">('Info Entrada'!M242+'Info Entrada'!M243+'Info Entrada'!M246)-('Info Entrada'!L242+'Info Entrada'!L243+'Info Entrada'!L246)-'Info Entrada'!M398+'Info Entrada'!M403+'Info Entrada'!M140</f>
        <v>0</v>
      </c>
      <c r="V46" s="1715">
        <f ca="1">('Info Entrada'!N242+'Info Entrada'!N243+'Info Entrada'!N246)-('Info Entrada'!M242+'Info Entrada'!M243+'Info Entrada'!M246)-'Info Entrada'!N398+'Info Entrada'!N403+'Info Entrada'!N140</f>
        <v>0</v>
      </c>
      <c r="W46" s="1711">
        <f ca="1">('Info Entrada'!O242+'Info Entrada'!O243+'Info Entrada'!O246)-('Info Entrada'!N242+'Info Entrada'!N243+'Info Entrada'!N246)-'Info Entrada'!O398+'Info Entrada'!O403+'Info Entrada'!O140</f>
        <v>0</v>
      </c>
      <c r="X46" s="1711">
        <f ca="1">('Info Entrada'!P242+'Info Entrada'!P243+'Info Entrada'!P246)-('Info Entrada'!O242+'Info Entrada'!O243+'Info Entrada'!O246)-'Info Entrada'!P398+'Info Entrada'!P403+'Info Entrada'!P140</f>
        <v>0</v>
      </c>
      <c r="Y46" s="1711">
        <f ca="1">('Info Entrada'!Q242+'Info Entrada'!Q243+'Info Entrada'!Q246)-('Info Entrada'!P242+'Info Entrada'!P243+'Info Entrada'!P246)-'Info Entrada'!Q398+'Info Entrada'!Q403+'Info Entrada'!Q140</f>
        <v>0</v>
      </c>
      <c r="Z46" s="1711">
        <f ca="1">('Info Entrada'!R242+'Info Entrada'!R243+'Info Entrada'!R246)-('Info Entrada'!Q242+'Info Entrada'!Q243+'Info Entrada'!Q246)-'Info Entrada'!R398+'Info Entrada'!R403+'Info Entrada'!R140</f>
        <v>0</v>
      </c>
      <c r="AA46" s="1711">
        <f ca="1">('Info Entrada'!S242+'Info Entrada'!S243+'Info Entrada'!S246)-('Info Entrada'!R242+'Info Entrada'!R243+'Info Entrada'!R246)-'Info Entrada'!S398+'Info Entrada'!S403+'Info Entrada'!S140</f>
        <v>0</v>
      </c>
      <c r="AB46" s="1711">
        <f ca="1">('Info Entrada'!T242+'Info Entrada'!T243+'Info Entrada'!T246)-('Info Entrada'!S242+'Info Entrada'!S243+'Info Entrada'!S246)-'Info Entrada'!T398+'Info Entrada'!T403+'Info Entrada'!T140</f>
        <v>0</v>
      </c>
      <c r="AC46" s="1711">
        <f ca="1">('Info Entrada'!U242+'Info Entrada'!U243+'Info Entrada'!U246)-('Info Entrada'!T242+'Info Entrada'!T243+'Info Entrada'!T246)-'Info Entrada'!U398+'Info Entrada'!U403+'Info Entrada'!U140</f>
        <v>0</v>
      </c>
      <c r="AD46" s="1711">
        <f ca="1">('Info Entrada'!V242+'Info Entrada'!V243+'Info Entrada'!V246)-('Info Entrada'!U242+'Info Entrada'!U243+'Info Entrada'!U246)-'Info Entrada'!V398+'Info Entrada'!V403+'Info Entrada'!V140</f>
        <v>0</v>
      </c>
      <c r="AE46" s="1711">
        <f ca="1">('Info Entrada'!W242+'Info Entrada'!W243+'Info Entrada'!W246)-('Info Entrada'!V242+'Info Entrada'!V243+'Info Entrada'!V246)-'Info Entrada'!W398+'Info Entrada'!W403+'Info Entrada'!W140</f>
        <v>0</v>
      </c>
      <c r="AF46" s="1771"/>
      <c r="AG46" s="1711">
        <f ca="1">('Info Entrada'!F242+'Info Entrada'!F243+'Info Entrada'!F246)-('Info Entrada'!D242+'Info Entrada'!D243+'Info Entrada'!D246)-'Info Entrada'!F398+'Info Entrada'!F403+'Info Entrada'!F140</f>
        <v>0</v>
      </c>
      <c r="AH46" s="1712">
        <f ca="1">('Info Entrada'!G242+'Info Entrada'!G243+'Info Entrada'!G246)-('Info Entrada'!E242+'Info Entrada'!E243+'Info Entrada'!E246)-'Info Entrada'!G398+'Info Entrada'!G403+'Info Entrada'!G140</f>
        <v>0</v>
      </c>
      <c r="AI46" s="1771"/>
      <c r="AJ46" s="1771"/>
      <c r="AK46" s="1771"/>
    </row>
    <row r="47" spans="2:37" s="1699" customFormat="1" ht="12" thickBot="1" x14ac:dyDescent="0.2">
      <c r="B47" s="2037" t="s">
        <v>203</v>
      </c>
      <c r="C47" s="2038">
        <f>SUM(C36:C46)</f>
        <v>0</v>
      </c>
      <c r="D47" s="2039" t="e">
        <f>SUM(D36:D46)</f>
        <v>#DIV/0!</v>
      </c>
      <c r="E47" s="2035"/>
      <c r="F47" s="2009"/>
      <c r="G47" s="2009"/>
      <c r="H47" s="2009"/>
      <c r="I47" s="2009"/>
      <c r="J47" s="2009"/>
      <c r="L47" s="2519" t="s">
        <v>459</v>
      </c>
      <c r="M47" s="2519">
        <v>0</v>
      </c>
      <c r="N47" s="1711">
        <f ca="1">-'Info Entrada'!D337-'Info Entrada'!D166-'Info Entrada'!D167</f>
        <v>0</v>
      </c>
      <c r="O47" s="1711">
        <f ca="1">-'Info Entrada'!E337-'Info Entrada'!E166-'Info Entrada'!E167</f>
        <v>0</v>
      </c>
      <c r="P47" s="1713">
        <f ca="1">-'Info Entrada'!H337-'Info Entrada'!H166-'Info Entrada'!H167</f>
        <v>0</v>
      </c>
      <c r="Q47" s="1711">
        <f ca="1">-'Info Entrada'!I337-'Info Entrada'!I166-'Info Entrada'!I167</f>
        <v>0</v>
      </c>
      <c r="R47" s="1711">
        <f ca="1">-'Info Entrada'!J337-'Info Entrada'!J166-'Info Entrada'!J167</f>
        <v>0</v>
      </c>
      <c r="S47" s="1711">
        <f ca="1">-'Info Entrada'!K337-'Info Entrada'!K166-'Info Entrada'!K167</f>
        <v>0</v>
      </c>
      <c r="T47" s="1711">
        <f ca="1">-'Info Entrada'!L337-'Info Entrada'!L166-'Info Entrada'!L167</f>
        <v>0</v>
      </c>
      <c r="U47" s="1714">
        <f ca="1">-'Info Entrada'!M337-'Info Entrada'!M166-'Info Entrada'!M167</f>
        <v>0</v>
      </c>
      <c r="V47" s="1715">
        <f ca="1">-'Info Entrada'!N337-'Info Entrada'!N166-'Info Entrada'!N167</f>
        <v>0</v>
      </c>
      <c r="W47" s="1711">
        <f ca="1">-'Info Entrada'!O337-'Info Entrada'!O166-'Info Entrada'!O167</f>
        <v>0</v>
      </c>
      <c r="X47" s="1711">
        <f ca="1">-'Info Entrada'!P337-'Info Entrada'!P166-'Info Entrada'!P167</f>
        <v>0</v>
      </c>
      <c r="Y47" s="1711">
        <f ca="1">-'Info Entrada'!Q337-'Info Entrada'!Q166-'Info Entrada'!Q167</f>
        <v>0</v>
      </c>
      <c r="Z47" s="1711">
        <f ca="1">-'Info Entrada'!R337-'Info Entrada'!R166-'Info Entrada'!R167</f>
        <v>0</v>
      </c>
      <c r="AA47" s="1711">
        <f ca="1">-'Info Entrada'!S337-'Info Entrada'!S166-'Info Entrada'!S167</f>
        <v>0</v>
      </c>
      <c r="AB47" s="1711">
        <f ca="1">-'Info Entrada'!T337-'Info Entrada'!T166-'Info Entrada'!T167</f>
        <v>0</v>
      </c>
      <c r="AC47" s="1711">
        <f ca="1">-'Info Entrada'!U337-'Info Entrada'!U166-'Info Entrada'!U167</f>
        <v>0</v>
      </c>
      <c r="AD47" s="1711">
        <f ca="1">-'Info Entrada'!V337-'Info Entrada'!V166-'Info Entrada'!V167</f>
        <v>0</v>
      </c>
      <c r="AE47" s="1711">
        <f ca="1">-'Info Entrada'!W337-'Info Entrada'!W166-'Info Entrada'!W167</f>
        <v>0</v>
      </c>
      <c r="AF47" s="1771"/>
      <c r="AG47" s="1711">
        <f ca="1">-'Info Entrada'!F337-'Info Entrada'!F166-'Info Entrada'!F167</f>
        <v>0</v>
      </c>
      <c r="AH47" s="1712">
        <f ca="1">-'Info Entrada'!G337-'Info Entrada'!G166-'Info Entrada'!G167</f>
        <v>0</v>
      </c>
      <c r="AI47" s="1771"/>
      <c r="AJ47" s="1771"/>
      <c r="AK47" s="1771"/>
    </row>
    <row r="48" spans="2:37" s="1699" customFormat="1" ht="12" thickBot="1" x14ac:dyDescent="0.2">
      <c r="B48" s="2009"/>
      <c r="C48" s="2009"/>
      <c r="D48" s="2009"/>
      <c r="E48" s="2035"/>
      <c r="F48" s="2009"/>
      <c r="G48" s="2009"/>
      <c r="H48" s="2009"/>
      <c r="I48" s="2009"/>
      <c r="J48" s="2009"/>
      <c r="L48" s="2524" t="s">
        <v>498</v>
      </c>
      <c r="M48" s="1726">
        <f>+M52-M49-M50-M51</f>
        <v>0</v>
      </c>
      <c r="N48" s="1726">
        <f>+N52-N49-N50-N51</f>
        <v>0</v>
      </c>
      <c r="O48" s="1726">
        <f t="shared" ref="O48:Q48" si="6">+O52-O49-O50-O51</f>
        <v>0</v>
      </c>
      <c r="P48" s="1728">
        <f t="shared" ca="1" si="6"/>
        <v>0</v>
      </c>
      <c r="Q48" s="1726">
        <f t="shared" ca="1" si="6"/>
        <v>0</v>
      </c>
      <c r="R48" s="1726">
        <f t="shared" ref="R48:AE48" ca="1" si="7">+R52-R49-R50-R51</f>
        <v>0</v>
      </c>
      <c r="S48" s="1726">
        <f t="shared" ca="1" si="7"/>
        <v>0</v>
      </c>
      <c r="T48" s="1726">
        <f t="shared" ca="1" si="7"/>
        <v>0</v>
      </c>
      <c r="U48" s="1729">
        <f t="shared" ca="1" si="7"/>
        <v>0</v>
      </c>
      <c r="V48" s="1730">
        <f t="shared" ca="1" si="7"/>
        <v>0</v>
      </c>
      <c r="W48" s="1726">
        <f t="shared" ca="1" si="7"/>
        <v>0</v>
      </c>
      <c r="X48" s="1726">
        <f t="shared" ca="1" si="7"/>
        <v>0</v>
      </c>
      <c r="Y48" s="1726">
        <f t="shared" ca="1" si="7"/>
        <v>0</v>
      </c>
      <c r="Z48" s="1726">
        <f t="shared" ca="1" si="7"/>
        <v>0</v>
      </c>
      <c r="AA48" s="1726">
        <f t="shared" ca="1" si="7"/>
        <v>0</v>
      </c>
      <c r="AB48" s="1726">
        <f t="shared" ca="1" si="7"/>
        <v>0</v>
      </c>
      <c r="AC48" s="1726">
        <f t="shared" ca="1" si="7"/>
        <v>0</v>
      </c>
      <c r="AD48" s="1726">
        <f t="shared" ca="1" si="7"/>
        <v>0</v>
      </c>
      <c r="AE48" s="1726">
        <f t="shared" ca="1" si="7"/>
        <v>0</v>
      </c>
      <c r="AF48" s="1771"/>
      <c r="AG48" s="1726">
        <f>+AG52-AG49-AG50-AG51</f>
        <v>0</v>
      </c>
      <c r="AH48" s="1727">
        <f>+AH52-AH49-AH50-AH51</f>
        <v>0</v>
      </c>
      <c r="AI48" s="1771"/>
      <c r="AJ48" s="1771"/>
      <c r="AK48" s="1771"/>
    </row>
    <row r="49" spans="2:37" s="1699" customFormat="1" ht="12.75" thickBot="1" x14ac:dyDescent="0.25">
      <c r="B49" s="2020" t="s">
        <v>495</v>
      </c>
      <c r="C49" s="2040" t="e">
        <f>+#REF!</f>
        <v>#REF!</v>
      </c>
      <c r="D49" s="2021"/>
      <c r="E49" s="2016"/>
      <c r="F49" s="2041"/>
      <c r="G49" s="2041" t="s">
        <v>1788</v>
      </c>
      <c r="H49" s="2041">
        <f>+AR!B5</f>
        <v>0</v>
      </c>
      <c r="I49" s="2009"/>
      <c r="J49" s="2009"/>
      <c r="L49" s="2518" t="s">
        <v>740</v>
      </c>
      <c r="M49" s="2518">
        <v>0</v>
      </c>
      <c r="N49" s="1706">
        <f>('Info Entrada'!D228+'Info Entrada'!D229)-('Info Entrada'!C228+'Info Entrada'!C229)+'Info Entrada'!D235-'Info Entrada'!C235+'Info Entrada'!D217-'Info Entrada'!C217</f>
        <v>0</v>
      </c>
      <c r="O49" s="1706">
        <f>('Info Entrada'!E228+'Info Entrada'!E229)-('Info Entrada'!D228+'Info Entrada'!D229)+'Info Entrada'!E235-'Info Entrada'!D235+'Info Entrada'!E217-'Info Entrada'!D217</f>
        <v>0</v>
      </c>
      <c r="P49" s="1708">
        <f ca="1">('Info Entrada'!H228+'Info Entrada'!H229)-('Info Entrada'!E228+'Info Entrada'!E229)+'Info Entrada'!H235-'Info Entrada'!E235+'Info Entrada'!H217-'Info Entrada'!E217</f>
        <v>0</v>
      </c>
      <c r="Q49" s="1706">
        <f ca="1">('Info Entrada'!I228+'Info Entrada'!I229)-('Info Entrada'!H228+'Info Entrada'!H229)+'Info Entrada'!I235-'Info Entrada'!H235+'Info Entrada'!I217-'Info Entrada'!H217</f>
        <v>0</v>
      </c>
      <c r="R49" s="1706">
        <f ca="1">('Info Entrada'!J228+'Info Entrada'!J229)-('Info Entrada'!I228+'Info Entrada'!I229)+'Info Entrada'!J235-'Info Entrada'!I235+'Info Entrada'!J217-'Info Entrada'!I217</f>
        <v>0</v>
      </c>
      <c r="S49" s="1706">
        <f ca="1">('Info Entrada'!K228+'Info Entrada'!K229)-('Info Entrada'!J228+'Info Entrada'!J229)+'Info Entrada'!K235-'Info Entrada'!J235+'Info Entrada'!K217-'Info Entrada'!J217</f>
        <v>0</v>
      </c>
      <c r="T49" s="1706">
        <f ca="1">('Info Entrada'!L228+'Info Entrada'!L229)-('Info Entrada'!K228+'Info Entrada'!K229)+'Info Entrada'!L235-'Info Entrada'!K235+'Info Entrada'!L217-'Info Entrada'!K217</f>
        <v>0</v>
      </c>
      <c r="U49" s="1709">
        <f ca="1">('Info Entrada'!M228+'Info Entrada'!M229)-('Info Entrada'!L228+'Info Entrada'!L229)+'Info Entrada'!M235-'Info Entrada'!L235+'Info Entrada'!M217-'Info Entrada'!L217</f>
        <v>0</v>
      </c>
      <c r="V49" s="1710">
        <f ca="1">('Info Entrada'!N228+'Info Entrada'!N229)-('Info Entrada'!M228+'Info Entrada'!M229)+'Info Entrada'!N235-'Info Entrada'!M235+'Info Entrada'!N217-'Info Entrada'!M217</f>
        <v>0</v>
      </c>
      <c r="W49" s="1706">
        <f ca="1">('Info Entrada'!O228+'Info Entrada'!O229)-('Info Entrada'!N228+'Info Entrada'!N229)+'Info Entrada'!O235-'Info Entrada'!N235+'Info Entrada'!O217-'Info Entrada'!N217</f>
        <v>0</v>
      </c>
      <c r="X49" s="1706">
        <f ca="1">('Info Entrada'!P228+'Info Entrada'!P229)-('Info Entrada'!O228+'Info Entrada'!O229)+'Info Entrada'!P235-'Info Entrada'!O235+'Info Entrada'!P217-'Info Entrada'!O217</f>
        <v>0</v>
      </c>
      <c r="Y49" s="1706">
        <f ca="1">('Info Entrada'!Q228+'Info Entrada'!Q229)-('Info Entrada'!P228+'Info Entrada'!P229)+'Info Entrada'!Q235-'Info Entrada'!P235+'Info Entrada'!Q217-'Info Entrada'!P217</f>
        <v>0</v>
      </c>
      <c r="Z49" s="1706">
        <f ca="1">('Info Entrada'!R228+'Info Entrada'!R229)-('Info Entrada'!Q228+'Info Entrada'!Q229)+'Info Entrada'!R235-'Info Entrada'!Q235+'Info Entrada'!R217-'Info Entrada'!Q217</f>
        <v>0</v>
      </c>
      <c r="AA49" s="1706">
        <f ca="1">('Info Entrada'!S228+'Info Entrada'!S229)-('Info Entrada'!R228+'Info Entrada'!R229)+'Info Entrada'!S235-'Info Entrada'!R235+'Info Entrada'!S217-'Info Entrada'!R217</f>
        <v>0</v>
      </c>
      <c r="AB49" s="1706">
        <f ca="1">('Info Entrada'!T228+'Info Entrada'!T229)-('Info Entrada'!S228+'Info Entrada'!S229)+'Info Entrada'!T235-'Info Entrada'!S235+'Info Entrada'!T217-'Info Entrada'!S217</f>
        <v>0</v>
      </c>
      <c r="AC49" s="1706">
        <f ca="1">('Info Entrada'!U228+'Info Entrada'!U229)-('Info Entrada'!T228+'Info Entrada'!T229)+'Info Entrada'!U235-'Info Entrada'!T235+'Info Entrada'!U217-'Info Entrada'!T217</f>
        <v>0</v>
      </c>
      <c r="AD49" s="1706">
        <f ca="1">('Info Entrada'!V228+'Info Entrada'!V229)-('Info Entrada'!U228+'Info Entrada'!U229)+'Info Entrada'!V235-'Info Entrada'!U235+'Info Entrada'!V217-'Info Entrada'!U217</f>
        <v>0</v>
      </c>
      <c r="AE49" s="1706">
        <f ca="1">('Info Entrada'!W228+'Info Entrada'!W229)-('Info Entrada'!V228+'Info Entrada'!V229)+'Info Entrada'!W235-'Info Entrada'!V235+'Info Entrada'!W217-'Info Entrada'!V217</f>
        <v>0</v>
      </c>
      <c r="AF49" s="1771"/>
      <c r="AG49" s="1706">
        <f>('Info Entrada'!F228+'Info Entrada'!F229)-('Info Entrada'!D228+'Info Entrada'!D229)+'Info Entrada'!F235-'Info Entrada'!D235+'Info Entrada'!F217-'Info Entrada'!D217</f>
        <v>0</v>
      </c>
      <c r="AH49" s="1707">
        <f>('Info Entrada'!G228+'Info Entrada'!G229)-('Info Entrada'!E228+'Info Entrada'!E229)+'Info Entrada'!G235-'Info Entrada'!E235+'Info Entrada'!G217-'Info Entrada'!E217</f>
        <v>0</v>
      </c>
      <c r="AI49" s="1771"/>
      <c r="AJ49" s="1771"/>
      <c r="AK49" s="1771"/>
    </row>
    <row r="50" spans="2:37" s="1699" customFormat="1" ht="12" x14ac:dyDescent="0.2">
      <c r="B50" s="2042" t="s">
        <v>485</v>
      </c>
      <c r="C50" s="2043" t="e">
        <f>+Indicadores!F31/#REF!</f>
        <v>#REF!</v>
      </c>
      <c r="D50" s="2044">
        <v>1.2</v>
      </c>
      <c r="E50" s="2045"/>
      <c r="F50" s="2046" t="s">
        <v>455</v>
      </c>
      <c r="G50" s="2047"/>
      <c r="H50" s="2048" t="e">
        <f>+AR!I23/AR!I21</f>
        <v>#DIV/0!</v>
      </c>
      <c r="I50" s="2009"/>
      <c r="J50" s="2009"/>
      <c r="L50" s="2525" t="s">
        <v>739</v>
      </c>
      <c r="M50" s="2525">
        <v>0</v>
      </c>
      <c r="N50" s="1731">
        <f>'Info Entrada'!D215+'Info Entrada'!D216-('Info Entrada'!C215+'Info Entrada'!C216)</f>
        <v>0</v>
      </c>
      <c r="O50" s="1731">
        <f>'Info Entrada'!E215+'Info Entrada'!E216-('Info Entrada'!D215+'Info Entrada'!D216)</f>
        <v>0</v>
      </c>
      <c r="P50" s="1733">
        <f ca="1">'Info Entrada'!H215+'Info Entrada'!H216-('Info Entrada'!E215+'Info Entrada'!E216)</f>
        <v>0</v>
      </c>
      <c r="Q50" s="1731">
        <f ca="1">'Info Entrada'!I215+'Info Entrada'!I216-('Info Entrada'!H215+'Info Entrada'!H216)</f>
        <v>0</v>
      </c>
      <c r="R50" s="1731">
        <f ca="1">'Info Entrada'!J215+'Info Entrada'!J216-('Info Entrada'!I215+'Info Entrada'!I216)</f>
        <v>0</v>
      </c>
      <c r="S50" s="1731">
        <f ca="1">'Info Entrada'!K215+'Info Entrada'!K216-('Info Entrada'!J215+'Info Entrada'!J216)</f>
        <v>0</v>
      </c>
      <c r="T50" s="1731">
        <f ca="1">'Info Entrada'!L215+'Info Entrada'!L216-('Info Entrada'!K215+'Info Entrada'!K216)</f>
        <v>0</v>
      </c>
      <c r="U50" s="1734">
        <f ca="1">'Info Entrada'!M215+'Info Entrada'!M216-('Info Entrada'!L215+'Info Entrada'!L216)</f>
        <v>0</v>
      </c>
      <c r="V50" s="1735">
        <f ca="1">'Info Entrada'!N215+'Info Entrada'!N216-('Info Entrada'!M215+'Info Entrada'!M216)</f>
        <v>0</v>
      </c>
      <c r="W50" s="1731">
        <f ca="1">'Info Entrada'!O215+'Info Entrada'!O216-('Info Entrada'!N215+'Info Entrada'!N216)</f>
        <v>0</v>
      </c>
      <c r="X50" s="1731">
        <f ca="1">'Info Entrada'!P215+'Info Entrada'!P216-('Info Entrada'!O215+'Info Entrada'!O216)</f>
        <v>0</v>
      </c>
      <c r="Y50" s="1731">
        <f ca="1">'Info Entrada'!Q215+'Info Entrada'!Q216-('Info Entrada'!P215+'Info Entrada'!P216)</f>
        <v>0</v>
      </c>
      <c r="Z50" s="1731">
        <f ca="1">'Info Entrada'!R215+'Info Entrada'!R216-('Info Entrada'!Q215+'Info Entrada'!Q216)</f>
        <v>0</v>
      </c>
      <c r="AA50" s="1731">
        <f ca="1">'Info Entrada'!S215+'Info Entrada'!S216-('Info Entrada'!R215+'Info Entrada'!R216)</f>
        <v>0</v>
      </c>
      <c r="AB50" s="1731">
        <f ca="1">'Info Entrada'!T215+'Info Entrada'!T216-('Info Entrada'!S215+'Info Entrada'!S216)</f>
        <v>0</v>
      </c>
      <c r="AC50" s="1731">
        <f ca="1">'Info Entrada'!U215+'Info Entrada'!U216-('Info Entrada'!T215+'Info Entrada'!T216)</f>
        <v>0</v>
      </c>
      <c r="AD50" s="1731">
        <f ca="1">'Info Entrada'!V215+'Info Entrada'!V216-('Info Entrada'!U215+'Info Entrada'!U216)</f>
        <v>0</v>
      </c>
      <c r="AE50" s="1731">
        <f ca="1">'Info Entrada'!W215+'Info Entrada'!W216-('Info Entrada'!V215+'Info Entrada'!V216)</f>
        <v>0</v>
      </c>
      <c r="AF50" s="1771"/>
      <c r="AG50" s="1731">
        <f>'Info Entrada'!F215+'Info Entrada'!F216-('Info Entrada'!D215+'Info Entrada'!D216)</f>
        <v>0</v>
      </c>
      <c r="AH50" s="1732">
        <f>'Info Entrada'!G215+'Info Entrada'!G216-('Info Entrada'!E215+'Info Entrada'!E216)</f>
        <v>0</v>
      </c>
      <c r="AI50" s="1771"/>
      <c r="AJ50" s="1771"/>
      <c r="AK50" s="1771"/>
    </row>
    <row r="51" spans="2:37" s="1699" customFormat="1" ht="12" x14ac:dyDescent="0.2">
      <c r="B51" s="2049" t="s">
        <v>486</v>
      </c>
      <c r="C51" s="2050" t="e">
        <f>(Pasivos!H41+Pasivos!H43+Pasivos!H45)/#REF!</f>
        <v>#REF!</v>
      </c>
      <c r="D51" s="2051">
        <v>1.4</v>
      </c>
      <c r="E51" s="2045"/>
      <c r="F51" s="2046" t="s">
        <v>1715</v>
      </c>
      <c r="G51" s="2047"/>
      <c r="H51" s="2048" t="e">
        <f>+AR!I22/AR!I21</f>
        <v>#DIV/0!</v>
      </c>
      <c r="I51" s="2009"/>
      <c r="J51" s="2009"/>
      <c r="L51" s="2525" t="s">
        <v>1180</v>
      </c>
      <c r="M51" s="2525">
        <v>0</v>
      </c>
      <c r="N51" s="1731">
        <v>0</v>
      </c>
      <c r="O51" s="1731">
        <v>0</v>
      </c>
      <c r="P51" s="1733">
        <v>0</v>
      </c>
      <c r="Q51" s="1731">
        <v>0</v>
      </c>
      <c r="R51" s="1731">
        <v>0</v>
      </c>
      <c r="S51" s="1731">
        <v>0</v>
      </c>
      <c r="T51" s="1731">
        <v>0</v>
      </c>
      <c r="U51" s="1734">
        <v>0</v>
      </c>
      <c r="V51" s="1735">
        <v>0</v>
      </c>
      <c r="W51" s="1731">
        <v>0</v>
      </c>
      <c r="X51" s="1731">
        <v>0</v>
      </c>
      <c r="Y51" s="1731">
        <v>0</v>
      </c>
      <c r="Z51" s="1731">
        <v>0</v>
      </c>
      <c r="AA51" s="1731">
        <v>0</v>
      </c>
      <c r="AB51" s="1731">
        <v>0</v>
      </c>
      <c r="AC51" s="1731">
        <v>0</v>
      </c>
      <c r="AD51" s="1731">
        <v>0</v>
      </c>
      <c r="AE51" s="1731">
        <v>0</v>
      </c>
      <c r="AF51" s="1771"/>
      <c r="AG51" s="1731">
        <v>0</v>
      </c>
      <c r="AH51" s="1732">
        <v>0</v>
      </c>
      <c r="AI51" s="1771"/>
      <c r="AJ51" s="1771"/>
      <c r="AK51" s="1771"/>
    </row>
    <row r="52" spans="2:37" s="1699" customFormat="1" ht="12" x14ac:dyDescent="0.2">
      <c r="B52" s="2049" t="s">
        <v>487</v>
      </c>
      <c r="C52" s="2050" t="e">
        <f>+'Estado de Resultados'!H26/#REF!</f>
        <v>#REF!</v>
      </c>
      <c r="D52" s="2051">
        <v>3.3</v>
      </c>
      <c r="E52" s="2045"/>
      <c r="F52" s="2046" t="s">
        <v>376</v>
      </c>
      <c r="G52" s="2047"/>
      <c r="H52" s="2048" t="e">
        <f>+AR!I23/AR!I17</f>
        <v>#DIV/0!</v>
      </c>
      <c r="I52" s="2009"/>
      <c r="J52" s="2009"/>
      <c r="L52" s="2525" t="s">
        <v>460</v>
      </c>
      <c r="M52" s="2525">
        <v>0</v>
      </c>
      <c r="N52" s="1731">
        <f>('Info Entrada'!D174+'Info Entrada'!D175)-('Info Entrada'!C174+'Info Entrada'!C175)</f>
        <v>0</v>
      </c>
      <c r="O52" s="1731">
        <f>('Info Entrada'!E174+'Info Entrada'!E175)-('Info Entrada'!D174+'Info Entrada'!D175)</f>
        <v>0</v>
      </c>
      <c r="P52" s="1733">
        <f ca="1">('Info Entrada'!H174+'Info Entrada'!H175)-('Info Entrada'!E174+'Info Entrada'!E175)</f>
        <v>0</v>
      </c>
      <c r="Q52" s="1731">
        <f ca="1">('Info Entrada'!I174+'Info Entrada'!I175)-('Info Entrada'!H174+'Info Entrada'!H175)</f>
        <v>0</v>
      </c>
      <c r="R52" s="1731">
        <f ca="1">('Info Entrada'!J174+'Info Entrada'!J175)-('Info Entrada'!I174+'Info Entrada'!I175)</f>
        <v>0</v>
      </c>
      <c r="S52" s="1731">
        <f ca="1">('Info Entrada'!K174+'Info Entrada'!K175)-('Info Entrada'!J174+'Info Entrada'!J175)</f>
        <v>0</v>
      </c>
      <c r="T52" s="1731">
        <f ca="1">('Info Entrada'!L174+'Info Entrada'!L175)-('Info Entrada'!K174+'Info Entrada'!K175)</f>
        <v>0</v>
      </c>
      <c r="U52" s="1734">
        <f ca="1">('Info Entrada'!M174+'Info Entrada'!M175)-('Info Entrada'!L174+'Info Entrada'!L175)</f>
        <v>0</v>
      </c>
      <c r="V52" s="1735">
        <f ca="1">('Info Entrada'!N174+'Info Entrada'!N175)-('Info Entrada'!M174+'Info Entrada'!M175)</f>
        <v>0</v>
      </c>
      <c r="W52" s="1731">
        <f ca="1">('Info Entrada'!O174+'Info Entrada'!O175)-('Info Entrada'!N174+'Info Entrada'!N175)</f>
        <v>0</v>
      </c>
      <c r="X52" s="1731">
        <f ca="1">('Info Entrada'!P174+'Info Entrada'!P175)-('Info Entrada'!O174+'Info Entrada'!O175)</f>
        <v>0</v>
      </c>
      <c r="Y52" s="1731">
        <f ca="1">('Info Entrada'!Q174+'Info Entrada'!Q175)-('Info Entrada'!P174+'Info Entrada'!P175)</f>
        <v>0</v>
      </c>
      <c r="Z52" s="1731">
        <f ca="1">('Info Entrada'!R174+'Info Entrada'!R175)-('Info Entrada'!Q174+'Info Entrada'!Q175)</f>
        <v>0</v>
      </c>
      <c r="AA52" s="1731">
        <f ca="1">('Info Entrada'!S174+'Info Entrada'!S175)-('Info Entrada'!R174+'Info Entrada'!R175)</f>
        <v>0</v>
      </c>
      <c r="AB52" s="1731">
        <f ca="1">('Info Entrada'!T174+'Info Entrada'!T175)-('Info Entrada'!S174+'Info Entrada'!S175)</f>
        <v>0</v>
      </c>
      <c r="AC52" s="1731">
        <f ca="1">('Info Entrada'!U174+'Info Entrada'!U175)-('Info Entrada'!T174+'Info Entrada'!T175)</f>
        <v>0</v>
      </c>
      <c r="AD52" s="1731">
        <f ca="1">('Info Entrada'!V174+'Info Entrada'!V175)-('Info Entrada'!U174+'Info Entrada'!U175)</f>
        <v>0</v>
      </c>
      <c r="AE52" s="1731">
        <f ca="1">('Info Entrada'!W174+'Info Entrada'!W175)-('Info Entrada'!V174+'Info Entrada'!V175)</f>
        <v>0</v>
      </c>
      <c r="AF52" s="1771"/>
      <c r="AG52" s="1731">
        <f>('Info Entrada'!F174+'Info Entrada'!F175)-('Info Entrada'!D174+'Info Entrada'!D175)</f>
        <v>0</v>
      </c>
      <c r="AH52" s="1732">
        <f>('Info Entrada'!G174+'Info Entrada'!G175)-('Info Entrada'!E174+'Info Entrada'!E175)</f>
        <v>0</v>
      </c>
      <c r="AI52" s="1771"/>
      <c r="AJ52" s="1771"/>
      <c r="AK52" s="1771"/>
    </row>
    <row r="53" spans="2:37" s="1699" customFormat="1" ht="12" x14ac:dyDescent="0.2">
      <c r="B53" s="2049" t="s">
        <v>488</v>
      </c>
      <c r="C53" s="2050" t="e">
        <f>+Pasivos!H47/Pasivos!H48</f>
        <v>#DIV/0!</v>
      </c>
      <c r="D53" s="2051">
        <v>0.6</v>
      </c>
      <c r="E53" s="2045"/>
      <c r="F53" s="2046" t="s">
        <v>378</v>
      </c>
      <c r="G53" s="2047"/>
      <c r="H53" s="2048" t="e">
        <f>+AR!I23/AR!I16</f>
        <v>#DIV/0!</v>
      </c>
      <c r="I53" s="2009"/>
      <c r="J53" s="2009"/>
      <c r="L53" s="2525" t="s">
        <v>462</v>
      </c>
      <c r="M53" s="2525">
        <v>0</v>
      </c>
      <c r="N53" s="1731">
        <f>'Info Entrada'!C174+'Info Entrada'!C175</f>
        <v>0</v>
      </c>
      <c r="O53" s="1731">
        <f>'Info Entrada'!D174+'Info Entrada'!D175</f>
        <v>0</v>
      </c>
      <c r="P53" s="1733">
        <f>'Info Entrada'!E174+'Info Entrada'!E175</f>
        <v>0</v>
      </c>
      <c r="Q53" s="1731">
        <f ca="1">'Info Entrada'!H174+'Info Entrada'!H175</f>
        <v>0</v>
      </c>
      <c r="R53" s="1731">
        <f ca="1">'Info Entrada'!I174+'Info Entrada'!I175</f>
        <v>0</v>
      </c>
      <c r="S53" s="1731">
        <f ca="1">'Info Entrada'!J174+'Info Entrada'!J175</f>
        <v>0</v>
      </c>
      <c r="T53" s="1731">
        <f ca="1">'Info Entrada'!K174+'Info Entrada'!K175</f>
        <v>0</v>
      </c>
      <c r="U53" s="1734">
        <f ca="1">'Info Entrada'!L174+'Info Entrada'!L175</f>
        <v>0</v>
      </c>
      <c r="V53" s="1735">
        <f ca="1">'Info Entrada'!M174+'Info Entrada'!M175</f>
        <v>0</v>
      </c>
      <c r="W53" s="1731">
        <f ca="1">'Info Entrada'!N174+'Info Entrada'!N175</f>
        <v>0</v>
      </c>
      <c r="X53" s="1731">
        <f ca="1">'Info Entrada'!O174+'Info Entrada'!O175</f>
        <v>0</v>
      </c>
      <c r="Y53" s="1731">
        <f ca="1">'Info Entrada'!P174+'Info Entrada'!P175</f>
        <v>0</v>
      </c>
      <c r="Z53" s="1731">
        <f ca="1">'Info Entrada'!Q174+'Info Entrada'!Q175</f>
        <v>0</v>
      </c>
      <c r="AA53" s="1731">
        <f ca="1">'Info Entrada'!R174+'Info Entrada'!R175</f>
        <v>0</v>
      </c>
      <c r="AB53" s="1731">
        <f ca="1">'Info Entrada'!S174+'Info Entrada'!S175</f>
        <v>0</v>
      </c>
      <c r="AC53" s="1731">
        <f ca="1">'Info Entrada'!T174+'Info Entrada'!T175</f>
        <v>0</v>
      </c>
      <c r="AD53" s="1731">
        <f ca="1">'Info Entrada'!U174+'Info Entrada'!U175</f>
        <v>0</v>
      </c>
      <c r="AE53" s="1731">
        <f ca="1">'Info Entrada'!V174+'Info Entrada'!V175</f>
        <v>0</v>
      </c>
      <c r="AF53" s="1771"/>
      <c r="AG53" s="1731">
        <f>'Info Entrada'!D174+'Info Entrada'!D175</f>
        <v>0</v>
      </c>
      <c r="AH53" s="1732">
        <f>'Info Entrada'!E174+'Info Entrada'!E175</f>
        <v>0</v>
      </c>
      <c r="AI53" s="1771"/>
      <c r="AJ53" s="1771"/>
      <c r="AK53" s="1771"/>
    </row>
    <row r="54" spans="2:37" s="1699" customFormat="1" ht="12.75" thickBot="1" x14ac:dyDescent="0.25">
      <c r="B54" s="2052" t="s">
        <v>489</v>
      </c>
      <c r="C54" s="2053" t="e">
        <f>+'Estado de Resultados'!H15/#REF!</f>
        <v>#REF!</v>
      </c>
      <c r="D54" s="2054">
        <v>1</v>
      </c>
      <c r="E54" s="2045"/>
      <c r="F54" s="2046" t="s">
        <v>397</v>
      </c>
      <c r="G54" s="2047"/>
      <c r="H54" s="2048" t="e">
        <f>+AR!I15/AR!I19</f>
        <v>#DIV/0!</v>
      </c>
      <c r="I54" s="2009"/>
      <c r="J54" s="2009"/>
      <c r="L54" s="2520" t="s">
        <v>463</v>
      </c>
      <c r="M54" s="2520">
        <v>0</v>
      </c>
      <c r="N54" s="1711">
        <f>'Info Entrada'!D174+'Info Entrada'!D175</f>
        <v>0</v>
      </c>
      <c r="O54" s="1711">
        <f>'Info Entrada'!E174+'Info Entrada'!E175</f>
        <v>0</v>
      </c>
      <c r="P54" s="1713">
        <f ca="1">'Info Entrada'!H174+'Info Entrada'!H175</f>
        <v>0</v>
      </c>
      <c r="Q54" s="1711">
        <f ca="1">'Info Entrada'!I174+'Info Entrada'!I175</f>
        <v>0</v>
      </c>
      <c r="R54" s="1711">
        <f ca="1">'Info Entrada'!J174+'Info Entrada'!J175</f>
        <v>0</v>
      </c>
      <c r="S54" s="1711">
        <f ca="1">'Info Entrada'!K174+'Info Entrada'!K175</f>
        <v>0</v>
      </c>
      <c r="T54" s="1711">
        <f ca="1">'Info Entrada'!L174+'Info Entrada'!L175</f>
        <v>0</v>
      </c>
      <c r="U54" s="1714">
        <f ca="1">'Info Entrada'!M174+'Info Entrada'!M175</f>
        <v>0</v>
      </c>
      <c r="V54" s="1715">
        <f ca="1">'Info Entrada'!N174+'Info Entrada'!N175</f>
        <v>0</v>
      </c>
      <c r="W54" s="1711">
        <f ca="1">'Info Entrada'!O174+'Info Entrada'!O175</f>
        <v>0</v>
      </c>
      <c r="X54" s="1711">
        <f ca="1">'Info Entrada'!P174+'Info Entrada'!P175</f>
        <v>0</v>
      </c>
      <c r="Y54" s="1711">
        <f ca="1">'Info Entrada'!Q174+'Info Entrada'!Q175</f>
        <v>0</v>
      </c>
      <c r="Z54" s="1711">
        <f ca="1">'Info Entrada'!R174+'Info Entrada'!R175</f>
        <v>0</v>
      </c>
      <c r="AA54" s="1711">
        <f ca="1">'Info Entrada'!S174+'Info Entrada'!S175</f>
        <v>0</v>
      </c>
      <c r="AB54" s="1711">
        <f ca="1">'Info Entrada'!T174+'Info Entrada'!T175</f>
        <v>0</v>
      </c>
      <c r="AC54" s="1711">
        <f ca="1">'Info Entrada'!U174+'Info Entrada'!U175</f>
        <v>0</v>
      </c>
      <c r="AD54" s="1711">
        <f ca="1">'Info Entrada'!V174+'Info Entrada'!V175</f>
        <v>0</v>
      </c>
      <c r="AE54" s="1711">
        <f ca="1">'Info Entrada'!W174+'Info Entrada'!W175</f>
        <v>0</v>
      </c>
      <c r="AF54" s="1771"/>
      <c r="AG54" s="1731">
        <f>'Info Entrada'!F174+'Info Entrada'!F175</f>
        <v>0</v>
      </c>
      <c r="AH54" s="1732">
        <f>'Info Entrada'!G174+'Info Entrada'!G175</f>
        <v>0</v>
      </c>
      <c r="AI54" s="1771"/>
      <c r="AJ54" s="1771"/>
      <c r="AK54" s="1771"/>
    </row>
    <row r="55" spans="2:37" s="1699" customFormat="1" ht="12.75" thickBot="1" x14ac:dyDescent="0.25">
      <c r="B55" s="2055" t="s">
        <v>496</v>
      </c>
      <c r="C55" s="2056" t="e">
        <f>SUMPRODUCT(C50:C54,D50:D54)</f>
        <v>#REF!</v>
      </c>
      <c r="D55" s="2057"/>
      <c r="E55" s="2058"/>
      <c r="F55" s="2046" t="s">
        <v>449</v>
      </c>
      <c r="G55" s="2047"/>
      <c r="H55" s="2048" t="e">
        <f>+'Datos relevantes'!F13</f>
        <v>#DIV/0!</v>
      </c>
      <c r="I55" s="2009"/>
      <c r="J55" s="2009"/>
      <c r="K55" s="1736"/>
      <c r="L55" s="1737" t="s">
        <v>499</v>
      </c>
      <c r="M55" s="1770">
        <f t="shared" ref="M55:T55" si="8">SUM(M34:M47)-M48</f>
        <v>0</v>
      </c>
      <c r="N55" s="1770">
        <f t="shared" ca="1" si="8"/>
        <v>0</v>
      </c>
      <c r="O55" s="1770">
        <f t="shared" ca="1" si="8"/>
        <v>0</v>
      </c>
      <c r="P55" s="1738">
        <f t="shared" ca="1" si="8"/>
        <v>0</v>
      </c>
      <c r="Q55" s="1738">
        <f t="shared" ca="1" si="8"/>
        <v>0</v>
      </c>
      <c r="R55" s="1738">
        <f t="shared" ca="1" si="8"/>
        <v>0</v>
      </c>
      <c r="S55" s="1738">
        <f t="shared" ca="1" si="8"/>
        <v>0</v>
      </c>
      <c r="T55" s="1738">
        <f t="shared" ca="1" si="8"/>
        <v>0</v>
      </c>
      <c r="U55" s="1738">
        <f t="shared" ref="U55:AE55" ca="1" si="9">SUM(U34:U47)-U48</f>
        <v>0</v>
      </c>
      <c r="V55" s="1738">
        <f t="shared" ca="1" si="9"/>
        <v>0</v>
      </c>
      <c r="W55" s="1738">
        <f t="shared" ca="1" si="9"/>
        <v>0</v>
      </c>
      <c r="X55" s="1738">
        <f t="shared" ca="1" si="9"/>
        <v>0</v>
      </c>
      <c r="Y55" s="1738">
        <f t="shared" ca="1" si="9"/>
        <v>0</v>
      </c>
      <c r="Z55" s="1738">
        <f t="shared" ca="1" si="9"/>
        <v>0</v>
      </c>
      <c r="AA55" s="1738">
        <f t="shared" ca="1" si="9"/>
        <v>0</v>
      </c>
      <c r="AB55" s="1738">
        <f t="shared" ca="1" si="9"/>
        <v>0</v>
      </c>
      <c r="AC55" s="1738">
        <f t="shared" ca="1" si="9"/>
        <v>0</v>
      </c>
      <c r="AD55" s="1738">
        <f t="shared" ca="1" si="9"/>
        <v>0</v>
      </c>
      <c r="AE55" s="1738">
        <f t="shared" ca="1" si="9"/>
        <v>0</v>
      </c>
      <c r="AF55" s="1736"/>
      <c r="AG55" s="1738">
        <f ca="1">SUM(AG34:AG47)-AG48</f>
        <v>0</v>
      </c>
      <c r="AH55" s="1738">
        <f ca="1">SUM(AH34:AH47)-AH48</f>
        <v>0</v>
      </c>
    </row>
    <row r="56" spans="2:37" ht="12.75" thickBot="1" x14ac:dyDescent="0.25">
      <c r="B56" s="2059" t="s">
        <v>490</v>
      </c>
      <c r="C56" s="2060" t="e">
        <f>VLOOKUP(C55,$B$57:$C$60,2)</f>
        <v>#REF!</v>
      </c>
      <c r="D56" s="2061"/>
      <c r="E56" s="2062"/>
      <c r="F56" s="2046" t="s">
        <v>1784</v>
      </c>
      <c r="G56" s="2047"/>
      <c r="H56" s="2048" t="e">
        <f>+'Datos relevantes'!J17</f>
        <v>#DIV/0!</v>
      </c>
      <c r="S56" s="1693"/>
      <c r="T56" s="1693"/>
      <c r="U56" s="1693"/>
      <c r="V56" s="1693"/>
    </row>
    <row r="57" spans="2:37" ht="12.75" thickBot="1" x14ac:dyDescent="0.25">
      <c r="B57" s="2064">
        <v>-10000000</v>
      </c>
      <c r="C57" s="2065" t="s">
        <v>491</v>
      </c>
      <c r="D57" s="2066"/>
      <c r="E57" s="2067"/>
      <c r="F57" s="2046" t="s">
        <v>1785</v>
      </c>
      <c r="G57" s="2047"/>
      <c r="H57" s="2048" t="e">
        <f>+'Datos relevantes'!J19</f>
        <v>#DIV/0!</v>
      </c>
      <c r="L57" s="1739"/>
      <c r="M57" s="2526"/>
      <c r="N57" s="3143" t="s">
        <v>428</v>
      </c>
      <c r="O57" s="3144"/>
      <c r="S57" s="1677"/>
      <c r="T57" s="1677"/>
      <c r="U57" s="1677"/>
      <c r="V57" s="1677"/>
    </row>
    <row r="58" spans="2:37" ht="12.75" thickBot="1" x14ac:dyDescent="0.25">
      <c r="B58" s="2064">
        <v>1.81</v>
      </c>
      <c r="C58" s="2065" t="s">
        <v>492</v>
      </c>
      <c r="D58" s="2066"/>
      <c r="E58" s="2067"/>
      <c r="F58" s="2046" t="s">
        <v>1786</v>
      </c>
      <c r="G58" s="2047"/>
      <c r="H58" s="2048">
        <f>+'Datos relevantes'!J18</f>
        <v>0</v>
      </c>
      <c r="L58" s="1740"/>
      <c r="M58" s="2527"/>
      <c r="N58" s="1741">
        <f>N26</f>
        <v>43100</v>
      </c>
      <c r="O58" s="1741">
        <f>O26</f>
        <v>43465</v>
      </c>
      <c r="S58" s="1693"/>
      <c r="T58" s="1693"/>
      <c r="U58" s="1693"/>
      <c r="V58" s="1693"/>
    </row>
    <row r="59" spans="2:37" ht="12" x14ac:dyDescent="0.2">
      <c r="B59" s="2064">
        <v>2.99</v>
      </c>
      <c r="C59" s="2065" t="s">
        <v>493</v>
      </c>
      <c r="D59" s="2066"/>
      <c r="E59" s="2067"/>
      <c r="F59" s="2046" t="s">
        <v>1787</v>
      </c>
      <c r="G59" s="2047"/>
      <c r="H59" s="2048" t="e">
        <f>+H56+H58-H57</f>
        <v>#DIV/0!</v>
      </c>
      <c r="L59" s="1742" t="str">
        <f>L27</f>
        <v>Utilidad Operacional</v>
      </c>
      <c r="M59" s="2528"/>
      <c r="N59" s="1743" t="e">
        <f>+N27/#REF!</f>
        <v>#REF!</v>
      </c>
      <c r="O59" s="1743" t="e">
        <f>+O27/#REF!</f>
        <v>#REF!</v>
      </c>
      <c r="S59" s="1693"/>
      <c r="T59" s="1693"/>
      <c r="U59" s="1693"/>
      <c r="V59" s="1693"/>
    </row>
    <row r="60" spans="2:37" ht="12" thickBot="1" x14ac:dyDescent="0.25">
      <c r="B60" s="2068">
        <v>10000000</v>
      </c>
      <c r="C60" s="2069"/>
      <c r="D60" s="2070"/>
      <c r="E60" s="2067"/>
      <c r="L60" s="1744" t="str">
        <f>L28</f>
        <v>+ Depreciaciones / Amortizaciones</v>
      </c>
      <c r="M60" s="2529"/>
      <c r="N60" s="1745" t="e">
        <f>+N28/#REF!</f>
        <v>#REF!</v>
      </c>
      <c r="O60" s="1745" t="e">
        <f>+O28/#REF!</f>
        <v>#REF!</v>
      </c>
      <c r="S60" s="1746"/>
      <c r="T60" s="1746"/>
      <c r="U60" s="1746"/>
      <c r="V60" s="1747"/>
      <c r="W60" s="1747"/>
      <c r="X60" s="1747"/>
      <c r="Y60" s="1747"/>
    </row>
    <row r="61" spans="2:37" x14ac:dyDescent="0.2">
      <c r="B61" s="2071"/>
      <c r="C61" s="2071"/>
      <c r="D61" s="2071"/>
      <c r="E61" s="2067"/>
      <c r="L61" s="1748" t="str">
        <f>L29</f>
        <v>Ebitda</v>
      </c>
      <c r="M61" s="2530"/>
      <c r="N61" s="1745" t="e">
        <f>+N29/#REF!</f>
        <v>#REF!</v>
      </c>
      <c r="O61" s="1745" t="e">
        <f>+O29/#REF!</f>
        <v>#REF!</v>
      </c>
      <c r="S61" s="1693"/>
      <c r="T61" s="1749"/>
      <c r="U61" s="1749"/>
      <c r="V61" s="1693"/>
      <c r="W61" s="1693"/>
      <c r="X61" s="1750"/>
      <c r="Y61" s="1750"/>
    </row>
    <row r="62" spans="2:37" ht="12" thickBot="1" x14ac:dyDescent="0.25">
      <c r="E62" s="2072"/>
      <c r="L62" s="1751" t="str">
        <f>L30</f>
        <v>+ Provisiones</v>
      </c>
      <c r="M62" s="2531"/>
      <c r="N62" s="1745" t="e">
        <f>+N30/#REF!</f>
        <v>#REF!</v>
      </c>
      <c r="O62" s="1745" t="e">
        <f>+O30/#REF!</f>
        <v>#REF!</v>
      </c>
      <c r="S62" s="1693"/>
      <c r="T62" s="1749"/>
      <c r="U62" s="1749"/>
      <c r="V62" s="1693"/>
      <c r="W62" s="1693"/>
      <c r="X62" s="1750"/>
      <c r="Y62" s="1750"/>
    </row>
    <row r="63" spans="2:37" ht="12" thickBot="1" x14ac:dyDescent="0.25">
      <c r="B63" s="2073"/>
      <c r="C63" s="2074"/>
      <c r="D63" s="2074"/>
      <c r="E63" s="2075"/>
      <c r="F63" s="2076"/>
      <c r="L63" s="1752" t="str">
        <f t="shared" ref="L63:L86" si="10">L32</f>
        <v>- Impuestos</v>
      </c>
      <c r="M63" s="2532"/>
      <c r="N63" s="1753" t="e">
        <f ca="1">+N32/#REF!</f>
        <v>#REF!</v>
      </c>
      <c r="O63" s="1753" t="e">
        <f ca="1">+O32/#REF!</f>
        <v>#REF!</v>
      </c>
      <c r="S63" s="1693"/>
      <c r="T63" s="1749"/>
      <c r="U63" s="1749"/>
      <c r="V63" s="1693"/>
      <c r="W63" s="1693"/>
      <c r="X63" s="1750"/>
      <c r="Y63" s="1750"/>
    </row>
    <row r="64" spans="2:37" ht="12" thickBot="1" x14ac:dyDescent="0.25">
      <c r="B64" s="2077" t="s">
        <v>502</v>
      </c>
      <c r="C64" s="2078"/>
      <c r="D64" s="2078"/>
      <c r="E64" s="2079"/>
      <c r="F64" s="2005"/>
      <c r="L64" s="1751" t="str">
        <f t="shared" si="10"/>
        <v xml:space="preserve">+/- Variación en Capital Circulante Operativo </v>
      </c>
      <c r="M64" s="2531"/>
      <c r="N64" s="1745" t="e">
        <f ca="1">+N33/#REF!</f>
        <v>#REF!</v>
      </c>
      <c r="O64" s="1745" t="e">
        <f ca="1">+O33/#REF!</f>
        <v>#REF!</v>
      </c>
      <c r="S64" s="1754"/>
      <c r="T64" s="1754"/>
      <c r="U64" s="1754"/>
      <c r="V64" s="1693"/>
    </row>
    <row r="65" spans="2:22" ht="12" thickBot="1" x14ac:dyDescent="0.25">
      <c r="B65" s="2080" t="s">
        <v>503</v>
      </c>
      <c r="C65" s="2081"/>
      <c r="D65" s="2081"/>
      <c r="E65" s="2079"/>
      <c r="F65" s="2005"/>
      <c r="L65" s="1755" t="str">
        <f t="shared" si="10"/>
        <v>Flujo de caja operativo FCO</v>
      </c>
      <c r="M65" s="2533"/>
      <c r="N65" s="1756" t="e">
        <f ca="1">+N34/#REF!</f>
        <v>#REF!</v>
      </c>
      <c r="O65" s="1756" t="e">
        <f ca="1">+O34/#REF!</f>
        <v>#REF!</v>
      </c>
      <c r="S65" s="1754"/>
      <c r="T65" s="1754"/>
      <c r="U65" s="1754"/>
      <c r="V65" s="1693"/>
    </row>
    <row r="66" spans="2:22" x14ac:dyDescent="0.2">
      <c r="B66" s="2080" t="s">
        <v>504</v>
      </c>
      <c r="C66" s="2081"/>
      <c r="D66" s="2081"/>
      <c r="E66" s="2079"/>
      <c r="F66" s="2005"/>
      <c r="L66" s="1752" t="str">
        <f t="shared" si="10"/>
        <v>+ Ingresos Financieros</v>
      </c>
      <c r="M66" s="2532"/>
      <c r="N66" s="1757" t="e">
        <f>+N35/#REF!</f>
        <v>#REF!</v>
      </c>
      <c r="O66" s="1757" t="e">
        <f>+O35/#REF!</f>
        <v>#REF!</v>
      </c>
      <c r="S66" s="1758"/>
      <c r="T66" s="1758"/>
      <c r="U66" s="1758"/>
      <c r="V66" s="1759"/>
    </row>
    <row r="67" spans="2:22" x14ac:dyDescent="0.2">
      <c r="B67" s="2082" t="s">
        <v>505</v>
      </c>
      <c r="C67" s="2081"/>
      <c r="D67" s="2081"/>
      <c r="E67" s="2079"/>
      <c r="F67" s="2005"/>
      <c r="L67" s="1752" t="str">
        <f t="shared" si="10"/>
        <v>- Gastos Financieros</v>
      </c>
      <c r="M67" s="2532"/>
      <c r="N67" s="1757" t="e">
        <f>+N36/#REF!</f>
        <v>#REF!</v>
      </c>
      <c r="O67" s="1757" t="e">
        <f>+O36/#REF!</f>
        <v>#REF!</v>
      </c>
      <c r="S67" s="1693"/>
      <c r="T67" s="1693"/>
      <c r="U67" s="1693"/>
    </row>
    <row r="68" spans="2:22" x14ac:dyDescent="0.2">
      <c r="B68" s="2082" t="s">
        <v>506</v>
      </c>
      <c r="C68" s="2081"/>
      <c r="D68" s="2081"/>
      <c r="E68" s="2079"/>
      <c r="F68" s="2005"/>
      <c r="L68" s="1752" t="str">
        <f t="shared" si="10"/>
        <v>+/- Utilidades (Pérdidas) por Asociadas</v>
      </c>
      <c r="M68" s="2532"/>
      <c r="N68" s="1757" t="e">
        <f>+N37/#REF!</f>
        <v>#REF!</v>
      </c>
      <c r="O68" s="1757" t="e">
        <f>+O37/#REF!</f>
        <v>#REF!</v>
      </c>
      <c r="S68" s="1677"/>
      <c r="T68" s="1677"/>
      <c r="U68" s="1677"/>
    </row>
    <row r="69" spans="2:22" ht="12" thickBot="1" x14ac:dyDescent="0.25">
      <c r="B69" s="2083" t="s">
        <v>507</v>
      </c>
      <c r="C69" s="2084"/>
      <c r="D69" s="2084"/>
      <c r="E69" s="2079"/>
      <c r="F69" s="2005"/>
      <c r="L69" s="1752" t="str">
        <f t="shared" si="10"/>
        <v>+/- Ingresos (Gastos) no operacionales</v>
      </c>
      <c r="M69" s="2532"/>
      <c r="N69" s="1753" t="e">
        <f>+N38/#REF!</f>
        <v>#REF!</v>
      </c>
      <c r="O69" s="1753" t="e">
        <f>+O38/#REF!</f>
        <v>#REF!</v>
      </c>
      <c r="S69" s="1693"/>
      <c r="T69" s="1693"/>
      <c r="U69" s="1693"/>
    </row>
    <row r="70" spans="2:22" ht="12" thickBot="1" x14ac:dyDescent="0.25">
      <c r="B70" s="2085" t="s">
        <v>508</v>
      </c>
      <c r="C70" s="2086">
        <f>SUM(C64:C69)</f>
        <v>0</v>
      </c>
      <c r="D70" s="2086">
        <f>SUM(D64:D69)</f>
        <v>0</v>
      </c>
      <c r="E70" s="2087"/>
      <c r="F70" s="2088"/>
      <c r="L70" s="1752" t="str">
        <f t="shared" si="10"/>
        <v>- Inversiones en activo fijo</v>
      </c>
      <c r="M70" s="2532"/>
      <c r="N70" s="1753" t="e">
        <f ca="1">+N39/#REF!</f>
        <v>#REF!</v>
      </c>
      <c r="O70" s="1753" t="e">
        <f ca="1">+O39/#REF!</f>
        <v>#REF!</v>
      </c>
      <c r="S70" s="1693"/>
      <c r="T70" s="1693"/>
      <c r="U70" s="1693"/>
      <c r="V70" s="288"/>
    </row>
    <row r="71" spans="2:22" x14ac:dyDescent="0.2">
      <c r="B71" s="2089" t="s">
        <v>537</v>
      </c>
      <c r="C71" s="2078"/>
      <c r="D71" s="2078"/>
      <c r="E71" s="2079"/>
      <c r="F71" s="2005"/>
      <c r="L71" s="1752" t="str">
        <f t="shared" si="10"/>
        <v>- Adiciones Inversiones permanentes</v>
      </c>
      <c r="M71" s="2532"/>
      <c r="N71" s="1753" t="e">
        <f ca="1">+N40/#REF!</f>
        <v>#REF!</v>
      </c>
      <c r="O71" s="1753" t="e">
        <f ca="1">+O40/#REF!</f>
        <v>#REF!</v>
      </c>
      <c r="S71" s="1693"/>
      <c r="T71" s="1693"/>
      <c r="U71" s="1693"/>
    </row>
    <row r="72" spans="2:22" x14ac:dyDescent="0.2">
      <c r="B72" s="2090" t="s">
        <v>538</v>
      </c>
      <c r="C72" s="2081"/>
      <c r="D72" s="2081"/>
      <c r="E72" s="2079"/>
      <c r="F72" s="2005"/>
      <c r="L72" s="1752" t="str">
        <f t="shared" si="10"/>
        <v>- Diferidos e Intangibles</v>
      </c>
      <c r="M72" s="2532"/>
      <c r="N72" s="1753" t="e">
        <f ca="1">+N41/#REF!</f>
        <v>#REF!</v>
      </c>
      <c r="O72" s="1753" t="e">
        <f ca="1">+O41/#REF!</f>
        <v>#REF!</v>
      </c>
      <c r="S72" s="1693"/>
      <c r="T72" s="1693"/>
      <c r="U72" s="1693"/>
    </row>
    <row r="73" spans="2:22" x14ac:dyDescent="0.2">
      <c r="B73" s="2082" t="s">
        <v>312</v>
      </c>
      <c r="C73" s="2081"/>
      <c r="D73" s="2081"/>
      <c r="E73" s="2079"/>
      <c r="F73" s="2005"/>
      <c r="L73" s="1752" t="str">
        <f t="shared" si="10"/>
        <v>+ Capitalización (Recursos Frescos)</v>
      </c>
      <c r="M73" s="2532"/>
      <c r="N73" s="1753" t="e">
        <f>+N42/#REF!</f>
        <v>#REF!</v>
      </c>
      <c r="O73" s="1753" t="e">
        <f>+O42/#REF!</f>
        <v>#REF!</v>
      </c>
      <c r="S73" s="1693"/>
      <c r="T73" s="1693"/>
      <c r="U73" s="1693"/>
    </row>
    <row r="74" spans="2:22" ht="12" thickBot="1" x14ac:dyDescent="0.25">
      <c r="B74" s="2083" t="s">
        <v>539</v>
      </c>
      <c r="C74" s="2084"/>
      <c r="D74" s="2084"/>
      <c r="E74" s="2079"/>
      <c r="F74" s="2005"/>
      <c r="L74" s="1752" t="str">
        <f t="shared" si="10"/>
        <v>+/- Préstamos al Grupo</v>
      </c>
      <c r="M74" s="2532"/>
      <c r="N74" s="1753" t="e">
        <f>+N43/#REF!</f>
        <v>#REF!</v>
      </c>
      <c r="O74" s="1753" t="e">
        <f>+O43/#REF!</f>
        <v>#REF!</v>
      </c>
      <c r="S74" s="1693"/>
      <c r="T74" s="1693"/>
      <c r="U74" s="1693"/>
    </row>
    <row r="75" spans="2:22" ht="12" thickBot="1" x14ac:dyDescent="0.25">
      <c r="B75" s="2091" t="s">
        <v>439</v>
      </c>
      <c r="C75" s="2086">
        <f>SUM(C71:C74)</f>
        <v>0</v>
      </c>
      <c r="D75" s="2086">
        <f>SUM(D71:D74)</f>
        <v>0</v>
      </c>
      <c r="E75" s="2087"/>
      <c r="F75" s="2088"/>
      <c r="L75" s="1752" t="str">
        <f t="shared" si="10"/>
        <v>+/- Otras Variaciones en activos</v>
      </c>
      <c r="M75" s="2532"/>
      <c r="N75" s="1753" t="e">
        <f>+N44/#REF!</f>
        <v>#REF!</v>
      </c>
      <c r="O75" s="1753" t="e">
        <f>+O44/#REF!</f>
        <v>#REF!</v>
      </c>
      <c r="S75" s="1693"/>
      <c r="T75" s="1693"/>
      <c r="U75" s="1693"/>
    </row>
    <row r="76" spans="2:22" ht="12" thickBot="1" x14ac:dyDescent="0.25">
      <c r="B76" s="2091" t="s">
        <v>540</v>
      </c>
      <c r="C76" s="2086">
        <f>+C70-C75</f>
        <v>0</v>
      </c>
      <c r="D76" s="2086">
        <f>+D70-D75</f>
        <v>0</v>
      </c>
      <c r="E76" s="2087"/>
      <c r="F76" s="2088"/>
      <c r="L76" s="1752" t="str">
        <f t="shared" si="10"/>
        <v>+/- Otras Variaciones en pasivos</v>
      </c>
      <c r="M76" s="2532"/>
      <c r="N76" s="1753" t="e">
        <f>+N45/#REF!</f>
        <v>#REF!</v>
      </c>
      <c r="O76" s="1753" t="e">
        <f>+O45/#REF!</f>
        <v>#REF!</v>
      </c>
      <c r="S76" s="1693"/>
      <c r="T76" s="1693"/>
      <c r="U76" s="1693"/>
    </row>
    <row r="77" spans="2:22" ht="12" thickBot="1" x14ac:dyDescent="0.25">
      <c r="B77" s="2092" t="s">
        <v>541</v>
      </c>
      <c r="C77" s="2086"/>
      <c r="D77" s="2086"/>
      <c r="E77" s="2087"/>
      <c r="F77" s="2088"/>
      <c r="L77" s="1752" t="str">
        <f t="shared" si="10"/>
        <v>+/- Otros cambios en el patrimonio</v>
      </c>
      <c r="M77" s="2532"/>
      <c r="N77" s="1753" t="e">
        <f ca="1">+N46/#REF!</f>
        <v>#REF!</v>
      </c>
      <c r="O77" s="1753" t="e">
        <f ca="1">+O46/#REF!</f>
        <v>#REF!</v>
      </c>
      <c r="S77" s="1693"/>
      <c r="T77" s="1693"/>
      <c r="U77" s="1693"/>
    </row>
    <row r="78" spans="2:22" ht="12" thickBot="1" x14ac:dyDescent="0.25">
      <c r="B78" s="2093" t="s">
        <v>542</v>
      </c>
      <c r="C78" s="2094"/>
      <c r="D78" s="2094"/>
      <c r="E78" s="2087"/>
      <c r="F78" s="2088"/>
      <c r="L78" s="1760" t="str">
        <f t="shared" si="10"/>
        <v>- Dividendos Pagados</v>
      </c>
      <c r="M78" s="2534"/>
      <c r="N78" s="1761" t="e">
        <f ca="1">+N47/#REF!</f>
        <v>#REF!</v>
      </c>
      <c r="O78" s="1761" t="e">
        <f ca="1">+O47/#REF!</f>
        <v>#REF!</v>
      </c>
      <c r="S78" s="1677"/>
      <c r="T78" s="1677"/>
      <c r="U78" s="1677"/>
    </row>
    <row r="79" spans="2:22" ht="12" thickBot="1" x14ac:dyDescent="0.25">
      <c r="E79" s="2004"/>
      <c r="L79" s="1755" t="str">
        <f t="shared" si="10"/>
        <v>Flujo de Caja Libre</v>
      </c>
      <c r="M79" s="2533"/>
      <c r="N79" s="1756" t="e">
        <f>+N48/#REF!</f>
        <v>#REF!</v>
      </c>
      <c r="O79" s="1756" t="e">
        <f>+O48/#REF!</f>
        <v>#REF!</v>
      </c>
      <c r="S79" s="1693"/>
      <c r="T79" s="1693"/>
      <c r="U79" s="1693"/>
    </row>
    <row r="80" spans="2:22" x14ac:dyDescent="0.2">
      <c r="L80" s="1742" t="str">
        <f t="shared" si="10"/>
        <v>Variación en Deuda Financiera L/P</v>
      </c>
      <c r="M80" s="2528"/>
      <c r="N80" s="1743" t="e">
        <f>+N49/#REF!</f>
        <v>#REF!</v>
      </c>
      <c r="O80" s="1743" t="e">
        <f>+O49/#REF!</f>
        <v>#REF!</v>
      </c>
      <c r="S80" s="1693"/>
      <c r="T80" s="1693"/>
      <c r="U80" s="1693"/>
    </row>
    <row r="81" spans="2:21" x14ac:dyDescent="0.2">
      <c r="L81" s="1762" t="str">
        <f t="shared" si="10"/>
        <v>Variación en Deuda Financiera C/P</v>
      </c>
      <c r="M81" s="2535"/>
      <c r="N81" s="1763" t="e">
        <f>+N50/#REF!</f>
        <v>#REF!</v>
      </c>
      <c r="O81" s="1763" t="e">
        <f>+O50/#REF!</f>
        <v>#REF!</v>
      </c>
      <c r="S81" s="1693"/>
      <c r="T81" s="1693"/>
      <c r="U81" s="1693"/>
    </row>
    <row r="82" spans="2:21" x14ac:dyDescent="0.2">
      <c r="B82" s="2095" t="s">
        <v>550</v>
      </c>
      <c r="L82" s="1762" t="str">
        <f t="shared" si="10"/>
        <v>Efecto de las diferencias de cambio en Tesorería</v>
      </c>
      <c r="M82" s="2535"/>
      <c r="N82" s="1763" t="e">
        <f>+N51/#REF!</f>
        <v>#REF!</v>
      </c>
      <c r="O82" s="1763" t="e">
        <f>+O51/#REF!</f>
        <v>#REF!</v>
      </c>
      <c r="S82" s="1693"/>
      <c r="T82" s="1693"/>
      <c r="U82" s="1693"/>
    </row>
    <row r="83" spans="2:21" ht="12" thickBot="1" x14ac:dyDescent="0.25">
      <c r="L83" s="1762" t="str">
        <f t="shared" si="10"/>
        <v>Variación en Efectivo e Inversiones Temporales</v>
      </c>
      <c r="M83" s="2535"/>
      <c r="N83" s="1763" t="e">
        <f>+N52/#REF!</f>
        <v>#REF!</v>
      </c>
      <c r="O83" s="1763" t="e">
        <f>+O52/#REF!</f>
        <v>#REF!</v>
      </c>
      <c r="S83" s="1693"/>
      <c r="T83" s="1693"/>
      <c r="U83" s="1693"/>
    </row>
    <row r="84" spans="2:21" x14ac:dyDescent="0.2">
      <c r="B84" s="2096" t="s">
        <v>557</v>
      </c>
      <c r="C84" s="2097"/>
      <c r="D84" s="2097"/>
      <c r="E84" s="2097"/>
      <c r="F84" s="2097"/>
      <c r="G84" s="2097"/>
      <c r="H84" s="2098"/>
      <c r="L84" s="1762" t="str">
        <f t="shared" si="10"/>
        <v>Saldo inicial Tesorería</v>
      </c>
      <c r="M84" s="2535"/>
      <c r="N84" s="1763" t="e">
        <f>+N53/#REF!</f>
        <v>#REF!</v>
      </c>
      <c r="O84" s="1763" t="e">
        <f>+O53/#REF!</f>
        <v>#REF!</v>
      </c>
      <c r="S84" s="1693"/>
      <c r="T84" s="1693"/>
      <c r="U84" s="1693"/>
    </row>
    <row r="85" spans="2:21" ht="12" thickBot="1" x14ac:dyDescent="0.25">
      <c r="B85" s="2099" t="s">
        <v>551</v>
      </c>
      <c r="C85" s="2100" t="s">
        <v>246</v>
      </c>
      <c r="D85" s="2100" t="s">
        <v>552</v>
      </c>
      <c r="E85" s="2100"/>
      <c r="F85" s="2100" t="s">
        <v>553</v>
      </c>
      <c r="G85" s="2100" t="s">
        <v>554</v>
      </c>
      <c r="H85" s="2101" t="s">
        <v>555</v>
      </c>
      <c r="K85" s="1764"/>
      <c r="L85" s="1690" t="str">
        <f t="shared" si="10"/>
        <v>Saldo Final Tesorería</v>
      </c>
      <c r="M85" s="2536"/>
      <c r="N85" s="1765" t="e">
        <f>+N54/#REF!</f>
        <v>#REF!</v>
      </c>
      <c r="O85" s="1765" t="e">
        <f>+O54/#REF!</f>
        <v>#REF!</v>
      </c>
      <c r="S85" s="1693"/>
      <c r="T85" s="1693"/>
      <c r="U85" s="1693"/>
    </row>
    <row r="86" spans="2:21" x14ac:dyDescent="0.2">
      <c r="B86" s="2102"/>
      <c r="C86" s="2103"/>
      <c r="D86" s="2103"/>
      <c r="E86" s="2103"/>
      <c r="F86" s="2103"/>
      <c r="G86" s="2103"/>
      <c r="H86" s="2104"/>
      <c r="K86" s="289"/>
      <c r="L86" s="1766" t="str">
        <f t="shared" si="10"/>
        <v>Cuadre de fuentes y usos</v>
      </c>
      <c r="M86" s="1766"/>
      <c r="N86" s="1767" t="e">
        <f ca="1">+N55/#REF!</f>
        <v>#REF!</v>
      </c>
      <c r="O86" s="1767" t="e">
        <f ca="1">+O55/#REF!</f>
        <v>#REF!</v>
      </c>
      <c r="S86" s="1693"/>
      <c r="T86" s="1693"/>
      <c r="U86" s="1693"/>
    </row>
    <row r="87" spans="2:21" x14ac:dyDescent="0.2">
      <c r="B87" s="2102"/>
      <c r="C87" s="2103"/>
      <c r="D87" s="2103"/>
      <c r="E87" s="2103"/>
      <c r="F87" s="2103"/>
      <c r="G87" s="2103"/>
      <c r="H87" s="2104"/>
      <c r="K87" s="289"/>
      <c r="L87" s="289"/>
      <c r="M87" s="289"/>
      <c r="S87" s="1693"/>
      <c r="T87" s="1693"/>
      <c r="U87" s="1693"/>
    </row>
    <row r="88" spans="2:21" x14ac:dyDescent="0.2">
      <c r="B88" s="2102"/>
      <c r="C88" s="2103"/>
      <c r="D88" s="2103"/>
      <c r="E88" s="2103"/>
      <c r="F88" s="2103"/>
      <c r="G88" s="2103"/>
      <c r="H88" s="2104"/>
      <c r="K88" s="289"/>
      <c r="L88" s="289"/>
      <c r="M88" s="289"/>
      <c r="S88" s="1693"/>
      <c r="T88" s="1693"/>
      <c r="U88" s="1693"/>
    </row>
    <row r="89" spans="2:21" x14ac:dyDescent="0.2">
      <c r="B89" s="2102"/>
      <c r="C89" s="2103"/>
      <c r="D89" s="2103"/>
      <c r="E89" s="2103"/>
      <c r="F89" s="2103"/>
      <c r="G89" s="2103"/>
      <c r="H89" s="2104"/>
      <c r="J89" s="2105"/>
      <c r="K89" s="289"/>
      <c r="L89" s="289"/>
      <c r="M89" s="289"/>
      <c r="S89" s="1693"/>
      <c r="T89" s="1693"/>
      <c r="U89" s="1693"/>
    </row>
    <row r="90" spans="2:21" x14ac:dyDescent="0.2">
      <c r="B90" s="2099" t="s">
        <v>556</v>
      </c>
      <c r="C90" s="2100" t="s">
        <v>303</v>
      </c>
      <c r="D90" s="2100" t="s">
        <v>303</v>
      </c>
      <c r="E90" s="2100"/>
      <c r="F90" s="2103" t="s">
        <v>303</v>
      </c>
      <c r="G90" s="2100">
        <f>SUM(G86:G89)</f>
        <v>0</v>
      </c>
      <c r="H90" s="2104" t="s">
        <v>303</v>
      </c>
      <c r="J90" s="2004"/>
      <c r="K90" s="289"/>
      <c r="L90" s="289"/>
      <c r="M90" s="289"/>
      <c r="S90" s="1693"/>
      <c r="T90" s="1693"/>
      <c r="U90" s="1693"/>
    </row>
    <row r="91" spans="2:21" x14ac:dyDescent="0.2">
      <c r="B91" s="2102"/>
      <c r="C91" s="2103"/>
      <c r="D91" s="2103"/>
      <c r="E91" s="2103"/>
      <c r="F91" s="2103"/>
      <c r="G91" s="2103"/>
      <c r="H91" s="2104"/>
      <c r="J91" s="2004"/>
      <c r="K91" s="289"/>
      <c r="L91" s="289"/>
      <c r="M91" s="289"/>
    </row>
    <row r="92" spans="2:21" x14ac:dyDescent="0.2">
      <c r="B92" s="2102"/>
      <c r="C92" s="2103"/>
      <c r="D92" s="2103"/>
      <c r="E92" s="2103"/>
      <c r="F92" s="2103"/>
      <c r="G92" s="2100"/>
      <c r="H92" s="2104"/>
      <c r="J92" s="2004"/>
    </row>
    <row r="93" spans="2:21" ht="12" thickBot="1" x14ac:dyDescent="0.25">
      <c r="B93" s="2106" t="s">
        <v>547</v>
      </c>
      <c r="C93" s="2107" t="s">
        <v>303</v>
      </c>
      <c r="D93" s="2107" t="s">
        <v>303</v>
      </c>
      <c r="E93" s="2107"/>
      <c r="F93" s="2107" t="s">
        <v>303</v>
      </c>
      <c r="G93" s="2107">
        <f>+G90+SUM(G91:G92)</f>
        <v>0</v>
      </c>
      <c r="H93" s="2108" t="s">
        <v>303</v>
      </c>
      <c r="J93" s="2004"/>
    </row>
    <row r="94" spans="2:21" x14ac:dyDescent="0.2">
      <c r="I94" s="2105"/>
      <c r="J94" s="2004"/>
    </row>
    <row r="96" spans="2:21" ht="12.75" x14ac:dyDescent="0.2">
      <c r="B96" s="2109"/>
    </row>
    <row r="97" spans="2:17" ht="12.75" x14ac:dyDescent="0.2">
      <c r="B97" s="2109"/>
    </row>
    <row r="98" spans="2:17" ht="12.75" x14ac:dyDescent="0.2">
      <c r="B98" s="2109"/>
    </row>
    <row r="100" spans="2:17" ht="12" thickBot="1" x14ac:dyDescent="0.25"/>
    <row r="101" spans="2:17" x14ac:dyDescent="0.2">
      <c r="L101" s="1669" t="s">
        <v>427</v>
      </c>
      <c r="M101" s="2537"/>
      <c r="N101" s="1670">
        <f>'Info Entrada'!C1</f>
        <v>42735</v>
      </c>
      <c r="O101" s="1670">
        <f>'Info Entrada'!D1</f>
        <v>43100</v>
      </c>
      <c r="P101" s="1671">
        <f>'Info Entrada'!G1</f>
        <v>43646</v>
      </c>
    </row>
    <row r="102" spans="2:17" x14ac:dyDescent="0.2">
      <c r="L102" s="1675" t="s">
        <v>429</v>
      </c>
      <c r="M102" s="2538"/>
      <c r="N102" s="1674">
        <f>'Info Entrada'!C77</f>
        <v>0</v>
      </c>
      <c r="O102" s="1674">
        <f>'Info Entrada'!D77</f>
        <v>0</v>
      </c>
      <c r="P102" s="1676">
        <f>'Info Entrada'!G77</f>
        <v>0</v>
      </c>
    </row>
    <row r="103" spans="2:17" x14ac:dyDescent="0.2">
      <c r="L103" s="1675" t="s">
        <v>431</v>
      </c>
      <c r="M103" s="2538"/>
      <c r="N103" s="1674">
        <f>+N102/O107</f>
        <v>0</v>
      </c>
      <c r="O103" s="1674" t="e">
        <f>+O102/#REF!</f>
        <v>#REF!</v>
      </c>
      <c r="P103" s="1676">
        <f>+P102/Q107</f>
        <v>0</v>
      </c>
    </row>
    <row r="104" spans="2:17" ht="12" thickBot="1" x14ac:dyDescent="0.25">
      <c r="L104" s="1681" t="s">
        <v>432</v>
      </c>
      <c r="M104" s="2539"/>
      <c r="N104" s="1682" t="str">
        <f>IF(C33=0,"N.A.",(N102/C33)-1)</f>
        <v>N.A.</v>
      </c>
      <c r="O104" s="1682" t="str">
        <f>IF(N102=0,"N.A.",O102/N102-1)</f>
        <v>N.A.</v>
      </c>
      <c r="P104" s="1683" t="e">
        <f>((P102/MONTH(P101))*12)/#REF!-1</f>
        <v>#REF!</v>
      </c>
    </row>
    <row r="106" spans="2:17" x14ac:dyDescent="0.2">
      <c r="L106" s="1684"/>
      <c r="M106" s="1684"/>
      <c r="N106" s="1685">
        <v>37621</v>
      </c>
      <c r="O106" s="1685">
        <f>'Info Entrada'!C1</f>
        <v>42735</v>
      </c>
      <c r="P106" s="1685">
        <f>'Info Entrada'!F1</f>
        <v>43281</v>
      </c>
      <c r="Q106" s="1685">
        <f>'Info Entrada'!G1</f>
        <v>43646</v>
      </c>
    </row>
    <row r="107" spans="2:17" x14ac:dyDescent="0.2">
      <c r="L107" s="1686" t="s">
        <v>402</v>
      </c>
      <c r="M107" s="1686"/>
      <c r="N107" s="1687" t="e">
        <f>VLOOKUP(N106,TRM,2,0)</f>
        <v>#N/A</v>
      </c>
      <c r="O107" s="1687">
        <f>VLOOKUP(O106,TRM,2,0)</f>
        <v>3000.71</v>
      </c>
      <c r="P107" s="288" t="e">
        <f>+#REF!</f>
        <v>#REF!</v>
      </c>
      <c r="Q107" s="1687">
        <f>VLOOKUP(Q106,TRM,2,0)</f>
        <v>3205.67</v>
      </c>
    </row>
    <row r="108" spans="2:17" x14ac:dyDescent="0.2">
      <c r="L108" s="1437"/>
      <c r="M108" s="1437"/>
      <c r="N108" s="1437"/>
      <c r="O108" s="1437"/>
    </row>
    <row r="109" spans="2:17" ht="12" thickBot="1" x14ac:dyDescent="0.25">
      <c r="O109" s="1677"/>
    </row>
    <row r="110" spans="2:17" x14ac:dyDescent="0.2">
      <c r="L110" s="1688"/>
      <c r="M110" s="2540"/>
      <c r="N110" s="1670">
        <f>+'Info Entrada'!C1</f>
        <v>42735</v>
      </c>
      <c r="O110" s="1670">
        <f>+'Info Entrada'!D1</f>
        <v>43100</v>
      </c>
      <c r="P110" s="1671">
        <f>+'Info Entrada'!G1</f>
        <v>43646</v>
      </c>
    </row>
    <row r="111" spans="2:17" ht="12" thickBot="1" x14ac:dyDescent="0.25">
      <c r="L111" s="1690" t="s">
        <v>1537</v>
      </c>
      <c r="M111" s="2536"/>
      <c r="N111" s="1691" t="e">
        <f>+N29/'Info Entrada'!C33</f>
        <v>#DIV/0!</v>
      </c>
      <c r="O111" s="1691" t="e">
        <f>+O29/'Info Entrada'!D33</f>
        <v>#DIV/0!</v>
      </c>
      <c r="P111" s="1692" t="e">
        <f>+P29/'Info Entrada'!G33</f>
        <v>#DIV/0!</v>
      </c>
    </row>
  </sheetData>
  <sortState ref="B96:C98">
    <sortCondition ref="B96"/>
  </sortState>
  <mergeCells count="1">
    <mergeCell ref="N57:O57"/>
  </mergeCells>
  <phoneticPr fontId="0" type="noConversion"/>
  <printOptions horizontalCentered="1"/>
  <pageMargins left="0.39370078740157483" right="0.39370078740157483" top="0.39370078740157483" bottom="0.39370078740157483" header="0" footer="0"/>
  <pageSetup scale="98" orientation="landscape" r:id="rId1"/>
  <headerFooter alignWithMargins="0"/>
  <rowBreaks count="1" manualBreakCount="1">
    <brk id="86" min="11" max="23" man="1"/>
  </row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C2:O59"/>
  <sheetViews>
    <sheetView topLeftCell="A25" workbookViewId="0">
      <selection activeCell="O17" sqref="O17"/>
    </sheetView>
  </sheetViews>
  <sheetFormatPr baseColWidth="10" defaultRowHeight="11.25" x14ac:dyDescent="0.2"/>
  <cols>
    <col min="1" max="2" width="3" style="987" customWidth="1"/>
    <col min="3" max="6" width="11.42578125" style="987"/>
    <col min="7" max="7" width="9.5703125" style="987" customWidth="1"/>
    <col min="8" max="8" width="8.7109375" style="987" customWidth="1"/>
    <col min="9" max="16384" width="11.42578125" style="987"/>
  </cols>
  <sheetData>
    <row r="2" spans="3:15" ht="18" x14ac:dyDescent="0.25">
      <c r="C2" s="991" t="s">
        <v>1436</v>
      </c>
      <c r="H2" s="3145">
        <f>+Descripción!F2</f>
        <v>0</v>
      </c>
      <c r="I2" s="3145"/>
      <c r="J2" s="3145"/>
      <c r="K2" s="3145"/>
      <c r="L2" s="3145"/>
      <c r="N2" s="984">
        <f>'Datos relevantes'!$AJ$13</f>
        <v>3.9000000000000004</v>
      </c>
      <c r="O2" s="1021"/>
    </row>
    <row r="3" spans="3:15" x14ac:dyDescent="0.2">
      <c r="N3" s="2563" t="s">
        <v>1435</v>
      </c>
      <c r="O3" s="985"/>
    </row>
    <row r="8" spans="3:15" x14ac:dyDescent="0.2">
      <c r="C8" s="1019" t="s">
        <v>1085</v>
      </c>
      <c r="E8" s="987" t="str">
        <f>'Resumen EEFF'!B10</f>
        <v>COP MM</v>
      </c>
      <c r="I8" s="1019" t="s">
        <v>188</v>
      </c>
      <c r="J8" s="987" t="str">
        <f>'Resumen EEFF'!B10</f>
        <v>COP MM</v>
      </c>
    </row>
    <row r="49" spans="3:15" x14ac:dyDescent="0.2">
      <c r="C49" s="1037"/>
      <c r="D49" s="2875">
        <f>'Info Entrada'!C1</f>
        <v>42735</v>
      </c>
      <c r="E49" s="2875">
        <f>'Info Entrada'!D1</f>
        <v>43100</v>
      </c>
      <c r="F49" s="2875">
        <f>'Info Entrada'!E1</f>
        <v>43465</v>
      </c>
      <c r="G49" s="2628">
        <f>+IF('Resumen EEFF'!$F$10="SI",'Resumen EEFF'!E12,"")</f>
        <v>43830</v>
      </c>
      <c r="H49" s="2628">
        <f>+IF('Resumen EEFF'!$F$10="SI",'Resumen EEFF'!F12,"")</f>
        <v>44196</v>
      </c>
      <c r="J49" s="1032"/>
      <c r="K49" s="2875">
        <f>+D49</f>
        <v>42735</v>
      </c>
      <c r="L49" s="2875">
        <f>+E49</f>
        <v>43100</v>
      </c>
      <c r="M49" s="2875">
        <f>+F49</f>
        <v>43465</v>
      </c>
      <c r="N49" s="2628">
        <f>G49</f>
        <v>43830</v>
      </c>
      <c r="O49" s="2628">
        <f>H49</f>
        <v>44196</v>
      </c>
    </row>
    <row r="50" spans="3:15" x14ac:dyDescent="0.2">
      <c r="C50" s="1037" t="s">
        <v>1374</v>
      </c>
      <c r="D50" s="1040">
        <f>+'Resumen EEFF'!B13</f>
        <v>0</v>
      </c>
      <c r="E50" s="1040">
        <f>+'Resumen EEFF'!C13</f>
        <v>0</v>
      </c>
      <c r="F50" s="1040">
        <f>+'Resumen EEFF'!D13</f>
        <v>0</v>
      </c>
      <c r="G50" s="1040">
        <f>+IF('Resumen EEFF'!$F$10="SI",'Resumen EEFF'!E13,"")</f>
        <v>0</v>
      </c>
      <c r="H50" s="1040">
        <f>+IF('Resumen EEFF'!$F$10="SI",'Resumen EEFF'!F13,"")</f>
        <v>0</v>
      </c>
      <c r="J50" s="1032" t="s">
        <v>188</v>
      </c>
      <c r="K50" s="1034">
        <f>+'Resumen EEFF'!B19</f>
        <v>0</v>
      </c>
      <c r="L50" s="1034">
        <f>+'Resumen EEFF'!C19</f>
        <v>0</v>
      </c>
      <c r="M50" s="1034">
        <f>+'Resumen EEFF'!D19</f>
        <v>0</v>
      </c>
      <c r="N50" s="1035">
        <f>+IF('Resumen EEFF'!$F$10="SI",'Resumen EEFF'!L19,"")</f>
        <v>0</v>
      </c>
      <c r="O50" s="1035">
        <f>+IF('Resumen EEFF'!$F$10="SI",'Resumen EEFF'!M19,"")</f>
        <v>0</v>
      </c>
    </row>
    <row r="51" spans="3:15" x14ac:dyDescent="0.2">
      <c r="C51" s="1037" t="s">
        <v>1375</v>
      </c>
      <c r="D51" s="1037"/>
      <c r="E51" s="1041" t="e">
        <f>+(E50/D50)-1</f>
        <v>#DIV/0!</v>
      </c>
      <c r="F51" s="1041" t="e">
        <f>+(F50/E50)-1</f>
        <v>#DIV/0!</v>
      </c>
      <c r="G51" s="1041" t="e">
        <f>IF('Resumen EEFF'!$F$10="SI",(G50/F50)-1,"")</f>
        <v>#DIV/0!</v>
      </c>
      <c r="H51" s="1041" t="e">
        <f>IF('Resumen EEFF'!$F$10="SI",(H50/G50)-1,"")</f>
        <v>#DIV/0!</v>
      </c>
      <c r="J51" s="1032" t="s">
        <v>1375</v>
      </c>
      <c r="K51" s="1032"/>
      <c r="L51" s="1036" t="e">
        <f>+(L50/K50)-1</f>
        <v>#DIV/0!</v>
      </c>
      <c r="M51" s="1036" t="e">
        <f>+(M50/L50)-1</f>
        <v>#DIV/0!</v>
      </c>
      <c r="N51" s="1036" t="e">
        <f>+(N50/M50)-1</f>
        <v>#DIV/0!</v>
      </c>
      <c r="O51" s="1036" t="e">
        <f>+(O50/N50)-1</f>
        <v>#DIV/0!</v>
      </c>
    </row>
    <row r="56" spans="3:15" x14ac:dyDescent="0.2">
      <c r="C56" s="1043" t="s">
        <v>1090</v>
      </c>
      <c r="D56" s="2875">
        <f>+D49</f>
        <v>42735</v>
      </c>
      <c r="E56" s="2875">
        <f>+E49</f>
        <v>43100</v>
      </c>
      <c r="F56" s="2875">
        <f>+F49</f>
        <v>43465</v>
      </c>
      <c r="G56" s="2628">
        <f>+IF('Resumen EEFF'!$F$10="SI",'Resumen EEFF'!E12,"")</f>
        <v>43830</v>
      </c>
      <c r="H56" s="2628">
        <f>+IF('Resumen EEFF'!$F$10="SI",'Resumen EEFF'!F12,"")</f>
        <v>44196</v>
      </c>
      <c r="J56" s="1043"/>
      <c r="K56" s="2875">
        <f>+K49</f>
        <v>42735</v>
      </c>
      <c r="L56" s="2875">
        <f>+L49</f>
        <v>43100</v>
      </c>
      <c r="M56" s="2875">
        <f>+M49</f>
        <v>43465</v>
      </c>
      <c r="N56" s="2628">
        <f>+IF('Resumen EEFF'!$F$10="SI",'Resumen EEFF'!E12,"")</f>
        <v>43830</v>
      </c>
      <c r="O56" s="2628">
        <f>+IF('Resumen EEFF'!$F$10="SI",'Resumen EEFF'!F12,"")</f>
        <v>44196</v>
      </c>
    </row>
    <row r="57" spans="3:15" x14ac:dyDescent="0.2">
      <c r="C57" s="1032" t="s">
        <v>1376</v>
      </c>
      <c r="D57" s="1034">
        <f>+'Resumen EEFF'!B75</f>
        <v>0</v>
      </c>
      <c r="E57" s="1034">
        <f>+'Resumen EEFF'!C75</f>
        <v>0</v>
      </c>
      <c r="F57" s="1034">
        <f>+'Resumen EEFF'!D75</f>
        <v>0</v>
      </c>
      <c r="G57" s="1034">
        <f ca="1">+IF('Resumen EEFF'!$F$10="SI",'Resumen EEFF'!E75,"")</f>
        <v>0</v>
      </c>
      <c r="H57" s="1034">
        <f ca="1">+IF('Resumen EEFF'!$F$10="SI",'Resumen EEFF'!F75,"")</f>
        <v>0</v>
      </c>
      <c r="J57" s="1032" t="s">
        <v>1377</v>
      </c>
      <c r="K57" s="1646" t="e">
        <f>+'Resumen EEFF'!B108/'Resumen EEFF'!B19</f>
        <v>#DIV/0!</v>
      </c>
      <c r="L57" s="1646" t="e">
        <f>+'Resumen EEFF'!C108/'Resumen EEFF'!C19</f>
        <v>#DIV/0!</v>
      </c>
      <c r="M57" s="1646" t="e">
        <f>+'Resumen EEFF'!D108/'Resumen EEFF'!D19</f>
        <v>#DIV/0!</v>
      </c>
      <c r="N57" s="1646" t="e">
        <f ca="1">+IF('Resumen EEFF'!$F$10="SI",'Resumen EEFF'!E108/'Resumen EEFF'!E19,"")</f>
        <v>#DIV/0!</v>
      </c>
      <c r="O57" s="1646" t="e">
        <f ca="1">+IF('Resumen EEFF'!$F$10="SI",'Resumen EEFF'!F108/'Resumen EEFF'!F19,"")</f>
        <v>#DIV/0!</v>
      </c>
    </row>
    <row r="58" spans="3:15" x14ac:dyDescent="0.2">
      <c r="C58" s="1032" t="s">
        <v>1377</v>
      </c>
      <c r="D58" s="1034">
        <f>+'Resumen EEFF'!B108</f>
        <v>0</v>
      </c>
      <c r="E58" s="1034">
        <f>+'Resumen EEFF'!C108</f>
        <v>0</v>
      </c>
      <c r="F58" s="1034">
        <f>+'Resumen EEFF'!D108</f>
        <v>0</v>
      </c>
      <c r="G58" s="1034">
        <f ca="1">+IF('Resumen EEFF'!$F$10="SI",'Resumen EEFF'!E108,"")</f>
        <v>0</v>
      </c>
      <c r="H58" s="1034">
        <f ca="1">+IF('Resumen EEFF'!$F$10="SI",'Resumen EEFF'!F108,"")</f>
        <v>0</v>
      </c>
      <c r="J58" s="1032" t="s">
        <v>1378</v>
      </c>
      <c r="K58" s="1646" t="e">
        <f>+'Resumen EEFF'!B107/'Resumen EEFF'!B19</f>
        <v>#DIV/0!</v>
      </c>
      <c r="L58" s="1646" t="e">
        <f>+'Resumen EEFF'!C107/'Resumen EEFF'!C19</f>
        <v>#DIV/0!</v>
      </c>
      <c r="M58" s="1646" t="e">
        <f>+'Resumen EEFF'!D107/'Resumen EEFF'!D19</f>
        <v>#DIV/0!</v>
      </c>
      <c r="N58" s="1646" t="e">
        <f ca="1">+IF('Resumen EEFF'!$F$10="SI",'Resumen EEFF'!E107/'Resumen EEFF'!E19,"")</f>
        <v>#DIV/0!</v>
      </c>
      <c r="O58" s="1646" t="e">
        <f ca="1">+IF('Resumen EEFF'!$F$10="SI",'Resumen EEFF'!F107/'Resumen EEFF'!F19,"")</f>
        <v>#DIV/0!</v>
      </c>
    </row>
    <row r="59" spans="3:15" x14ac:dyDescent="0.2">
      <c r="C59" s="1032" t="s">
        <v>1378</v>
      </c>
      <c r="D59" s="1034">
        <f>+'Resumen EEFF'!B107</f>
        <v>0</v>
      </c>
      <c r="E59" s="1034">
        <f>+'Resumen EEFF'!C107</f>
        <v>0</v>
      </c>
      <c r="F59" s="1034">
        <f>+'Resumen EEFF'!D107</f>
        <v>0</v>
      </c>
      <c r="G59" s="1034">
        <f ca="1">+G57+G58</f>
        <v>0</v>
      </c>
      <c r="H59" s="1034">
        <f ca="1">+H57+H58</f>
        <v>0</v>
      </c>
      <c r="K59" s="1020"/>
      <c r="L59" s="1020"/>
      <c r="M59" s="1020"/>
      <c r="N59" s="1020"/>
      <c r="O59" s="1020"/>
    </row>
  </sheetData>
  <mergeCells count="1">
    <mergeCell ref="H2:L2"/>
  </mergeCells>
  <pageMargins left="0.70866141732283472" right="0.70866141732283472" top="0.74803149606299213" bottom="0.74803149606299213" header="0.31496062992125984" footer="0.31496062992125984"/>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V141"/>
  <sheetViews>
    <sheetView showGridLines="0" topLeftCell="A9" zoomScaleNormal="100" zoomScaleSheetLayoutView="70" zoomScalePageLayoutView="85" workbookViewId="0">
      <selection activeCell="B10" sqref="B10"/>
    </sheetView>
  </sheetViews>
  <sheetFormatPr baseColWidth="10" defaultRowHeight="9" x14ac:dyDescent="0.15"/>
  <cols>
    <col min="1" max="1" width="38.140625" style="2778" customWidth="1"/>
    <col min="2" max="4" width="12.28515625" style="2778" customWidth="1"/>
    <col min="5" max="5" width="12.28515625" style="2780" customWidth="1"/>
    <col min="6" max="22" width="12.28515625" style="2778" customWidth="1"/>
    <col min="23" max="16384" width="11.42578125" style="2778"/>
  </cols>
  <sheetData>
    <row r="1" spans="1:22" hidden="1" x14ac:dyDescent="0.15">
      <c r="A1" s="2778" t="s">
        <v>3085</v>
      </c>
      <c r="B1" s="2779">
        <f>B2/1000</f>
        <v>0.83783754999999993</v>
      </c>
    </row>
    <row r="2" spans="1:22" hidden="1" x14ac:dyDescent="0.15">
      <c r="A2" s="2778" t="s">
        <v>3086</v>
      </c>
      <c r="B2" s="2778">
        <f>VLOOKUP('Info Entrada'!E1,General!$C$36:$F$129,4,0)</f>
        <v>837.83754999999996</v>
      </c>
    </row>
    <row r="3" spans="1:22" hidden="1" x14ac:dyDescent="0.15">
      <c r="A3" s="2778" t="s">
        <v>544</v>
      </c>
      <c r="B3" s="2779">
        <f>B4/1000</f>
        <v>3.7222636499999999</v>
      </c>
    </row>
    <row r="4" spans="1:22" hidden="1" x14ac:dyDescent="0.15">
      <c r="A4" s="2778" t="s">
        <v>1295</v>
      </c>
      <c r="B4" s="2779">
        <f>VLOOKUP('Info Entrada'!E1,General!$C$36:$F$129,3,0)</f>
        <v>3722.2636499999999</v>
      </c>
    </row>
    <row r="5" spans="1:22" hidden="1" x14ac:dyDescent="0.15">
      <c r="A5" s="2778" t="s">
        <v>1302</v>
      </c>
      <c r="B5" s="2779">
        <f>B6/1000</f>
        <v>3.2497500000000001</v>
      </c>
    </row>
    <row r="6" spans="1:22" hidden="1" x14ac:dyDescent="0.15">
      <c r="A6" s="2778" t="s">
        <v>1303</v>
      </c>
      <c r="B6" s="2779">
        <f>VLOOKUP('Info Entrada'!E1,General!$C$36:$F$129,2,0)</f>
        <v>3249.75</v>
      </c>
    </row>
    <row r="7" spans="1:22" hidden="1" x14ac:dyDescent="0.15">
      <c r="A7" s="2778" t="s">
        <v>543</v>
      </c>
      <c r="B7" s="2779">
        <v>1</v>
      </c>
      <c r="D7" s="2781"/>
      <c r="F7" s="2781"/>
      <c r="G7" s="2781"/>
      <c r="H7" s="2781"/>
    </row>
    <row r="8" spans="1:22" hidden="1" x14ac:dyDescent="0.15">
      <c r="A8" s="2778">
        <f>VLOOKUP(B10,$A$1:$B$7,2,0)</f>
        <v>1</v>
      </c>
      <c r="D8" s="2781"/>
      <c r="F8" s="2781"/>
      <c r="G8" s="2781"/>
      <c r="H8" s="2781"/>
    </row>
    <row r="9" spans="1:22" ht="9.75" thickBot="1" x14ac:dyDescent="0.2">
      <c r="D9" s="2781"/>
      <c r="F9" s="2781"/>
      <c r="G9" s="2781"/>
      <c r="H9" s="2781"/>
    </row>
    <row r="10" spans="1:22" ht="9.75" thickBot="1" x14ac:dyDescent="0.2">
      <c r="A10" s="2408" t="s">
        <v>1195</v>
      </c>
      <c r="B10" s="2782" t="s">
        <v>543</v>
      </c>
      <c r="C10" s="2783"/>
      <c r="D10" s="2784"/>
      <c r="E10" s="2785"/>
      <c r="F10" s="2785" t="s">
        <v>103</v>
      </c>
      <c r="G10" s="2781"/>
      <c r="H10" s="2781"/>
    </row>
    <row r="11" spans="1:22" x14ac:dyDescent="0.15">
      <c r="C11" s="2783"/>
      <c r="D11" s="2785" t="s">
        <v>845</v>
      </c>
      <c r="E11" s="2785"/>
      <c r="F11" s="2785"/>
      <c r="G11" s="2781"/>
      <c r="H11" s="2781"/>
    </row>
    <row r="12" spans="1:22" x14ac:dyDescent="0.15">
      <c r="A12" s="2786"/>
      <c r="B12" s="2787">
        <f>'Info Entrada'!C1</f>
        <v>42735</v>
      </c>
      <c r="C12" s="2787">
        <f>'Info Entrada'!D1</f>
        <v>43100</v>
      </c>
      <c r="D12" s="2788">
        <f>'Info Entrada'!E1</f>
        <v>43465</v>
      </c>
      <c r="E12" s="2789">
        <f>'Info Entrada'!H1</f>
        <v>43830</v>
      </c>
      <c r="F12" s="2789">
        <f>'Info Entrada'!I1</f>
        <v>44196</v>
      </c>
      <c r="G12" s="2789">
        <f>'Info Entrada'!J1</f>
        <v>44561</v>
      </c>
      <c r="H12" s="2789">
        <f>'Info Entrada'!K1</f>
        <v>44926</v>
      </c>
      <c r="I12" s="2789">
        <f>'Info Entrada'!L1</f>
        <v>45291</v>
      </c>
      <c r="J12" s="2789">
        <f>'Info Entrada'!M1</f>
        <v>45657</v>
      </c>
      <c r="K12" s="2789">
        <f>'Info Entrada'!N1</f>
        <v>46022</v>
      </c>
      <c r="L12" s="2789">
        <f>'Info Entrada'!O1</f>
        <v>46387</v>
      </c>
      <c r="M12" s="2789">
        <f>'Info Entrada'!P1</f>
        <v>46752</v>
      </c>
      <c r="N12" s="2789">
        <f>'Info Entrada'!Q1</f>
        <v>47118</v>
      </c>
      <c r="O12" s="2789">
        <f>'Info Entrada'!R1</f>
        <v>47483</v>
      </c>
      <c r="P12" s="2789">
        <f>'Info Entrada'!S1</f>
        <v>47848</v>
      </c>
      <c r="Q12" s="2789">
        <f>'Info Entrada'!T1</f>
        <v>48213</v>
      </c>
      <c r="R12" s="2789">
        <f>'Info Entrada'!U1</f>
        <v>48579</v>
      </c>
      <c r="S12" s="2789">
        <f>'Info Entrada'!V1</f>
        <v>48944</v>
      </c>
      <c r="T12" s="2789">
        <f>'Info Entrada'!W1</f>
        <v>49309</v>
      </c>
      <c r="U12" s="2788">
        <f>'Info Entrada'!F1</f>
        <v>43281</v>
      </c>
      <c r="V12" s="2790">
        <f>'Info Entrada'!G1</f>
        <v>43646</v>
      </c>
    </row>
    <row r="13" spans="1:22" x14ac:dyDescent="0.15">
      <c r="A13" s="2791" t="s">
        <v>1085</v>
      </c>
      <c r="B13" s="2792">
        <f>'Info Entrada'!C77/$A$8</f>
        <v>0</v>
      </c>
      <c r="C13" s="2792">
        <f>'Info Entrada'!D77/$A$8</f>
        <v>0</v>
      </c>
      <c r="D13" s="2793">
        <f>'Info Entrada'!E77/$A$8</f>
        <v>0</v>
      </c>
      <c r="E13" s="2792">
        <f>'Info Entrada'!H77/$A$8</f>
        <v>0</v>
      </c>
      <c r="F13" s="2794">
        <f>'Info Entrada'!I77/$A$8</f>
        <v>0</v>
      </c>
      <c r="G13" s="2794">
        <f>'Info Entrada'!J77/$A$8</f>
        <v>0</v>
      </c>
      <c r="H13" s="2794">
        <f>'Info Entrada'!K77/$A$8</f>
        <v>0</v>
      </c>
      <c r="I13" s="2794">
        <f>'Info Entrada'!L77/$A$8</f>
        <v>0</v>
      </c>
      <c r="J13" s="2794">
        <f>'Info Entrada'!M77/$A$8</f>
        <v>0</v>
      </c>
      <c r="K13" s="2794">
        <f>'Info Entrada'!N77/$A$8</f>
        <v>0</v>
      </c>
      <c r="L13" s="2794">
        <f>'Info Entrada'!O77/$A$8</f>
        <v>0</v>
      </c>
      <c r="M13" s="2794">
        <f>'Info Entrada'!P77/$A$8</f>
        <v>0</v>
      </c>
      <c r="N13" s="2794">
        <f>'Info Entrada'!Q77/$A$8</f>
        <v>0</v>
      </c>
      <c r="O13" s="2794">
        <f>'Info Entrada'!R77/$A$8</f>
        <v>0</v>
      </c>
      <c r="P13" s="2794">
        <f>'Info Entrada'!S77/$A$8</f>
        <v>0</v>
      </c>
      <c r="Q13" s="2794">
        <f>'Info Entrada'!T77/$A$8</f>
        <v>0</v>
      </c>
      <c r="R13" s="2794">
        <f>'Info Entrada'!U77/$A$8</f>
        <v>0</v>
      </c>
      <c r="S13" s="2794">
        <f>'Info Entrada'!V77/$A$8</f>
        <v>0</v>
      </c>
      <c r="T13" s="2794">
        <f>'Info Entrada'!W77/$A$8</f>
        <v>0</v>
      </c>
      <c r="U13" s="2792">
        <f>'Info Entrada'!F77/$A$8</f>
        <v>0</v>
      </c>
      <c r="V13" s="2792">
        <f>'Info Entrada'!G77/$A$8</f>
        <v>0</v>
      </c>
    </row>
    <row r="14" spans="1:22" x14ac:dyDescent="0.15">
      <c r="A14" s="2795" t="s">
        <v>1118</v>
      </c>
      <c r="B14" s="2796">
        <f>-'Info Entrada'!C89/$A$8</f>
        <v>0</v>
      </c>
      <c r="C14" s="2796">
        <f>-'Info Entrada'!D89/$A$8</f>
        <v>0</v>
      </c>
      <c r="D14" s="2797">
        <f>-'Info Entrada'!E89/$A$8</f>
        <v>0</v>
      </c>
      <c r="E14" s="2796">
        <f>-'Info Entrada'!H89/$A$8</f>
        <v>0</v>
      </c>
      <c r="F14" s="2798">
        <f>-'Info Entrada'!I89/$A$8</f>
        <v>0</v>
      </c>
      <c r="G14" s="2798">
        <f>-'Info Entrada'!J89/$A$8</f>
        <v>0</v>
      </c>
      <c r="H14" s="2798">
        <f>-'Info Entrada'!K89/$A$8</f>
        <v>0</v>
      </c>
      <c r="I14" s="2798">
        <f>-'Info Entrada'!L89/$A$8</f>
        <v>0</v>
      </c>
      <c r="J14" s="2798">
        <f>-'Info Entrada'!M89/$A$8</f>
        <v>0</v>
      </c>
      <c r="K14" s="2798">
        <f>-'Info Entrada'!N89/$A$8</f>
        <v>0</v>
      </c>
      <c r="L14" s="2798">
        <f>-'Info Entrada'!O89/$A$8</f>
        <v>0</v>
      </c>
      <c r="M14" s="2798">
        <f>-'Info Entrada'!P89/$A$8</f>
        <v>0</v>
      </c>
      <c r="N14" s="2798">
        <f>-'Info Entrada'!Q89/$A$8</f>
        <v>0</v>
      </c>
      <c r="O14" s="2798">
        <f>-'Info Entrada'!R89/$A$8</f>
        <v>0</v>
      </c>
      <c r="P14" s="2798">
        <f>-'Info Entrada'!S89/$A$8</f>
        <v>0</v>
      </c>
      <c r="Q14" s="2798">
        <f>-'Info Entrada'!T89/$A$8</f>
        <v>0</v>
      </c>
      <c r="R14" s="2798">
        <f>-'Info Entrada'!U89/$A$8</f>
        <v>0</v>
      </c>
      <c r="S14" s="2798">
        <f>-'Info Entrada'!V89/$A$8</f>
        <v>0</v>
      </c>
      <c r="T14" s="2798">
        <f>-'Info Entrada'!W89/$A$8</f>
        <v>0</v>
      </c>
      <c r="U14" s="2796">
        <f>-'Info Entrada'!F89/$A$8</f>
        <v>0</v>
      </c>
      <c r="V14" s="2796">
        <f>-'Info Entrada'!G89/$A$8</f>
        <v>0</v>
      </c>
    </row>
    <row r="15" spans="1:22" ht="9.75" thickBot="1" x14ac:dyDescent="0.2">
      <c r="A15" s="2799" t="s">
        <v>1142</v>
      </c>
      <c r="B15" s="2800">
        <f>SUM(B13:B14)</f>
        <v>0</v>
      </c>
      <c r="C15" s="2800">
        <f>SUM(C13:C14)</f>
        <v>0</v>
      </c>
      <c r="D15" s="2801">
        <f>SUM(D13:D14)</f>
        <v>0</v>
      </c>
      <c r="E15" s="2800">
        <f t="shared" ref="E15:T15" si="0">SUM(E13:E14)</f>
        <v>0</v>
      </c>
      <c r="F15" s="2802">
        <f t="shared" si="0"/>
        <v>0</v>
      </c>
      <c r="G15" s="2802">
        <f t="shared" si="0"/>
        <v>0</v>
      </c>
      <c r="H15" s="2802">
        <f t="shared" si="0"/>
        <v>0</v>
      </c>
      <c r="I15" s="2802">
        <f t="shared" si="0"/>
        <v>0</v>
      </c>
      <c r="J15" s="2802">
        <f t="shared" si="0"/>
        <v>0</v>
      </c>
      <c r="K15" s="2802">
        <f t="shared" si="0"/>
        <v>0</v>
      </c>
      <c r="L15" s="2802">
        <f t="shared" si="0"/>
        <v>0</v>
      </c>
      <c r="M15" s="2802">
        <f t="shared" si="0"/>
        <v>0</v>
      </c>
      <c r="N15" s="2802">
        <f t="shared" si="0"/>
        <v>0</v>
      </c>
      <c r="O15" s="2802">
        <f t="shared" si="0"/>
        <v>0</v>
      </c>
      <c r="P15" s="2802">
        <f t="shared" si="0"/>
        <v>0</v>
      </c>
      <c r="Q15" s="2802">
        <f t="shared" si="0"/>
        <v>0</v>
      </c>
      <c r="R15" s="2802">
        <f t="shared" si="0"/>
        <v>0</v>
      </c>
      <c r="S15" s="2802">
        <f t="shared" si="0"/>
        <v>0</v>
      </c>
      <c r="T15" s="2802">
        <f t="shared" si="0"/>
        <v>0</v>
      </c>
      <c r="U15" s="2800">
        <f>SUM(U13:U14)</f>
        <v>0</v>
      </c>
      <c r="V15" s="2800">
        <f>SUM(V13:V14)</f>
        <v>0</v>
      </c>
    </row>
    <row r="16" spans="1:22" x14ac:dyDescent="0.15">
      <c r="A16" s="2803" t="s">
        <v>1119</v>
      </c>
      <c r="B16" s="2804">
        <f>(-'Info Entrada'!C94-'Info Entrada'!C103)/$A$8</f>
        <v>0</v>
      </c>
      <c r="C16" s="2804">
        <f>(-'Info Entrada'!D94-'Info Entrada'!D103)/$A$8</f>
        <v>0</v>
      </c>
      <c r="D16" s="2805">
        <f>(-'Info Entrada'!E94-'Info Entrada'!E103)/$A$8</f>
        <v>0</v>
      </c>
      <c r="E16" s="2804">
        <f>(-'Info Entrada'!H94-'Info Entrada'!H103)/$A$8</f>
        <v>0</v>
      </c>
      <c r="F16" s="2806">
        <f>(-'Info Entrada'!I94-'Info Entrada'!I103)/$A$8</f>
        <v>0</v>
      </c>
      <c r="G16" s="2806">
        <f>(-'Info Entrada'!J94-'Info Entrada'!J103)/$A$8</f>
        <v>0</v>
      </c>
      <c r="H16" s="2806">
        <f>(-'Info Entrada'!K94-'Info Entrada'!K103)/$A$8</f>
        <v>0</v>
      </c>
      <c r="I16" s="2806">
        <f>(-'Info Entrada'!L94-'Info Entrada'!L103)/$A$8</f>
        <v>0</v>
      </c>
      <c r="J16" s="2806">
        <f>(-'Info Entrada'!M94-'Info Entrada'!M103)/$A$8</f>
        <v>0</v>
      </c>
      <c r="K16" s="2806">
        <f>(-'Info Entrada'!N94-'Info Entrada'!N103)/$A$8</f>
        <v>0</v>
      </c>
      <c r="L16" s="2806">
        <f>(-'Info Entrada'!O94-'Info Entrada'!O103)/$A$8</f>
        <v>0</v>
      </c>
      <c r="M16" s="2806">
        <f>(-'Info Entrada'!P94-'Info Entrada'!P103)/$A$8</f>
        <v>0</v>
      </c>
      <c r="N16" s="2806">
        <f>(-'Info Entrada'!Q94-'Info Entrada'!Q103)/$A$8</f>
        <v>0</v>
      </c>
      <c r="O16" s="2806">
        <f>(-'Info Entrada'!R94-'Info Entrada'!R103)/$A$8</f>
        <v>0</v>
      </c>
      <c r="P16" s="2806">
        <f>(-'Info Entrada'!S94-'Info Entrada'!S103)/$A$8</f>
        <v>0</v>
      </c>
      <c r="Q16" s="2806">
        <f>(-'Info Entrada'!T94-'Info Entrada'!T103)/$A$8</f>
        <v>0</v>
      </c>
      <c r="R16" s="2806">
        <f>(-'Info Entrada'!U94-'Info Entrada'!U103)/$A$8</f>
        <v>0</v>
      </c>
      <c r="S16" s="2806">
        <f>(-'Info Entrada'!V94-'Info Entrada'!V103)/$A$8</f>
        <v>0</v>
      </c>
      <c r="T16" s="2806">
        <f>(-'Info Entrada'!W94-'Info Entrada'!W103)/$A$8</f>
        <v>0</v>
      </c>
      <c r="U16" s="2804">
        <f>(-'Info Entrada'!F94-'Info Entrada'!F103)/$A$8</f>
        <v>0</v>
      </c>
      <c r="V16" s="2804">
        <f>(-'Info Entrada'!G94-'Info Entrada'!G103)/$A$8</f>
        <v>0</v>
      </c>
    </row>
    <row r="17" spans="1:22" x14ac:dyDescent="0.15">
      <c r="A17" s="2795" t="s">
        <v>1120</v>
      </c>
      <c r="B17" s="2796">
        <f>'Info Entrada'!C111/$A$8</f>
        <v>0</v>
      </c>
      <c r="C17" s="2796">
        <f>'Info Entrada'!D111/$A$8</f>
        <v>0</v>
      </c>
      <c r="D17" s="2797">
        <f>'Info Entrada'!E111/$A$8</f>
        <v>0</v>
      </c>
      <c r="E17" s="2796">
        <f>'Info Entrada'!H111/$A$8</f>
        <v>0</v>
      </c>
      <c r="F17" s="2798">
        <f>'Info Entrada'!I111/$A$8</f>
        <v>0</v>
      </c>
      <c r="G17" s="2798">
        <f>'Info Entrada'!J111/$A$8</f>
        <v>0</v>
      </c>
      <c r="H17" s="2798">
        <f>'Info Entrada'!K111/$A$8</f>
        <v>0</v>
      </c>
      <c r="I17" s="2798">
        <f>'Info Entrada'!L111/$A$8</f>
        <v>0</v>
      </c>
      <c r="J17" s="2798">
        <f>'Info Entrada'!M111/$A$8</f>
        <v>0</v>
      </c>
      <c r="K17" s="2798">
        <f>'Info Entrada'!N111/$A$8</f>
        <v>0</v>
      </c>
      <c r="L17" s="2798">
        <f>'Info Entrada'!O111/$A$8</f>
        <v>0</v>
      </c>
      <c r="M17" s="2798">
        <f>'Info Entrada'!P111/$A$8</f>
        <v>0</v>
      </c>
      <c r="N17" s="2798">
        <f>'Info Entrada'!Q111/$A$8</f>
        <v>0</v>
      </c>
      <c r="O17" s="2798">
        <f>'Info Entrada'!R111/$A$8</f>
        <v>0</v>
      </c>
      <c r="P17" s="2798">
        <f>'Info Entrada'!S111/$A$8</f>
        <v>0</v>
      </c>
      <c r="Q17" s="2798">
        <f>'Info Entrada'!T111/$A$8</f>
        <v>0</v>
      </c>
      <c r="R17" s="2798">
        <f>'Info Entrada'!U111/$A$8</f>
        <v>0</v>
      </c>
      <c r="S17" s="2798">
        <f>'Info Entrada'!V111/$A$8</f>
        <v>0</v>
      </c>
      <c r="T17" s="2798">
        <f>'Info Entrada'!W111/$A$8</f>
        <v>0</v>
      </c>
      <c r="U17" s="2796">
        <f>'Info Entrada'!F111/$A$8</f>
        <v>0</v>
      </c>
      <c r="V17" s="2796">
        <f>'Info Entrada'!G111/$A$8</f>
        <v>0</v>
      </c>
    </row>
    <row r="18" spans="1:22" ht="9.75" thickBot="1" x14ac:dyDescent="0.2">
      <c r="A18" s="2807" t="s">
        <v>1124</v>
      </c>
      <c r="B18" s="2808">
        <f>-'Info Entrada'!C110/$A$8</f>
        <v>0</v>
      </c>
      <c r="C18" s="2808">
        <f>-'Info Entrada'!D110/$A$8</f>
        <v>0</v>
      </c>
      <c r="D18" s="2809">
        <f>-'Info Entrada'!E110/$A$8</f>
        <v>0</v>
      </c>
      <c r="E18" s="2808">
        <f>-'Info Entrada'!H110/$A$8</f>
        <v>0</v>
      </c>
      <c r="F18" s="2810">
        <f>-'Info Entrada'!I110/$A$8</f>
        <v>0</v>
      </c>
      <c r="G18" s="2810">
        <f>-'Info Entrada'!J110/$A$8</f>
        <v>0</v>
      </c>
      <c r="H18" s="2810">
        <f>-'Info Entrada'!K110/$A$8</f>
        <v>0</v>
      </c>
      <c r="I18" s="2810">
        <f>-'Info Entrada'!L110/$A$8</f>
        <v>0</v>
      </c>
      <c r="J18" s="2810">
        <f>-'Info Entrada'!M110/$A$8</f>
        <v>0</v>
      </c>
      <c r="K18" s="2810">
        <f>-'Info Entrada'!N110/$A$8</f>
        <v>0</v>
      </c>
      <c r="L18" s="2810">
        <f>-'Info Entrada'!O110/$A$8</f>
        <v>0</v>
      </c>
      <c r="M18" s="2810">
        <f>-'Info Entrada'!P110/$A$8</f>
        <v>0</v>
      </c>
      <c r="N18" s="2810">
        <f>-'Info Entrada'!Q110/$A$8</f>
        <v>0</v>
      </c>
      <c r="O18" s="2810">
        <f>-'Info Entrada'!R110/$A$8</f>
        <v>0</v>
      </c>
      <c r="P18" s="2810">
        <f>-'Info Entrada'!S110/$A$8</f>
        <v>0</v>
      </c>
      <c r="Q18" s="2810">
        <f>-'Info Entrada'!T110/$A$8</f>
        <v>0</v>
      </c>
      <c r="R18" s="2810">
        <f>-'Info Entrada'!U110/$A$8</f>
        <v>0</v>
      </c>
      <c r="S18" s="2810">
        <f>-'Info Entrada'!V110/$A$8</f>
        <v>0</v>
      </c>
      <c r="T18" s="2810">
        <f>-'Info Entrada'!W110/$A$8</f>
        <v>0</v>
      </c>
      <c r="U18" s="2808">
        <f>-'Info Entrada'!F110/$A$8</f>
        <v>0</v>
      </c>
      <c r="V18" s="2808">
        <f>-'Info Entrada'!G110/$A$8</f>
        <v>0</v>
      </c>
    </row>
    <row r="19" spans="1:22" ht="9.75" thickBot="1" x14ac:dyDescent="0.2">
      <c r="A19" s="2811" t="s">
        <v>1143</v>
      </c>
      <c r="B19" s="2812">
        <f>SUM(B15:B18)</f>
        <v>0</v>
      </c>
      <c r="C19" s="2812">
        <f>SUM(C15:C18)</f>
        <v>0</v>
      </c>
      <c r="D19" s="2813">
        <f>SUM(D15:D18)</f>
        <v>0</v>
      </c>
      <c r="E19" s="2812">
        <f t="shared" ref="E19:T19" si="1">SUM(E15:E18)</f>
        <v>0</v>
      </c>
      <c r="F19" s="2814">
        <f t="shared" si="1"/>
        <v>0</v>
      </c>
      <c r="G19" s="2814">
        <f t="shared" si="1"/>
        <v>0</v>
      </c>
      <c r="H19" s="2814">
        <f t="shared" si="1"/>
        <v>0</v>
      </c>
      <c r="I19" s="2814">
        <f t="shared" si="1"/>
        <v>0</v>
      </c>
      <c r="J19" s="2814">
        <f t="shared" si="1"/>
        <v>0</v>
      </c>
      <c r="K19" s="2814">
        <f t="shared" si="1"/>
        <v>0</v>
      </c>
      <c r="L19" s="2814">
        <f t="shared" si="1"/>
        <v>0</v>
      </c>
      <c r="M19" s="2814">
        <f t="shared" si="1"/>
        <v>0</v>
      </c>
      <c r="N19" s="2814">
        <f t="shared" si="1"/>
        <v>0</v>
      </c>
      <c r="O19" s="2814">
        <f t="shared" si="1"/>
        <v>0</v>
      </c>
      <c r="P19" s="2814">
        <f t="shared" si="1"/>
        <v>0</v>
      </c>
      <c r="Q19" s="2814">
        <f t="shared" si="1"/>
        <v>0</v>
      </c>
      <c r="R19" s="2814">
        <f t="shared" si="1"/>
        <v>0</v>
      </c>
      <c r="S19" s="2814">
        <f t="shared" si="1"/>
        <v>0</v>
      </c>
      <c r="T19" s="2814">
        <f t="shared" si="1"/>
        <v>0</v>
      </c>
      <c r="U19" s="2812">
        <f>SUM(U15:U18)</f>
        <v>0</v>
      </c>
      <c r="V19" s="2812">
        <f>SUM(V15:V18)</f>
        <v>0</v>
      </c>
    </row>
    <row r="20" spans="1:22" x14ac:dyDescent="0.15">
      <c r="A20" s="2815" t="s">
        <v>1144</v>
      </c>
      <c r="B20" s="2816">
        <f>IF(B19&lt;&gt;0,B19/B13,0)</f>
        <v>0</v>
      </c>
      <c r="C20" s="2816">
        <f t="shared" ref="C20:T20" si="2">IF(C19&lt;&gt;0,C19/C13,0)</f>
        <v>0</v>
      </c>
      <c r="D20" s="2817">
        <f t="shared" si="2"/>
        <v>0</v>
      </c>
      <c r="E20" s="2816">
        <f t="shared" si="2"/>
        <v>0</v>
      </c>
      <c r="F20" s="2816">
        <f t="shared" si="2"/>
        <v>0</v>
      </c>
      <c r="G20" s="2816">
        <f t="shared" si="2"/>
        <v>0</v>
      </c>
      <c r="H20" s="2816">
        <f t="shared" si="2"/>
        <v>0</v>
      </c>
      <c r="I20" s="2816">
        <f t="shared" si="2"/>
        <v>0</v>
      </c>
      <c r="J20" s="2816">
        <f t="shared" si="2"/>
        <v>0</v>
      </c>
      <c r="K20" s="2816">
        <f t="shared" si="2"/>
        <v>0</v>
      </c>
      <c r="L20" s="2816">
        <f t="shared" si="2"/>
        <v>0</v>
      </c>
      <c r="M20" s="2816">
        <f t="shared" si="2"/>
        <v>0</v>
      </c>
      <c r="N20" s="2816">
        <f t="shared" si="2"/>
        <v>0</v>
      </c>
      <c r="O20" s="2816">
        <f t="shared" si="2"/>
        <v>0</v>
      </c>
      <c r="P20" s="2816">
        <f t="shared" si="2"/>
        <v>0</v>
      </c>
      <c r="Q20" s="2816">
        <f t="shared" si="2"/>
        <v>0</v>
      </c>
      <c r="R20" s="2816">
        <f t="shared" si="2"/>
        <v>0</v>
      </c>
      <c r="S20" s="2816">
        <f t="shared" si="2"/>
        <v>0</v>
      </c>
      <c r="T20" s="2816">
        <f t="shared" si="2"/>
        <v>0</v>
      </c>
      <c r="U20" s="2816">
        <f>IF(U19&lt;&gt;0,U19/U13,0)</f>
        <v>0</v>
      </c>
      <c r="V20" s="2816">
        <f>IF(V19&lt;&gt;0,V19/V13,0)</f>
        <v>0</v>
      </c>
    </row>
    <row r="21" spans="1:22" x14ac:dyDescent="0.15">
      <c r="A21" s="2795" t="s">
        <v>344</v>
      </c>
      <c r="B21" s="2796">
        <f>(-'Info Entrada'!C116-'Info Entrada'!C117)/$A$8</f>
        <v>0</v>
      </c>
      <c r="C21" s="2796">
        <f>(-'Info Entrada'!D116-'Info Entrada'!D117)/$A$8</f>
        <v>0</v>
      </c>
      <c r="D21" s="2797">
        <f>(-'Info Entrada'!E116-'Info Entrada'!E117)/$A$8</f>
        <v>0</v>
      </c>
      <c r="E21" s="2796">
        <f>(-'Info Entrada'!H116-'Info Entrada'!H117)/$A$8</f>
        <v>0</v>
      </c>
      <c r="F21" s="2798">
        <f>(-'Info Entrada'!I116-'Info Entrada'!I117)/$A$8</f>
        <v>0</v>
      </c>
      <c r="G21" s="2798">
        <f>(-'Info Entrada'!J116-'Info Entrada'!J117)/$A$8</f>
        <v>0</v>
      </c>
      <c r="H21" s="2798">
        <f>(-'Info Entrada'!K116-'Info Entrada'!K117)/$A$8</f>
        <v>0</v>
      </c>
      <c r="I21" s="2798">
        <f>(-'Info Entrada'!L116-'Info Entrada'!L117)/$A$8</f>
        <v>0</v>
      </c>
      <c r="J21" s="2798">
        <f>(-'Info Entrada'!M116-'Info Entrada'!M117)/$A$8</f>
        <v>0</v>
      </c>
      <c r="K21" s="2798">
        <f>(-'Info Entrada'!N116-'Info Entrada'!N117)/$A$8</f>
        <v>0</v>
      </c>
      <c r="L21" s="2798">
        <f>(-'Info Entrada'!O116-'Info Entrada'!O117)/$A$8</f>
        <v>0</v>
      </c>
      <c r="M21" s="2798">
        <f>(-'Info Entrada'!P116-'Info Entrada'!P117)/$A$8</f>
        <v>0</v>
      </c>
      <c r="N21" s="2798">
        <f>(-'Info Entrada'!Q116-'Info Entrada'!Q117)/$A$8</f>
        <v>0</v>
      </c>
      <c r="O21" s="2798">
        <f>(-'Info Entrada'!R116-'Info Entrada'!R117)/$A$8</f>
        <v>0</v>
      </c>
      <c r="P21" s="2798">
        <f>(-'Info Entrada'!S116-'Info Entrada'!S117)/$A$8</f>
        <v>0</v>
      </c>
      <c r="Q21" s="2798">
        <f>(-'Info Entrada'!T116-'Info Entrada'!T117)/$A$8</f>
        <v>0</v>
      </c>
      <c r="R21" s="2798">
        <f>(-'Info Entrada'!U116-'Info Entrada'!U117)/$A$8</f>
        <v>0</v>
      </c>
      <c r="S21" s="2798">
        <f>(-'Info Entrada'!V116-'Info Entrada'!V117)/$A$8</f>
        <v>0</v>
      </c>
      <c r="T21" s="2798">
        <f>(-'Info Entrada'!W116-'Info Entrada'!W117)/$A$8</f>
        <v>0</v>
      </c>
      <c r="U21" s="2796">
        <f>(-'Info Entrada'!F116-'Info Entrada'!F117)/$A$8</f>
        <v>0</v>
      </c>
      <c r="V21" s="2796">
        <f>(-'Info Entrada'!G116-'Info Entrada'!G117)/$A$8</f>
        <v>0</v>
      </c>
    </row>
    <row r="22" spans="1:22" ht="12" thickBot="1" x14ac:dyDescent="0.35">
      <c r="A22" s="2799" t="s">
        <v>1145</v>
      </c>
      <c r="B22" s="2800">
        <f>B19+B21</f>
        <v>0</v>
      </c>
      <c r="C22" s="2800">
        <f>C19+C21</f>
        <v>0</v>
      </c>
      <c r="D22" s="2801">
        <f>D19+D21</f>
        <v>0</v>
      </c>
      <c r="E22" s="2800">
        <f t="shared" ref="E22:T22" si="3">E19+E21</f>
        <v>0</v>
      </c>
      <c r="F22" s="2936">
        <f t="shared" si="3"/>
        <v>0</v>
      </c>
      <c r="G22" s="2802">
        <f t="shared" si="3"/>
        <v>0</v>
      </c>
      <c r="H22" s="2802">
        <f t="shared" si="3"/>
        <v>0</v>
      </c>
      <c r="I22" s="2802">
        <f t="shared" si="3"/>
        <v>0</v>
      </c>
      <c r="J22" s="2802">
        <f t="shared" si="3"/>
        <v>0</v>
      </c>
      <c r="K22" s="2802">
        <f t="shared" si="3"/>
        <v>0</v>
      </c>
      <c r="L22" s="2802">
        <f t="shared" si="3"/>
        <v>0</v>
      </c>
      <c r="M22" s="2802">
        <f t="shared" si="3"/>
        <v>0</v>
      </c>
      <c r="N22" s="2802">
        <f t="shared" si="3"/>
        <v>0</v>
      </c>
      <c r="O22" s="2802">
        <f t="shared" si="3"/>
        <v>0</v>
      </c>
      <c r="P22" s="2802">
        <f t="shared" si="3"/>
        <v>0</v>
      </c>
      <c r="Q22" s="2802">
        <f t="shared" si="3"/>
        <v>0</v>
      </c>
      <c r="R22" s="2802">
        <f t="shared" si="3"/>
        <v>0</v>
      </c>
      <c r="S22" s="2802">
        <f t="shared" si="3"/>
        <v>0</v>
      </c>
      <c r="T22" s="2802">
        <f t="shared" si="3"/>
        <v>0</v>
      </c>
      <c r="U22" s="2800">
        <f>U19+U21</f>
        <v>0</v>
      </c>
      <c r="V22" s="2800">
        <f>V19+V21</f>
        <v>0</v>
      </c>
    </row>
    <row r="23" spans="1:22" x14ac:dyDescent="0.15">
      <c r="A23" s="2815" t="s">
        <v>1146</v>
      </c>
      <c r="B23" s="2816">
        <f>IF(B22&lt;&gt;0,B22/B13,0)</f>
        <v>0</v>
      </c>
      <c r="C23" s="2816">
        <f t="shared" ref="C23:T23" si="4">IF(C22&lt;&gt;0,C22/C13,0)</f>
        <v>0</v>
      </c>
      <c r="D23" s="2817">
        <f t="shared" si="4"/>
        <v>0</v>
      </c>
      <c r="E23" s="2816">
        <f t="shared" si="4"/>
        <v>0</v>
      </c>
      <c r="F23" s="2816">
        <f t="shared" si="4"/>
        <v>0</v>
      </c>
      <c r="G23" s="2816">
        <f t="shared" si="4"/>
        <v>0</v>
      </c>
      <c r="H23" s="2816">
        <f t="shared" si="4"/>
        <v>0</v>
      </c>
      <c r="I23" s="2816">
        <f t="shared" si="4"/>
        <v>0</v>
      </c>
      <c r="J23" s="2816">
        <f t="shared" si="4"/>
        <v>0</v>
      </c>
      <c r="K23" s="2816">
        <f t="shared" si="4"/>
        <v>0</v>
      </c>
      <c r="L23" s="2816">
        <f t="shared" si="4"/>
        <v>0</v>
      </c>
      <c r="M23" s="2816">
        <f t="shared" si="4"/>
        <v>0</v>
      </c>
      <c r="N23" s="2816">
        <f t="shared" si="4"/>
        <v>0</v>
      </c>
      <c r="O23" s="2816">
        <f t="shared" si="4"/>
        <v>0</v>
      </c>
      <c r="P23" s="2816">
        <f t="shared" si="4"/>
        <v>0</v>
      </c>
      <c r="Q23" s="2816">
        <f t="shared" si="4"/>
        <v>0</v>
      </c>
      <c r="R23" s="2816">
        <f t="shared" si="4"/>
        <v>0</v>
      </c>
      <c r="S23" s="2816">
        <f t="shared" si="4"/>
        <v>0</v>
      </c>
      <c r="T23" s="2816">
        <f t="shared" si="4"/>
        <v>0</v>
      </c>
      <c r="U23" s="2816">
        <f>IF(U22&lt;&gt;0,U22/U13,0)</f>
        <v>0</v>
      </c>
      <c r="V23" s="2816">
        <f>IF(V22&lt;&gt;0,V22/V13,0)</f>
        <v>0</v>
      </c>
    </row>
    <row r="24" spans="1:22" x14ac:dyDescent="0.15">
      <c r="A24" s="2795" t="s">
        <v>1126</v>
      </c>
      <c r="B24" s="2796">
        <f>'Info Entrada'!C122/$A$8</f>
        <v>0</v>
      </c>
      <c r="C24" s="2796">
        <f>'Info Entrada'!D122/$A$8</f>
        <v>0</v>
      </c>
      <c r="D24" s="2797">
        <f>'Info Entrada'!E122/$A$8</f>
        <v>0</v>
      </c>
      <c r="E24" s="2796">
        <f>'Info Entrada'!H122/$A$8</f>
        <v>0</v>
      </c>
      <c r="F24" s="2798">
        <f>'Info Entrada'!I122/$A$8</f>
        <v>0</v>
      </c>
      <c r="G24" s="2798">
        <f>'Info Entrada'!J122/$A$8</f>
        <v>0</v>
      </c>
      <c r="H24" s="2798">
        <f>'Info Entrada'!K122/$A$8</f>
        <v>0</v>
      </c>
      <c r="I24" s="2798">
        <f>'Info Entrada'!L122/$A$8</f>
        <v>0</v>
      </c>
      <c r="J24" s="2798">
        <f>'Info Entrada'!M122/$A$8</f>
        <v>0</v>
      </c>
      <c r="K24" s="2798">
        <f>'Info Entrada'!N122/$A$8</f>
        <v>0</v>
      </c>
      <c r="L24" s="2798">
        <f>'Info Entrada'!O122/$A$8</f>
        <v>0</v>
      </c>
      <c r="M24" s="2798">
        <f>'Info Entrada'!P122/$A$8</f>
        <v>0</v>
      </c>
      <c r="N24" s="2798">
        <f>'Info Entrada'!Q122/$A$8</f>
        <v>0</v>
      </c>
      <c r="O24" s="2798">
        <f>'Info Entrada'!R122/$A$8</f>
        <v>0</v>
      </c>
      <c r="P24" s="2798">
        <f>'Info Entrada'!S122/$A$8</f>
        <v>0</v>
      </c>
      <c r="Q24" s="2798">
        <f>'Info Entrada'!T122/$A$8</f>
        <v>0</v>
      </c>
      <c r="R24" s="2798">
        <f>'Info Entrada'!U122/$A$8</f>
        <v>0</v>
      </c>
      <c r="S24" s="2798">
        <f>'Info Entrada'!V122/$A$8</f>
        <v>0</v>
      </c>
      <c r="T24" s="2798">
        <f>'Info Entrada'!W122/$A$8</f>
        <v>0</v>
      </c>
      <c r="U24" s="2796">
        <f>'Info Entrada'!F122/$A$8</f>
        <v>0</v>
      </c>
      <c r="V24" s="2796">
        <f>'Info Entrada'!G122/$A$8</f>
        <v>0</v>
      </c>
    </row>
    <row r="25" spans="1:22" x14ac:dyDescent="0.15">
      <c r="A25" s="2795" t="s">
        <v>1127</v>
      </c>
      <c r="B25" s="2796">
        <f>'Info Entrada'!C123/$A$8</f>
        <v>0</v>
      </c>
      <c r="C25" s="2796">
        <f>'Info Entrada'!D123/$A$8</f>
        <v>0</v>
      </c>
      <c r="D25" s="2797">
        <f>'Info Entrada'!E123/$A$8</f>
        <v>0</v>
      </c>
      <c r="E25" s="2796">
        <f ca="1">'Info Entrada'!H123/$A$8</f>
        <v>0</v>
      </c>
      <c r="F25" s="2798">
        <f ca="1">'Info Entrada'!I123/$A$8</f>
        <v>0</v>
      </c>
      <c r="G25" s="2798">
        <f ca="1">'Info Entrada'!J123/$A$8</f>
        <v>0</v>
      </c>
      <c r="H25" s="2798">
        <f ca="1">'Info Entrada'!K123/$A$8</f>
        <v>0</v>
      </c>
      <c r="I25" s="2798">
        <f ca="1">'Info Entrada'!L123/$A$8</f>
        <v>0</v>
      </c>
      <c r="J25" s="2798">
        <f ca="1">'Info Entrada'!M123/$A$8</f>
        <v>0</v>
      </c>
      <c r="K25" s="2798">
        <f ca="1">'Info Entrada'!N123/$A$8</f>
        <v>0</v>
      </c>
      <c r="L25" s="2798">
        <f ca="1">'Info Entrada'!O123/$A$8</f>
        <v>0</v>
      </c>
      <c r="M25" s="2798">
        <f ca="1">'Info Entrada'!P123/$A$8</f>
        <v>0</v>
      </c>
      <c r="N25" s="2798">
        <f ca="1">'Info Entrada'!Q123/$A$8</f>
        <v>0</v>
      </c>
      <c r="O25" s="2798">
        <f ca="1">'Info Entrada'!R123/$A$8</f>
        <v>0</v>
      </c>
      <c r="P25" s="2798">
        <f ca="1">'Info Entrada'!S123/$A$8</f>
        <v>0</v>
      </c>
      <c r="Q25" s="2798">
        <f ca="1">'Info Entrada'!T123/$A$8</f>
        <v>0</v>
      </c>
      <c r="R25" s="2798">
        <f ca="1">'Info Entrada'!U123/$A$8</f>
        <v>0</v>
      </c>
      <c r="S25" s="2798">
        <f ca="1">'Info Entrada'!V123/$A$8</f>
        <v>0</v>
      </c>
      <c r="T25" s="2798">
        <f ca="1">'Info Entrada'!W123/$A$8</f>
        <v>0</v>
      </c>
      <c r="U25" s="2796">
        <f>'Info Entrada'!F123/$A$8</f>
        <v>0</v>
      </c>
      <c r="V25" s="2796">
        <f>'Info Entrada'!G123/$A$8</f>
        <v>0</v>
      </c>
    </row>
    <row r="26" spans="1:22" x14ac:dyDescent="0.15">
      <c r="A26" s="2795" t="s">
        <v>448</v>
      </c>
      <c r="B26" s="2796">
        <f>-'Info Entrada'!C124/$A$8</f>
        <v>0</v>
      </c>
      <c r="C26" s="2796">
        <f>-'Info Entrada'!D124/$A$8</f>
        <v>0</v>
      </c>
      <c r="D26" s="2797">
        <f>-'Info Entrada'!E124/$A$8</f>
        <v>0</v>
      </c>
      <c r="E26" s="2796">
        <f ca="1">-'Info Entrada'!H124/$A$8</f>
        <v>0</v>
      </c>
      <c r="F26" s="2798">
        <f ca="1">-'Info Entrada'!I124/$A$8</f>
        <v>0</v>
      </c>
      <c r="G26" s="2798">
        <f ca="1">-'Info Entrada'!J124/$A$8</f>
        <v>0</v>
      </c>
      <c r="H26" s="2798">
        <f ca="1">-'Info Entrada'!K124/$A$8</f>
        <v>0</v>
      </c>
      <c r="I26" s="2798">
        <f ca="1">-'Info Entrada'!L124/$A$8</f>
        <v>0</v>
      </c>
      <c r="J26" s="2798">
        <f ca="1">-'Info Entrada'!M124/$A$8</f>
        <v>0</v>
      </c>
      <c r="K26" s="2798">
        <f ca="1">-'Info Entrada'!N124/$A$8</f>
        <v>0</v>
      </c>
      <c r="L26" s="2798">
        <f ca="1">-'Info Entrada'!O124/$A$8</f>
        <v>0</v>
      </c>
      <c r="M26" s="2798">
        <f ca="1">-'Info Entrada'!P124/$A$8</f>
        <v>0</v>
      </c>
      <c r="N26" s="2798">
        <f ca="1">-'Info Entrada'!Q124/$A$8</f>
        <v>0</v>
      </c>
      <c r="O26" s="2798">
        <f ca="1">-'Info Entrada'!R124/$A$8</f>
        <v>0</v>
      </c>
      <c r="P26" s="2798">
        <f ca="1">-'Info Entrada'!S124/$A$8</f>
        <v>0</v>
      </c>
      <c r="Q26" s="2798">
        <f ca="1">-'Info Entrada'!T124/$A$8</f>
        <v>0</v>
      </c>
      <c r="R26" s="2798">
        <f ca="1">-'Info Entrada'!U124/$A$8</f>
        <v>0</v>
      </c>
      <c r="S26" s="2798">
        <f ca="1">-'Info Entrada'!V124/$A$8</f>
        <v>0</v>
      </c>
      <c r="T26" s="2798">
        <f ca="1">-'Info Entrada'!W124/$A$8</f>
        <v>0</v>
      </c>
      <c r="U26" s="2796">
        <f>-'Info Entrada'!F124/$A$8</f>
        <v>0</v>
      </c>
      <c r="V26" s="2796">
        <f>-'Info Entrada'!G124/$A$8</f>
        <v>0</v>
      </c>
    </row>
    <row r="27" spans="1:22" x14ac:dyDescent="0.15">
      <c r="A27" s="2795" t="s">
        <v>1147</v>
      </c>
      <c r="B27" s="2796">
        <v>0</v>
      </c>
      <c r="C27" s="2796">
        <f>SUM(C24:C26)</f>
        <v>0</v>
      </c>
      <c r="D27" s="2797">
        <f>SUM(D24:D26)</f>
        <v>0</v>
      </c>
      <c r="E27" s="2796">
        <f t="shared" ref="E27:T27" ca="1" si="5">SUM(E24:E26)</f>
        <v>0</v>
      </c>
      <c r="F27" s="2798">
        <f t="shared" ca="1" si="5"/>
        <v>0</v>
      </c>
      <c r="G27" s="2798">
        <f t="shared" ca="1" si="5"/>
        <v>0</v>
      </c>
      <c r="H27" s="2798">
        <f t="shared" ca="1" si="5"/>
        <v>0</v>
      </c>
      <c r="I27" s="2798">
        <f t="shared" ca="1" si="5"/>
        <v>0</v>
      </c>
      <c r="J27" s="2798">
        <f t="shared" ca="1" si="5"/>
        <v>0</v>
      </c>
      <c r="K27" s="2798">
        <f t="shared" ca="1" si="5"/>
        <v>0</v>
      </c>
      <c r="L27" s="2798">
        <f t="shared" ca="1" si="5"/>
        <v>0</v>
      </c>
      <c r="M27" s="2798">
        <f t="shared" ca="1" si="5"/>
        <v>0</v>
      </c>
      <c r="N27" s="2798">
        <f t="shared" ca="1" si="5"/>
        <v>0</v>
      </c>
      <c r="O27" s="2798">
        <f t="shared" ca="1" si="5"/>
        <v>0</v>
      </c>
      <c r="P27" s="2798">
        <f t="shared" ca="1" si="5"/>
        <v>0</v>
      </c>
      <c r="Q27" s="2798">
        <f t="shared" ca="1" si="5"/>
        <v>0</v>
      </c>
      <c r="R27" s="2798">
        <f t="shared" ca="1" si="5"/>
        <v>0</v>
      </c>
      <c r="S27" s="2798">
        <f t="shared" ca="1" si="5"/>
        <v>0</v>
      </c>
      <c r="T27" s="2798">
        <f t="shared" ca="1" si="5"/>
        <v>0</v>
      </c>
      <c r="U27" s="2796">
        <f>SUM(U24:U26)</f>
        <v>0</v>
      </c>
      <c r="V27" s="2796">
        <f>SUM(V24:V26)</f>
        <v>0</v>
      </c>
    </row>
    <row r="28" spans="1:22" x14ac:dyDescent="0.15">
      <c r="A28" s="2795" t="s">
        <v>1128</v>
      </c>
      <c r="B28" s="2796">
        <f>('Info Entrada'!C127+'Info Entrada'!C131)/$A$8</f>
        <v>0</v>
      </c>
      <c r="C28" s="2796">
        <f>('Info Entrada'!D127+'Info Entrada'!D131)/$A$8</f>
        <v>0</v>
      </c>
      <c r="D28" s="2797">
        <f>('Info Entrada'!E127+'Info Entrada'!E131)/$A$8</f>
        <v>0</v>
      </c>
      <c r="E28" s="2796">
        <f>('Info Entrada'!H127+'Info Entrada'!H131)/$A$8</f>
        <v>0</v>
      </c>
      <c r="F28" s="2798">
        <f>('Info Entrada'!I127+'Info Entrada'!I131)/$A$8</f>
        <v>0</v>
      </c>
      <c r="G28" s="2798">
        <f>('Info Entrada'!J127+'Info Entrada'!J131)/$A$8</f>
        <v>0</v>
      </c>
      <c r="H28" s="2798">
        <f>('Info Entrada'!K127+'Info Entrada'!K131)/$A$8</f>
        <v>0</v>
      </c>
      <c r="I28" s="2798">
        <f>('Info Entrada'!L127+'Info Entrada'!L131)/$A$8</f>
        <v>0</v>
      </c>
      <c r="J28" s="2798">
        <f>('Info Entrada'!M127+'Info Entrada'!M131)/$A$8</f>
        <v>0</v>
      </c>
      <c r="K28" s="2798">
        <f>('Info Entrada'!N127+'Info Entrada'!N131)/$A$8</f>
        <v>0</v>
      </c>
      <c r="L28" s="2798">
        <f>('Info Entrada'!O127+'Info Entrada'!O131)/$A$8</f>
        <v>0</v>
      </c>
      <c r="M28" s="2798">
        <f>('Info Entrada'!P127+'Info Entrada'!P131)/$A$8</f>
        <v>0</v>
      </c>
      <c r="N28" s="2798">
        <f>('Info Entrada'!Q127+'Info Entrada'!Q131)/$A$8</f>
        <v>0</v>
      </c>
      <c r="O28" s="2798">
        <f>('Info Entrada'!R127+'Info Entrada'!R131)/$A$8</f>
        <v>0</v>
      </c>
      <c r="P28" s="2798">
        <f>('Info Entrada'!S127+'Info Entrada'!S131)/$A$8</f>
        <v>0</v>
      </c>
      <c r="Q28" s="2798">
        <f>('Info Entrada'!T127+'Info Entrada'!T131)/$A$8</f>
        <v>0</v>
      </c>
      <c r="R28" s="2798">
        <f>('Info Entrada'!U127+'Info Entrada'!U131)/$A$8</f>
        <v>0</v>
      </c>
      <c r="S28" s="2798">
        <f>('Info Entrada'!V127+'Info Entrada'!V131)/$A$8</f>
        <v>0</v>
      </c>
      <c r="T28" s="2798">
        <f>('Info Entrada'!W127+'Info Entrada'!W131)/$A$8</f>
        <v>0</v>
      </c>
      <c r="U28" s="2796">
        <f>('Info Entrada'!F127+'Info Entrada'!F131)/$A$8</f>
        <v>0</v>
      </c>
      <c r="V28" s="2796">
        <f>('Info Entrada'!G127+'Info Entrada'!G131)/$A$8</f>
        <v>0</v>
      </c>
    </row>
    <row r="29" spans="1:22" x14ac:dyDescent="0.15">
      <c r="A29" s="2795" t="s">
        <v>1129</v>
      </c>
      <c r="B29" s="2796">
        <f t="shared" ref="B29:V30" si="6">0/$A$8</f>
        <v>0</v>
      </c>
      <c r="C29" s="2796">
        <f t="shared" si="6"/>
        <v>0</v>
      </c>
      <c r="D29" s="2797">
        <f t="shared" si="6"/>
        <v>0</v>
      </c>
      <c r="E29" s="2796">
        <f t="shared" si="6"/>
        <v>0</v>
      </c>
      <c r="F29" s="2798">
        <f t="shared" si="6"/>
        <v>0</v>
      </c>
      <c r="G29" s="2798">
        <f t="shared" si="6"/>
        <v>0</v>
      </c>
      <c r="H29" s="2798">
        <f t="shared" si="6"/>
        <v>0</v>
      </c>
      <c r="I29" s="2798">
        <f t="shared" si="6"/>
        <v>0</v>
      </c>
      <c r="J29" s="2798">
        <f t="shared" si="6"/>
        <v>0</v>
      </c>
      <c r="K29" s="2798">
        <f t="shared" si="6"/>
        <v>0</v>
      </c>
      <c r="L29" s="2798">
        <f t="shared" si="6"/>
        <v>0</v>
      </c>
      <c r="M29" s="2798">
        <f t="shared" si="6"/>
        <v>0</v>
      </c>
      <c r="N29" s="2798">
        <f t="shared" si="6"/>
        <v>0</v>
      </c>
      <c r="O29" s="2798">
        <f t="shared" si="6"/>
        <v>0</v>
      </c>
      <c r="P29" s="2798">
        <f t="shared" si="6"/>
        <v>0</v>
      </c>
      <c r="Q29" s="2798">
        <f t="shared" si="6"/>
        <v>0</v>
      </c>
      <c r="R29" s="2798">
        <f t="shared" si="6"/>
        <v>0</v>
      </c>
      <c r="S29" s="2798">
        <f t="shared" si="6"/>
        <v>0</v>
      </c>
      <c r="T29" s="2798">
        <f t="shared" si="6"/>
        <v>0</v>
      </c>
      <c r="U29" s="2796">
        <f t="shared" si="6"/>
        <v>0</v>
      </c>
      <c r="V29" s="2796">
        <f t="shared" si="6"/>
        <v>0</v>
      </c>
    </row>
    <row r="30" spans="1:22" x14ac:dyDescent="0.15">
      <c r="A30" s="2795" t="s">
        <v>1130</v>
      </c>
      <c r="B30" s="2796">
        <f t="shared" si="6"/>
        <v>0</v>
      </c>
      <c r="C30" s="2796">
        <f t="shared" si="6"/>
        <v>0</v>
      </c>
      <c r="D30" s="2797">
        <f t="shared" si="6"/>
        <v>0</v>
      </c>
      <c r="E30" s="2796">
        <f t="shared" si="6"/>
        <v>0</v>
      </c>
      <c r="F30" s="2798">
        <f t="shared" si="6"/>
        <v>0</v>
      </c>
      <c r="G30" s="2798">
        <f t="shared" si="6"/>
        <v>0</v>
      </c>
      <c r="H30" s="2798">
        <f t="shared" si="6"/>
        <v>0</v>
      </c>
      <c r="I30" s="2798">
        <f t="shared" si="6"/>
        <v>0</v>
      </c>
      <c r="J30" s="2798">
        <f t="shared" si="6"/>
        <v>0</v>
      </c>
      <c r="K30" s="2798">
        <f t="shared" si="6"/>
        <v>0</v>
      </c>
      <c r="L30" s="2798">
        <f t="shared" si="6"/>
        <v>0</v>
      </c>
      <c r="M30" s="2798">
        <f t="shared" si="6"/>
        <v>0</v>
      </c>
      <c r="N30" s="2798">
        <f t="shared" si="6"/>
        <v>0</v>
      </c>
      <c r="O30" s="2798">
        <f t="shared" si="6"/>
        <v>0</v>
      </c>
      <c r="P30" s="2798">
        <f t="shared" si="6"/>
        <v>0</v>
      </c>
      <c r="Q30" s="2798">
        <f t="shared" si="6"/>
        <v>0</v>
      </c>
      <c r="R30" s="2798">
        <f t="shared" si="6"/>
        <v>0</v>
      </c>
      <c r="S30" s="2798">
        <f t="shared" si="6"/>
        <v>0</v>
      </c>
      <c r="T30" s="2798">
        <f t="shared" si="6"/>
        <v>0</v>
      </c>
      <c r="U30" s="2796">
        <f t="shared" si="6"/>
        <v>0</v>
      </c>
      <c r="V30" s="2796">
        <f t="shared" si="6"/>
        <v>0</v>
      </c>
    </row>
    <row r="31" spans="1:22" x14ac:dyDescent="0.15">
      <c r="A31" s="2818" t="s">
        <v>1148</v>
      </c>
      <c r="B31" s="2792">
        <f>B22+SUM(B27:B30)</f>
        <v>0</v>
      </c>
      <c r="C31" s="2792">
        <f>C22+SUM(C27:C30)</f>
        <v>0</v>
      </c>
      <c r="D31" s="2793">
        <f>D22+SUM(D27:D30)</f>
        <v>0</v>
      </c>
      <c r="E31" s="2792">
        <f t="shared" ref="E31:T31" ca="1" si="7">E22+SUM(E27:E30)</f>
        <v>0</v>
      </c>
      <c r="F31" s="2819">
        <f t="shared" ca="1" si="7"/>
        <v>0</v>
      </c>
      <c r="G31" s="2819">
        <f t="shared" ca="1" si="7"/>
        <v>0</v>
      </c>
      <c r="H31" s="2819">
        <f t="shared" ca="1" si="7"/>
        <v>0</v>
      </c>
      <c r="I31" s="2819">
        <f t="shared" ca="1" si="7"/>
        <v>0</v>
      </c>
      <c r="J31" s="2819">
        <f t="shared" ca="1" si="7"/>
        <v>0</v>
      </c>
      <c r="K31" s="2819">
        <f t="shared" ca="1" si="7"/>
        <v>0</v>
      </c>
      <c r="L31" s="2819">
        <f t="shared" ca="1" si="7"/>
        <v>0</v>
      </c>
      <c r="M31" s="2819">
        <f t="shared" ca="1" si="7"/>
        <v>0</v>
      </c>
      <c r="N31" s="2819">
        <f t="shared" ca="1" si="7"/>
        <v>0</v>
      </c>
      <c r="O31" s="2819">
        <f t="shared" ca="1" si="7"/>
        <v>0</v>
      </c>
      <c r="P31" s="2819">
        <f t="shared" ca="1" si="7"/>
        <v>0</v>
      </c>
      <c r="Q31" s="2819">
        <f t="shared" ca="1" si="7"/>
        <v>0</v>
      </c>
      <c r="R31" s="2819">
        <f t="shared" ca="1" si="7"/>
        <v>0</v>
      </c>
      <c r="S31" s="2819">
        <f t="shared" ca="1" si="7"/>
        <v>0</v>
      </c>
      <c r="T31" s="2819">
        <f t="shared" ca="1" si="7"/>
        <v>0</v>
      </c>
      <c r="U31" s="2792">
        <f>U22+SUM(U27:U30)</f>
        <v>0</v>
      </c>
      <c r="V31" s="2792">
        <f>V22+SUM(V27:V30)</f>
        <v>0</v>
      </c>
    </row>
    <row r="32" spans="1:22" x14ac:dyDescent="0.15">
      <c r="A32" s="2795" t="s">
        <v>1132</v>
      </c>
      <c r="B32" s="2796">
        <f>'Info Entrada'!C161/$A$8</f>
        <v>0</v>
      </c>
      <c r="C32" s="2796">
        <f>'Info Entrada'!D161/$A$8</f>
        <v>0</v>
      </c>
      <c r="D32" s="2797">
        <f>'Info Entrada'!E161/$A$8</f>
        <v>0</v>
      </c>
      <c r="E32" s="2796">
        <f>'Info Entrada'!H161/$A$8</f>
        <v>0</v>
      </c>
      <c r="F32" s="2798">
        <f>'Info Entrada'!I161/$A$8</f>
        <v>0</v>
      </c>
      <c r="G32" s="2798">
        <f>'Info Entrada'!J161/$A$8</f>
        <v>0</v>
      </c>
      <c r="H32" s="2798">
        <f>'Info Entrada'!K161/$A$8</f>
        <v>0</v>
      </c>
      <c r="I32" s="2798">
        <f>'Info Entrada'!L161/$A$8</f>
        <v>0</v>
      </c>
      <c r="J32" s="2798">
        <f>'Info Entrada'!M161/$A$8</f>
        <v>0</v>
      </c>
      <c r="K32" s="2798">
        <f>'Info Entrada'!N161/$A$8</f>
        <v>0</v>
      </c>
      <c r="L32" s="2798">
        <f>'Info Entrada'!O161/$A$8</f>
        <v>0</v>
      </c>
      <c r="M32" s="2798">
        <f>'Info Entrada'!P161/$A$8</f>
        <v>0</v>
      </c>
      <c r="N32" s="2798">
        <f>'Info Entrada'!Q161/$A$8</f>
        <v>0</v>
      </c>
      <c r="O32" s="2798">
        <f>'Info Entrada'!R161/$A$8</f>
        <v>0</v>
      </c>
      <c r="P32" s="2798">
        <f>'Info Entrada'!S161/$A$8</f>
        <v>0</v>
      </c>
      <c r="Q32" s="2798">
        <f>'Info Entrada'!T161/$A$8</f>
        <v>0</v>
      </c>
      <c r="R32" s="2798">
        <f>'Info Entrada'!U161/$A$8</f>
        <v>0</v>
      </c>
      <c r="S32" s="2798">
        <f>'Info Entrada'!V161/$A$8</f>
        <v>0</v>
      </c>
      <c r="T32" s="2798">
        <f>'Info Entrada'!W161/$A$8</f>
        <v>0</v>
      </c>
      <c r="U32" s="2796">
        <f>'Info Entrada'!F161/$A$8</f>
        <v>0</v>
      </c>
      <c r="V32" s="2796">
        <f>'Info Entrada'!G161/$A$8</f>
        <v>0</v>
      </c>
    </row>
    <row r="33" spans="1:22" x14ac:dyDescent="0.15">
      <c r="A33" s="2795" t="s">
        <v>1149</v>
      </c>
      <c r="B33" s="2796">
        <f>B31+B32</f>
        <v>0</v>
      </c>
      <c r="C33" s="2796">
        <f>C31+C32</f>
        <v>0</v>
      </c>
      <c r="D33" s="2797">
        <f>D31+D32</f>
        <v>0</v>
      </c>
      <c r="E33" s="2796">
        <f t="shared" ref="E33:T33" ca="1" si="8">E31+E32</f>
        <v>0</v>
      </c>
      <c r="F33" s="2798">
        <f t="shared" ca="1" si="8"/>
        <v>0</v>
      </c>
      <c r="G33" s="2798">
        <f t="shared" ca="1" si="8"/>
        <v>0</v>
      </c>
      <c r="H33" s="2798">
        <f t="shared" ca="1" si="8"/>
        <v>0</v>
      </c>
      <c r="I33" s="2798">
        <f t="shared" ca="1" si="8"/>
        <v>0</v>
      </c>
      <c r="J33" s="2798">
        <f t="shared" ca="1" si="8"/>
        <v>0</v>
      </c>
      <c r="K33" s="2798">
        <f t="shared" ca="1" si="8"/>
        <v>0</v>
      </c>
      <c r="L33" s="2798">
        <f t="shared" ca="1" si="8"/>
        <v>0</v>
      </c>
      <c r="M33" s="2798">
        <f t="shared" ca="1" si="8"/>
        <v>0</v>
      </c>
      <c r="N33" s="2798">
        <f t="shared" ca="1" si="8"/>
        <v>0</v>
      </c>
      <c r="O33" s="2798">
        <f t="shared" ca="1" si="8"/>
        <v>0</v>
      </c>
      <c r="P33" s="2798">
        <f t="shared" ca="1" si="8"/>
        <v>0</v>
      </c>
      <c r="Q33" s="2798">
        <f t="shared" ca="1" si="8"/>
        <v>0</v>
      </c>
      <c r="R33" s="2798">
        <f t="shared" ca="1" si="8"/>
        <v>0</v>
      </c>
      <c r="S33" s="2798">
        <f t="shared" ca="1" si="8"/>
        <v>0</v>
      </c>
      <c r="T33" s="2798">
        <f t="shared" ca="1" si="8"/>
        <v>0</v>
      </c>
      <c r="U33" s="2796">
        <f>U31+U32</f>
        <v>0</v>
      </c>
      <c r="V33" s="2796">
        <f>V31+V32</f>
        <v>0</v>
      </c>
    </row>
    <row r="34" spans="1:22" x14ac:dyDescent="0.15">
      <c r="A34" s="2795" t="s">
        <v>453</v>
      </c>
      <c r="B34" s="2796">
        <f>-'Info Entrada'!C164/$A$8</f>
        <v>0</v>
      </c>
      <c r="C34" s="2796">
        <f>-'Info Entrada'!D164/$A$8</f>
        <v>0</v>
      </c>
      <c r="D34" s="2797">
        <f>-'Info Entrada'!E164/$A$8</f>
        <v>0</v>
      </c>
      <c r="E34" s="2796">
        <f ca="1">-'Info Entrada'!H164/$A$8</f>
        <v>0</v>
      </c>
      <c r="F34" s="2798">
        <f ca="1">-'Info Entrada'!I164/$A$8</f>
        <v>0</v>
      </c>
      <c r="G34" s="2798">
        <f ca="1">-'Info Entrada'!J164/$A$8</f>
        <v>0</v>
      </c>
      <c r="H34" s="2798">
        <f ca="1">-'Info Entrada'!K164/$A$8</f>
        <v>0</v>
      </c>
      <c r="I34" s="2798">
        <f ca="1">-'Info Entrada'!L164/$A$8</f>
        <v>0</v>
      </c>
      <c r="J34" s="2798">
        <f ca="1">-'Info Entrada'!M164/$A$8</f>
        <v>0</v>
      </c>
      <c r="K34" s="2798">
        <f ca="1">-'Info Entrada'!N164/$A$8</f>
        <v>0</v>
      </c>
      <c r="L34" s="2798">
        <f ca="1">-'Info Entrada'!O164/$A$8</f>
        <v>0</v>
      </c>
      <c r="M34" s="2798">
        <f ca="1">-'Info Entrada'!P164/$A$8</f>
        <v>0</v>
      </c>
      <c r="N34" s="2798">
        <f ca="1">-'Info Entrada'!Q164/$A$8</f>
        <v>0</v>
      </c>
      <c r="O34" s="2798">
        <f ca="1">-'Info Entrada'!R164/$A$8</f>
        <v>0</v>
      </c>
      <c r="P34" s="2798">
        <f ca="1">-'Info Entrada'!S164/$A$8</f>
        <v>0</v>
      </c>
      <c r="Q34" s="2798">
        <f ca="1">-'Info Entrada'!T164/$A$8</f>
        <v>0</v>
      </c>
      <c r="R34" s="2798">
        <f ca="1">-'Info Entrada'!U164/$A$8</f>
        <v>0</v>
      </c>
      <c r="S34" s="2798">
        <f ca="1">-'Info Entrada'!V164/$A$8</f>
        <v>0</v>
      </c>
      <c r="T34" s="2798">
        <f ca="1">-'Info Entrada'!W164/$A$8</f>
        <v>0</v>
      </c>
      <c r="U34" s="2796">
        <f>-'Info Entrada'!F164/$A$8</f>
        <v>0</v>
      </c>
      <c r="V34" s="2796">
        <f>-'Info Entrada'!G164/$A$8</f>
        <v>0</v>
      </c>
    </row>
    <row r="35" spans="1:22" ht="9.75" thickBot="1" x14ac:dyDescent="0.2">
      <c r="A35" s="2799" t="s">
        <v>1150</v>
      </c>
      <c r="B35" s="2800">
        <f>B33+B34</f>
        <v>0</v>
      </c>
      <c r="C35" s="2800">
        <f>C33+C34</f>
        <v>0</v>
      </c>
      <c r="D35" s="2801">
        <f>D33+D34</f>
        <v>0</v>
      </c>
      <c r="E35" s="2800">
        <f t="shared" ref="E35:T35" ca="1" si="9">E33+E34</f>
        <v>0</v>
      </c>
      <c r="F35" s="2802">
        <f t="shared" ca="1" si="9"/>
        <v>0</v>
      </c>
      <c r="G35" s="2802">
        <f t="shared" ca="1" si="9"/>
        <v>0</v>
      </c>
      <c r="H35" s="2802">
        <f t="shared" ca="1" si="9"/>
        <v>0</v>
      </c>
      <c r="I35" s="2802">
        <f t="shared" ca="1" si="9"/>
        <v>0</v>
      </c>
      <c r="J35" s="2802">
        <f t="shared" ca="1" si="9"/>
        <v>0</v>
      </c>
      <c r="K35" s="2802">
        <f t="shared" ca="1" si="9"/>
        <v>0</v>
      </c>
      <c r="L35" s="2802">
        <f t="shared" ca="1" si="9"/>
        <v>0</v>
      </c>
      <c r="M35" s="2802">
        <f t="shared" ca="1" si="9"/>
        <v>0</v>
      </c>
      <c r="N35" s="2802">
        <f t="shared" ca="1" si="9"/>
        <v>0</v>
      </c>
      <c r="O35" s="2802">
        <f t="shared" ca="1" si="9"/>
        <v>0</v>
      </c>
      <c r="P35" s="2802">
        <f t="shared" ca="1" si="9"/>
        <v>0</v>
      </c>
      <c r="Q35" s="2802">
        <f t="shared" ca="1" si="9"/>
        <v>0</v>
      </c>
      <c r="R35" s="2802">
        <f t="shared" ca="1" si="9"/>
        <v>0</v>
      </c>
      <c r="S35" s="2802">
        <f t="shared" ca="1" si="9"/>
        <v>0</v>
      </c>
      <c r="T35" s="2802">
        <f t="shared" ca="1" si="9"/>
        <v>0</v>
      </c>
      <c r="U35" s="2800">
        <f>U33+U34</f>
        <v>0</v>
      </c>
      <c r="V35" s="2800">
        <f>V33+V34</f>
        <v>0</v>
      </c>
    </row>
    <row r="36" spans="1:22" x14ac:dyDescent="0.15">
      <c r="A36" s="2815" t="s">
        <v>455</v>
      </c>
      <c r="B36" s="2816">
        <f>IFERROR(IF(B35&lt;&gt;0,B35/B13,0),0)</f>
        <v>0</v>
      </c>
      <c r="C36" s="2816">
        <f t="shared" ref="C36:T36" si="10">IFERROR(IF(C35&lt;&gt;0,C35/C13,0),0)</f>
        <v>0</v>
      </c>
      <c r="D36" s="2817">
        <f t="shared" si="10"/>
        <v>0</v>
      </c>
      <c r="E36" s="2816">
        <f t="shared" ca="1" si="10"/>
        <v>0</v>
      </c>
      <c r="F36" s="2816">
        <f t="shared" ca="1" si="10"/>
        <v>0</v>
      </c>
      <c r="G36" s="2816">
        <f t="shared" ca="1" si="10"/>
        <v>0</v>
      </c>
      <c r="H36" s="2816">
        <f t="shared" ca="1" si="10"/>
        <v>0</v>
      </c>
      <c r="I36" s="2816">
        <f t="shared" ca="1" si="10"/>
        <v>0</v>
      </c>
      <c r="J36" s="2816">
        <f t="shared" ca="1" si="10"/>
        <v>0</v>
      </c>
      <c r="K36" s="2816">
        <f t="shared" ca="1" si="10"/>
        <v>0</v>
      </c>
      <c r="L36" s="2816">
        <f t="shared" ca="1" si="10"/>
        <v>0</v>
      </c>
      <c r="M36" s="2816">
        <f t="shared" ca="1" si="10"/>
        <v>0</v>
      </c>
      <c r="N36" s="2816">
        <f t="shared" ca="1" si="10"/>
        <v>0</v>
      </c>
      <c r="O36" s="2816">
        <f t="shared" ca="1" si="10"/>
        <v>0</v>
      </c>
      <c r="P36" s="2816">
        <f t="shared" ca="1" si="10"/>
        <v>0</v>
      </c>
      <c r="Q36" s="2816">
        <f t="shared" ca="1" si="10"/>
        <v>0</v>
      </c>
      <c r="R36" s="2816">
        <f t="shared" ca="1" si="10"/>
        <v>0</v>
      </c>
      <c r="S36" s="2816">
        <f t="shared" ca="1" si="10"/>
        <v>0</v>
      </c>
      <c r="T36" s="2816">
        <f t="shared" ca="1" si="10"/>
        <v>0</v>
      </c>
      <c r="U36" s="2816">
        <f>IFERROR(IF(U35&lt;&gt;0,U35/U13,0),0)</f>
        <v>0</v>
      </c>
      <c r="V36" s="2816">
        <f>IFERROR(IF(V35&lt;&gt;0,V35/V13,0),0)</f>
        <v>0</v>
      </c>
    </row>
    <row r="37" spans="1:22" x14ac:dyDescent="0.15">
      <c r="A37" s="2795" t="s">
        <v>1133</v>
      </c>
      <c r="B37" s="2820">
        <f>-'Info Entrada'!C166/$A$8</f>
        <v>0</v>
      </c>
      <c r="C37" s="2820">
        <f>-'Info Entrada'!D166/$A$8</f>
        <v>0</v>
      </c>
      <c r="D37" s="2821">
        <f>-'Info Entrada'!E166/$A$8</f>
        <v>0</v>
      </c>
      <c r="E37" s="2820">
        <f>-'Info Entrada'!H166/$A$8</f>
        <v>0</v>
      </c>
      <c r="F37" s="2798">
        <f>-'Info Entrada'!I166/$A$8</f>
        <v>0</v>
      </c>
      <c r="G37" s="2798">
        <f>-'Info Entrada'!J166/$A$8</f>
        <v>0</v>
      </c>
      <c r="H37" s="2798">
        <f>-'Info Entrada'!K166/$A$8</f>
        <v>0</v>
      </c>
      <c r="I37" s="2798">
        <f>-'Info Entrada'!L166/$A$8</f>
        <v>0</v>
      </c>
      <c r="J37" s="2798">
        <f>-'Info Entrada'!M166/$A$8</f>
        <v>0</v>
      </c>
      <c r="K37" s="2798">
        <f>-'Info Entrada'!N166/$A$8</f>
        <v>0</v>
      </c>
      <c r="L37" s="2798">
        <f>-'Info Entrada'!O166/$A$8</f>
        <v>0</v>
      </c>
      <c r="M37" s="2798">
        <f>-'Info Entrada'!P166/$A$8</f>
        <v>0</v>
      </c>
      <c r="N37" s="2798">
        <f>-'Info Entrada'!Q166/$A$8</f>
        <v>0</v>
      </c>
      <c r="O37" s="2798">
        <f>-'Info Entrada'!R166/$A$8</f>
        <v>0</v>
      </c>
      <c r="P37" s="2798">
        <f>-'Info Entrada'!S166/$A$8</f>
        <v>0</v>
      </c>
      <c r="Q37" s="2798">
        <f>-'Info Entrada'!T166/$A$8</f>
        <v>0</v>
      </c>
      <c r="R37" s="2798">
        <f>-'Info Entrada'!U166/$A$8</f>
        <v>0</v>
      </c>
      <c r="S37" s="2798">
        <f>-'Info Entrada'!V166/$A$8</f>
        <v>0</v>
      </c>
      <c r="T37" s="2798">
        <f>-'Info Entrada'!W166/$A$8</f>
        <v>0</v>
      </c>
      <c r="U37" s="2820">
        <f>-'Info Entrada'!F166/$A$8</f>
        <v>0</v>
      </c>
      <c r="V37" s="2820">
        <f>-'Info Entrada'!G166/$A$8</f>
        <v>0</v>
      </c>
    </row>
    <row r="38" spans="1:22" x14ac:dyDescent="0.15">
      <c r="A38" s="2818" t="s">
        <v>1151</v>
      </c>
      <c r="B38" s="2822">
        <f>B35+B37</f>
        <v>0</v>
      </c>
      <c r="C38" s="2822">
        <f>C35+C37</f>
        <v>0</v>
      </c>
      <c r="D38" s="2823">
        <f>D35+D37</f>
        <v>0</v>
      </c>
      <c r="E38" s="2822">
        <f t="shared" ref="E38:T38" ca="1" si="11">E35+E37</f>
        <v>0</v>
      </c>
      <c r="F38" s="2819">
        <f t="shared" ca="1" si="11"/>
        <v>0</v>
      </c>
      <c r="G38" s="2819">
        <f t="shared" ca="1" si="11"/>
        <v>0</v>
      </c>
      <c r="H38" s="2819">
        <f t="shared" ca="1" si="11"/>
        <v>0</v>
      </c>
      <c r="I38" s="2819">
        <f t="shared" ca="1" si="11"/>
        <v>0</v>
      </c>
      <c r="J38" s="2819">
        <f t="shared" ca="1" si="11"/>
        <v>0</v>
      </c>
      <c r="K38" s="2819">
        <f t="shared" ca="1" si="11"/>
        <v>0</v>
      </c>
      <c r="L38" s="2819">
        <f t="shared" ca="1" si="11"/>
        <v>0</v>
      </c>
      <c r="M38" s="2819">
        <f t="shared" ca="1" si="11"/>
        <v>0</v>
      </c>
      <c r="N38" s="2819">
        <f t="shared" ca="1" si="11"/>
        <v>0</v>
      </c>
      <c r="O38" s="2819">
        <f t="shared" ca="1" si="11"/>
        <v>0</v>
      </c>
      <c r="P38" s="2819">
        <f t="shared" ca="1" si="11"/>
        <v>0</v>
      </c>
      <c r="Q38" s="2819">
        <f t="shared" ca="1" si="11"/>
        <v>0</v>
      </c>
      <c r="R38" s="2819">
        <f t="shared" ca="1" si="11"/>
        <v>0</v>
      </c>
      <c r="S38" s="2819">
        <f t="shared" ca="1" si="11"/>
        <v>0</v>
      </c>
      <c r="T38" s="2819">
        <f t="shared" ca="1" si="11"/>
        <v>0</v>
      </c>
      <c r="U38" s="2822">
        <f>U35+U37</f>
        <v>0</v>
      </c>
      <c r="V38" s="2822">
        <f>V35+V37</f>
        <v>0</v>
      </c>
    </row>
    <row r="39" spans="1:22" x14ac:dyDescent="0.15">
      <c r="A39" s="2795" t="s">
        <v>1152</v>
      </c>
      <c r="B39" s="2820">
        <f>+B61</f>
        <v>0</v>
      </c>
      <c r="C39" s="2820">
        <f ca="1">+C61</f>
        <v>0</v>
      </c>
      <c r="D39" s="2820">
        <f t="shared" ref="D39:T39" ca="1" si="12">+D61</f>
        <v>0</v>
      </c>
      <c r="E39" s="2820">
        <f t="shared" ca="1" si="12"/>
        <v>0</v>
      </c>
      <c r="F39" s="2798">
        <f t="shared" ca="1" si="12"/>
        <v>0</v>
      </c>
      <c r="G39" s="2798">
        <f t="shared" ca="1" si="12"/>
        <v>0</v>
      </c>
      <c r="H39" s="2798">
        <f t="shared" ca="1" si="12"/>
        <v>0</v>
      </c>
      <c r="I39" s="2798">
        <f t="shared" ca="1" si="12"/>
        <v>0</v>
      </c>
      <c r="J39" s="2798">
        <f t="shared" ca="1" si="12"/>
        <v>0</v>
      </c>
      <c r="K39" s="2798">
        <f t="shared" ca="1" si="12"/>
        <v>0</v>
      </c>
      <c r="L39" s="2798">
        <f t="shared" ca="1" si="12"/>
        <v>0</v>
      </c>
      <c r="M39" s="2798">
        <f t="shared" ca="1" si="12"/>
        <v>0</v>
      </c>
      <c r="N39" s="2798">
        <f t="shared" ca="1" si="12"/>
        <v>0</v>
      </c>
      <c r="O39" s="2798">
        <f t="shared" ca="1" si="12"/>
        <v>0</v>
      </c>
      <c r="P39" s="2798">
        <f t="shared" ca="1" si="12"/>
        <v>0</v>
      </c>
      <c r="Q39" s="2798">
        <f t="shared" ca="1" si="12"/>
        <v>0</v>
      </c>
      <c r="R39" s="2798">
        <f t="shared" ca="1" si="12"/>
        <v>0</v>
      </c>
      <c r="S39" s="2798">
        <f t="shared" ca="1" si="12"/>
        <v>0</v>
      </c>
      <c r="T39" s="2798">
        <f t="shared" ca="1" si="12"/>
        <v>0</v>
      </c>
      <c r="U39" s="2820">
        <v>0</v>
      </c>
      <c r="V39" s="2820">
        <f ca="1">+V61</f>
        <v>0</v>
      </c>
    </row>
    <row r="40" spans="1:22" ht="9.75" thickBot="1" x14ac:dyDescent="0.2">
      <c r="A40" s="2799" t="s">
        <v>1153</v>
      </c>
      <c r="B40" s="2824">
        <f>B35+B39</f>
        <v>0</v>
      </c>
      <c r="C40" s="2824">
        <f ca="1">C35+C39</f>
        <v>0</v>
      </c>
      <c r="D40" s="2825">
        <f ca="1">D35+D39</f>
        <v>0</v>
      </c>
      <c r="E40" s="2824">
        <f t="shared" ref="E40:T40" ca="1" si="13">E35+E39</f>
        <v>0</v>
      </c>
      <c r="F40" s="2802">
        <f t="shared" ca="1" si="13"/>
        <v>0</v>
      </c>
      <c r="G40" s="2802">
        <f t="shared" ca="1" si="13"/>
        <v>0</v>
      </c>
      <c r="H40" s="2802">
        <f t="shared" ca="1" si="13"/>
        <v>0</v>
      </c>
      <c r="I40" s="2802">
        <f t="shared" ca="1" si="13"/>
        <v>0</v>
      </c>
      <c r="J40" s="2802">
        <f t="shared" ca="1" si="13"/>
        <v>0</v>
      </c>
      <c r="K40" s="2802">
        <f t="shared" ca="1" si="13"/>
        <v>0</v>
      </c>
      <c r="L40" s="2802">
        <f t="shared" ca="1" si="13"/>
        <v>0</v>
      </c>
      <c r="M40" s="2802">
        <f t="shared" ca="1" si="13"/>
        <v>0</v>
      </c>
      <c r="N40" s="2802">
        <f t="shared" ca="1" si="13"/>
        <v>0</v>
      </c>
      <c r="O40" s="2802">
        <f t="shared" ca="1" si="13"/>
        <v>0</v>
      </c>
      <c r="P40" s="2802">
        <f t="shared" ca="1" si="13"/>
        <v>0</v>
      </c>
      <c r="Q40" s="2802">
        <f t="shared" ca="1" si="13"/>
        <v>0</v>
      </c>
      <c r="R40" s="2802">
        <f t="shared" ca="1" si="13"/>
        <v>0</v>
      </c>
      <c r="S40" s="2802">
        <f t="shared" ca="1" si="13"/>
        <v>0</v>
      </c>
      <c r="T40" s="2802">
        <f t="shared" ca="1" si="13"/>
        <v>0</v>
      </c>
      <c r="U40" s="2824">
        <v>0</v>
      </c>
      <c r="V40" s="2824">
        <f ca="1">V35+V39</f>
        <v>0</v>
      </c>
    </row>
    <row r="41" spans="1:22" x14ac:dyDescent="0.15">
      <c r="A41" s="2795" t="s">
        <v>1154</v>
      </c>
      <c r="B41" s="2826"/>
      <c r="C41" s="2826">
        <v>2</v>
      </c>
      <c r="D41" s="2826">
        <v>3</v>
      </c>
      <c r="E41" s="2826"/>
      <c r="F41" s="2827"/>
      <c r="G41" s="2827"/>
      <c r="H41" s="2827"/>
      <c r="I41" s="2827"/>
      <c r="J41" s="2827"/>
      <c r="K41" s="2827"/>
      <c r="L41" s="2827"/>
      <c r="M41" s="2827"/>
      <c r="N41" s="2827"/>
      <c r="O41" s="2827"/>
      <c r="P41" s="2827"/>
      <c r="Q41" s="2827"/>
      <c r="R41" s="2827"/>
      <c r="S41" s="2827"/>
      <c r="T41" s="2827"/>
      <c r="U41" s="2826">
        <v>0</v>
      </c>
      <c r="V41" s="2826">
        <v>0</v>
      </c>
    </row>
    <row r="42" spans="1:22" ht="11.25" x14ac:dyDescent="0.2">
      <c r="A42" s="2795" t="s">
        <v>1155</v>
      </c>
      <c r="B42" s="2937" t="str">
        <f>IF(B41="","",B35/B41)</f>
        <v/>
      </c>
      <c r="C42" s="2937">
        <f t="shared" ref="C42:T42" si="14">IF(C41="","",C35/C41)</f>
        <v>0</v>
      </c>
      <c r="D42" s="2937">
        <f t="shared" si="14"/>
        <v>0</v>
      </c>
      <c r="E42" s="2937" t="str">
        <f t="shared" si="14"/>
        <v/>
      </c>
      <c r="F42" s="2798" t="str">
        <f t="shared" si="14"/>
        <v/>
      </c>
      <c r="G42" s="2798" t="str">
        <f t="shared" si="14"/>
        <v/>
      </c>
      <c r="H42" s="2798" t="str">
        <f t="shared" si="14"/>
        <v/>
      </c>
      <c r="I42" s="2798" t="str">
        <f t="shared" si="14"/>
        <v/>
      </c>
      <c r="J42" s="2798" t="str">
        <f t="shared" si="14"/>
        <v/>
      </c>
      <c r="K42" s="2798" t="str">
        <f t="shared" si="14"/>
        <v/>
      </c>
      <c r="L42" s="2798" t="str">
        <f t="shared" si="14"/>
        <v/>
      </c>
      <c r="M42" s="2798" t="str">
        <f t="shared" si="14"/>
        <v/>
      </c>
      <c r="N42" s="2798" t="str">
        <f t="shared" si="14"/>
        <v/>
      </c>
      <c r="O42" s="2798" t="str">
        <f t="shared" si="14"/>
        <v/>
      </c>
      <c r="P42" s="2798" t="str">
        <f t="shared" si="14"/>
        <v/>
      </c>
      <c r="Q42" s="2798" t="str">
        <f t="shared" si="14"/>
        <v/>
      </c>
      <c r="R42" s="2798" t="str">
        <f t="shared" si="14"/>
        <v/>
      </c>
      <c r="S42" s="2798" t="str">
        <f t="shared" si="14"/>
        <v/>
      </c>
      <c r="T42" s="2798" t="str">
        <f t="shared" si="14"/>
        <v/>
      </c>
      <c r="U42" s="2828">
        <v>6</v>
      </c>
      <c r="V42" s="2828">
        <v>6</v>
      </c>
    </row>
    <row r="43" spans="1:22" ht="11.25" x14ac:dyDescent="0.2">
      <c r="A43" s="2795" t="s">
        <v>1156</v>
      </c>
      <c r="B43" s="2937" t="str">
        <f>IF(B41="","",B39/B41)</f>
        <v/>
      </c>
      <c r="C43" s="2937">
        <f t="shared" ref="C43:T43" ca="1" si="15">IF(C41="","",C39/C41)</f>
        <v>0</v>
      </c>
      <c r="D43" s="2937">
        <f t="shared" ca="1" si="15"/>
        <v>0</v>
      </c>
      <c r="E43" s="2937" t="str">
        <f t="shared" si="15"/>
        <v/>
      </c>
      <c r="F43" s="2798" t="str">
        <f t="shared" si="15"/>
        <v/>
      </c>
      <c r="G43" s="2798" t="str">
        <f t="shared" si="15"/>
        <v/>
      </c>
      <c r="H43" s="2798" t="str">
        <f t="shared" si="15"/>
        <v/>
      </c>
      <c r="I43" s="2798" t="str">
        <f t="shared" si="15"/>
        <v/>
      </c>
      <c r="J43" s="2798" t="str">
        <f t="shared" si="15"/>
        <v/>
      </c>
      <c r="K43" s="2798" t="str">
        <f t="shared" si="15"/>
        <v/>
      </c>
      <c r="L43" s="2798" t="str">
        <f t="shared" si="15"/>
        <v/>
      </c>
      <c r="M43" s="2798" t="str">
        <f t="shared" si="15"/>
        <v/>
      </c>
      <c r="N43" s="2798" t="str">
        <f t="shared" si="15"/>
        <v/>
      </c>
      <c r="O43" s="2798" t="str">
        <f t="shared" si="15"/>
        <v/>
      </c>
      <c r="P43" s="2798" t="str">
        <f t="shared" si="15"/>
        <v/>
      </c>
      <c r="Q43" s="2798" t="str">
        <f t="shared" si="15"/>
        <v/>
      </c>
      <c r="R43" s="2798" t="str">
        <f t="shared" si="15"/>
        <v/>
      </c>
      <c r="S43" s="2798" t="str">
        <f t="shared" si="15"/>
        <v/>
      </c>
      <c r="T43" s="2798" t="str">
        <f t="shared" si="15"/>
        <v/>
      </c>
      <c r="U43" s="2828">
        <v>6</v>
      </c>
      <c r="V43" s="2828">
        <v>6</v>
      </c>
    </row>
    <row r="44" spans="1:22" x14ac:dyDescent="0.15">
      <c r="A44" s="2795" t="s">
        <v>1157</v>
      </c>
      <c r="B44" s="2829">
        <f>IFERROR(IF(B39&lt;&gt;0,B39/B35,0),0)</f>
        <v>0</v>
      </c>
      <c r="C44" s="2829">
        <f ca="1">IFERROR(IF(C39&lt;&gt;0,C39/C35,0),0)</f>
        <v>0</v>
      </c>
      <c r="D44" s="2829">
        <f ca="1">IFERROR(IF(D39&lt;&gt;0,D39/D35,0),0)</f>
        <v>0</v>
      </c>
      <c r="E44" s="2829">
        <f ca="1">IFERROR(IF(E39&lt;&gt;0,E39/E35,0),0)</f>
        <v>0</v>
      </c>
      <c r="F44" s="2830">
        <f t="shared" ref="F44:T44" ca="1" si="16">IFERROR(IF(F39&lt;&gt;0,F39/F35,0),0)</f>
        <v>0</v>
      </c>
      <c r="G44" s="2830">
        <f t="shared" ca="1" si="16"/>
        <v>0</v>
      </c>
      <c r="H44" s="2830">
        <f t="shared" ca="1" si="16"/>
        <v>0</v>
      </c>
      <c r="I44" s="2830">
        <f t="shared" ca="1" si="16"/>
        <v>0</v>
      </c>
      <c r="J44" s="2830">
        <f t="shared" ca="1" si="16"/>
        <v>0</v>
      </c>
      <c r="K44" s="2830">
        <f t="shared" ca="1" si="16"/>
        <v>0</v>
      </c>
      <c r="L44" s="2830">
        <f t="shared" ca="1" si="16"/>
        <v>0</v>
      </c>
      <c r="M44" s="2830">
        <f t="shared" ca="1" si="16"/>
        <v>0</v>
      </c>
      <c r="N44" s="2830">
        <f t="shared" ca="1" si="16"/>
        <v>0</v>
      </c>
      <c r="O44" s="2830">
        <f t="shared" ca="1" si="16"/>
        <v>0</v>
      </c>
      <c r="P44" s="2830">
        <f t="shared" ca="1" si="16"/>
        <v>0</v>
      </c>
      <c r="Q44" s="2830">
        <f t="shared" ca="1" si="16"/>
        <v>0</v>
      </c>
      <c r="R44" s="2830">
        <f t="shared" ca="1" si="16"/>
        <v>0</v>
      </c>
      <c r="S44" s="2830">
        <f t="shared" ca="1" si="16"/>
        <v>0</v>
      </c>
      <c r="T44" s="2830">
        <f t="shared" ca="1" si="16"/>
        <v>0</v>
      </c>
      <c r="U44" s="2829">
        <f>IFERROR(IF(U39&lt;&gt;0,U39/U35,0),0)</f>
        <v>0</v>
      </c>
      <c r="V44" s="2829">
        <f ca="1">IFERROR(IF(V39&lt;&gt;0,V39/V35,0),0)</f>
        <v>0</v>
      </c>
    </row>
    <row r="45" spans="1:22" ht="9.75" thickBot="1" x14ac:dyDescent="0.2">
      <c r="A45" s="2831"/>
      <c r="B45" s="2787">
        <f t="shared" ref="B45:V45" si="17">B12</f>
        <v>42735</v>
      </c>
      <c r="C45" s="2787">
        <f t="shared" si="17"/>
        <v>43100</v>
      </c>
      <c r="D45" s="2788">
        <f t="shared" si="17"/>
        <v>43465</v>
      </c>
      <c r="E45" s="2789">
        <f t="shared" si="17"/>
        <v>43830</v>
      </c>
      <c r="F45" s="2789">
        <f t="shared" si="17"/>
        <v>44196</v>
      </c>
      <c r="G45" s="2789">
        <f t="shared" si="17"/>
        <v>44561</v>
      </c>
      <c r="H45" s="2789">
        <f t="shared" si="17"/>
        <v>44926</v>
      </c>
      <c r="I45" s="2789">
        <f t="shared" si="17"/>
        <v>45291</v>
      </c>
      <c r="J45" s="2789">
        <f t="shared" si="17"/>
        <v>45657</v>
      </c>
      <c r="K45" s="2789">
        <f t="shared" si="17"/>
        <v>46022</v>
      </c>
      <c r="L45" s="2789">
        <f t="shared" si="17"/>
        <v>46387</v>
      </c>
      <c r="M45" s="2789">
        <f t="shared" si="17"/>
        <v>46752</v>
      </c>
      <c r="N45" s="2789">
        <f t="shared" si="17"/>
        <v>47118</v>
      </c>
      <c r="O45" s="2789">
        <f t="shared" si="17"/>
        <v>47483</v>
      </c>
      <c r="P45" s="2789">
        <f t="shared" si="17"/>
        <v>47848</v>
      </c>
      <c r="Q45" s="2789">
        <f t="shared" si="17"/>
        <v>48213</v>
      </c>
      <c r="R45" s="2789">
        <f t="shared" si="17"/>
        <v>48579</v>
      </c>
      <c r="S45" s="2789">
        <f t="shared" si="17"/>
        <v>48944</v>
      </c>
      <c r="T45" s="2789">
        <f t="shared" si="17"/>
        <v>49309</v>
      </c>
      <c r="U45" s="2788">
        <f t="shared" si="17"/>
        <v>43281</v>
      </c>
      <c r="V45" s="2790">
        <f t="shared" si="17"/>
        <v>43646</v>
      </c>
    </row>
    <row r="46" spans="1:22" ht="9.75" thickBot="1" x14ac:dyDescent="0.2">
      <c r="A46" s="2803" t="s">
        <v>1158</v>
      </c>
      <c r="B46" s="2804">
        <f>Cuadros!M27/$A$8</f>
        <v>0</v>
      </c>
      <c r="C46" s="2804">
        <f>Cuadros!N27/$A$8</f>
        <v>0</v>
      </c>
      <c r="D46" s="2805">
        <f>Cuadros!O27/$A$8</f>
        <v>0</v>
      </c>
      <c r="E46" s="2804">
        <f>Cuadros!P27/$A$8</f>
        <v>0</v>
      </c>
      <c r="F46" s="2806">
        <f>Cuadros!Q27/$A$8</f>
        <v>0</v>
      </c>
      <c r="G46" s="2806">
        <f>Cuadros!R27/$A$8</f>
        <v>0</v>
      </c>
      <c r="H46" s="2806">
        <f>Cuadros!S27/$A$8</f>
        <v>0</v>
      </c>
      <c r="I46" s="2806">
        <f>Cuadros!T27/$A$8</f>
        <v>0</v>
      </c>
      <c r="J46" s="2806">
        <f>Cuadros!U27/$A$8</f>
        <v>0</v>
      </c>
      <c r="K46" s="2806">
        <f>Cuadros!V27/$A$8</f>
        <v>0</v>
      </c>
      <c r="L46" s="2806">
        <f>Cuadros!W27/$A$8</f>
        <v>0</v>
      </c>
      <c r="M46" s="2806">
        <f>Cuadros!X27/$A$8</f>
        <v>0</v>
      </c>
      <c r="N46" s="2806">
        <f>Cuadros!Y27/$A$8</f>
        <v>0</v>
      </c>
      <c r="O46" s="2806">
        <f>Cuadros!Z27/$A$8</f>
        <v>0</v>
      </c>
      <c r="P46" s="2806">
        <f>Cuadros!AA27/$A$8</f>
        <v>0</v>
      </c>
      <c r="Q46" s="2806">
        <f>Cuadros!AB27/$A$8</f>
        <v>0</v>
      </c>
      <c r="R46" s="2806">
        <f>Cuadros!AC27/$A$8</f>
        <v>0</v>
      </c>
      <c r="S46" s="2806">
        <f>Cuadros!AD27/$A$8</f>
        <v>0</v>
      </c>
      <c r="T46" s="2806">
        <f>Cuadros!AE27/$A$8</f>
        <v>0</v>
      </c>
      <c r="U46" s="2804">
        <f>Cuadros!AG27/$A$8</f>
        <v>0</v>
      </c>
      <c r="V46" s="2804">
        <f>Cuadros!AH27/$A$8</f>
        <v>0</v>
      </c>
    </row>
    <row r="47" spans="1:22" ht="9.75" thickBot="1" x14ac:dyDescent="0.2">
      <c r="A47" s="2795" t="s">
        <v>1159</v>
      </c>
      <c r="B47" s="2796">
        <f>(Cuadros!M28+Cuadros!M30)/$A$8</f>
        <v>0</v>
      </c>
      <c r="C47" s="2796">
        <f>(Cuadros!N28+Cuadros!N30)/$A$8</f>
        <v>0</v>
      </c>
      <c r="D47" s="2797">
        <f>(Cuadros!O28+Cuadros!O30)/$A$8</f>
        <v>0</v>
      </c>
      <c r="E47" s="2796">
        <f>(Cuadros!P28+Cuadros!P30)/$A$8</f>
        <v>0</v>
      </c>
      <c r="F47" s="2798">
        <f>(Cuadros!Q28+Cuadros!Q30)/$A$8</f>
        <v>0</v>
      </c>
      <c r="G47" s="2798">
        <f>(Cuadros!R28+Cuadros!R30)/$A$8</f>
        <v>0</v>
      </c>
      <c r="H47" s="2798">
        <f>(Cuadros!S28+Cuadros!S30)/$A$8</f>
        <v>0</v>
      </c>
      <c r="I47" s="2798">
        <f>(Cuadros!T28+Cuadros!T30)/$A$8</f>
        <v>0</v>
      </c>
      <c r="J47" s="2798">
        <f>(Cuadros!U28+Cuadros!U30)/$A$8</f>
        <v>0</v>
      </c>
      <c r="K47" s="2798">
        <f>(Cuadros!V28+Cuadros!V30)/$A$8</f>
        <v>0</v>
      </c>
      <c r="L47" s="2798">
        <f>(Cuadros!W28+Cuadros!W30)/$A$8</f>
        <v>0</v>
      </c>
      <c r="M47" s="2798">
        <f>(Cuadros!X28+Cuadros!X30)/$A$8</f>
        <v>0</v>
      </c>
      <c r="N47" s="2798">
        <f>(Cuadros!Y28+Cuadros!Y30)/$A$8</f>
        <v>0</v>
      </c>
      <c r="O47" s="2798">
        <f>(Cuadros!Z28+Cuadros!Z30)/$A$8</f>
        <v>0</v>
      </c>
      <c r="P47" s="2798">
        <f>(Cuadros!AA28+Cuadros!AA30)/$A$8</f>
        <v>0</v>
      </c>
      <c r="Q47" s="2798">
        <f>(Cuadros!AB28+Cuadros!AB30)/$A$8</f>
        <v>0</v>
      </c>
      <c r="R47" s="2798">
        <f>(Cuadros!AC28+Cuadros!AC30)/$A$8</f>
        <v>0</v>
      </c>
      <c r="S47" s="2798">
        <f>(Cuadros!AD28+Cuadros!AD30)/$A$8</f>
        <v>0</v>
      </c>
      <c r="T47" s="2798">
        <f>(Cuadros!AE28+Cuadros!AE30)/$A$8</f>
        <v>0</v>
      </c>
      <c r="U47" s="2804">
        <f>Cuadros!AG28/$A$8</f>
        <v>0</v>
      </c>
      <c r="V47" s="2796">
        <f>(Cuadros!AH28+Cuadros!AH30)/$A$8</f>
        <v>0</v>
      </c>
    </row>
    <row r="48" spans="1:22" ht="9.75" thickBot="1" x14ac:dyDescent="0.2">
      <c r="A48" s="2795" t="s">
        <v>1160</v>
      </c>
      <c r="B48" s="2796">
        <f>Cuadros!M33/$A$8</f>
        <v>0</v>
      </c>
      <c r="C48" s="2796">
        <f ca="1">Cuadros!N33/$A$8</f>
        <v>0</v>
      </c>
      <c r="D48" s="2797">
        <f ca="1">Cuadros!O33/$A$8</f>
        <v>0</v>
      </c>
      <c r="E48" s="2796">
        <f>Cuadros!P33/$A$8</f>
        <v>0</v>
      </c>
      <c r="F48" s="2798">
        <f>Cuadros!Q33/$A$8</f>
        <v>0</v>
      </c>
      <c r="G48" s="2798">
        <f>Cuadros!R33/$A$8</f>
        <v>0</v>
      </c>
      <c r="H48" s="2798">
        <f>Cuadros!S33/$A$8</f>
        <v>0</v>
      </c>
      <c r="I48" s="2798">
        <f>Cuadros!T33/$A$8</f>
        <v>0</v>
      </c>
      <c r="J48" s="2798">
        <f>Cuadros!U33/$A$8</f>
        <v>0</v>
      </c>
      <c r="K48" s="2798">
        <f>Cuadros!V33/$A$8</f>
        <v>0</v>
      </c>
      <c r="L48" s="2798">
        <f>Cuadros!W33/$A$8</f>
        <v>0</v>
      </c>
      <c r="M48" s="2798">
        <f>Cuadros!X33/$A$8</f>
        <v>0</v>
      </c>
      <c r="N48" s="2798">
        <f>Cuadros!Y33/$A$8</f>
        <v>0</v>
      </c>
      <c r="O48" s="2798">
        <f>Cuadros!Z33/$A$8</f>
        <v>0</v>
      </c>
      <c r="P48" s="2798">
        <f>Cuadros!AA33/$A$8</f>
        <v>0</v>
      </c>
      <c r="Q48" s="2798">
        <f>Cuadros!AB33/$A$8</f>
        <v>0</v>
      </c>
      <c r="R48" s="2798">
        <f>Cuadros!AC33/$A$8</f>
        <v>0</v>
      </c>
      <c r="S48" s="2798">
        <f>Cuadros!AD33/$A$8</f>
        <v>0</v>
      </c>
      <c r="T48" s="2798">
        <f>Cuadros!AE33/$A$8</f>
        <v>0</v>
      </c>
      <c r="U48" s="2804">
        <f>Cuadros!AG29/$A$8</f>
        <v>0</v>
      </c>
      <c r="V48" s="2796">
        <f ca="1">Cuadros!AH33/$A$8</f>
        <v>0</v>
      </c>
    </row>
    <row r="49" spans="1:22" ht="9.75" thickBot="1" x14ac:dyDescent="0.2">
      <c r="A49" s="2795" t="s">
        <v>1161</v>
      </c>
      <c r="B49" s="2796">
        <f>Cuadros!M31/$A$8</f>
        <v>0</v>
      </c>
      <c r="C49" s="2796">
        <f>Cuadros!N31/$A$8</f>
        <v>0</v>
      </c>
      <c r="D49" s="2797">
        <f>Cuadros!O31/$A$8</f>
        <v>0</v>
      </c>
      <c r="E49" s="2796">
        <f>Cuadros!P31/$A$8</f>
        <v>0</v>
      </c>
      <c r="F49" s="2798">
        <f>Cuadros!Q31/$A$8</f>
        <v>0</v>
      </c>
      <c r="G49" s="2798">
        <f>Cuadros!R31/$A$8</f>
        <v>0</v>
      </c>
      <c r="H49" s="2798">
        <f>Cuadros!S31/$A$8</f>
        <v>0</v>
      </c>
      <c r="I49" s="2798">
        <f>Cuadros!T31/$A$8</f>
        <v>0</v>
      </c>
      <c r="J49" s="2798">
        <f>Cuadros!U31/$A$8</f>
        <v>0</v>
      </c>
      <c r="K49" s="2798">
        <f>Cuadros!V31/$A$8</f>
        <v>0</v>
      </c>
      <c r="L49" s="2798">
        <f>Cuadros!W31/$A$8</f>
        <v>0</v>
      </c>
      <c r="M49" s="2798">
        <f>Cuadros!X31/$A$8</f>
        <v>0</v>
      </c>
      <c r="N49" s="2798">
        <f>Cuadros!Y31/$A$8</f>
        <v>0</v>
      </c>
      <c r="O49" s="2798">
        <f>Cuadros!Z31/$A$8</f>
        <v>0</v>
      </c>
      <c r="P49" s="2798">
        <f>Cuadros!AA31/$A$8</f>
        <v>0</v>
      </c>
      <c r="Q49" s="2798">
        <f>Cuadros!AB31/$A$8</f>
        <v>0</v>
      </c>
      <c r="R49" s="2798">
        <f>Cuadros!AC31/$A$8</f>
        <v>0</v>
      </c>
      <c r="S49" s="2798">
        <f>Cuadros!AD31/$A$8</f>
        <v>0</v>
      </c>
      <c r="T49" s="2798">
        <f>Cuadros!AE31/$A$8</f>
        <v>0</v>
      </c>
      <c r="U49" s="2804">
        <f>Cuadros!AG30/$A$8</f>
        <v>0</v>
      </c>
      <c r="V49" s="2796">
        <f>Cuadros!AH31/$A$8</f>
        <v>0</v>
      </c>
    </row>
    <row r="50" spans="1:22" ht="9.75" thickBot="1" x14ac:dyDescent="0.2">
      <c r="A50" s="2781" t="s">
        <v>453</v>
      </c>
      <c r="B50" s="2832">
        <f>Cuadros!M32/$A$8</f>
        <v>0</v>
      </c>
      <c r="C50" s="2832">
        <f ca="1">Cuadros!N32/$A$8</f>
        <v>0</v>
      </c>
      <c r="D50" s="2833">
        <f ca="1">Cuadros!O32/$A$8</f>
        <v>0</v>
      </c>
      <c r="E50" s="2832">
        <f ca="1">Cuadros!P32/$A$8</f>
        <v>0</v>
      </c>
      <c r="F50" s="2834">
        <f ca="1">Cuadros!Q32/$A$8</f>
        <v>0</v>
      </c>
      <c r="G50" s="2834">
        <f ca="1">Cuadros!R32/$A$8</f>
        <v>0</v>
      </c>
      <c r="H50" s="2834">
        <f ca="1">Cuadros!S32/$A$8</f>
        <v>0</v>
      </c>
      <c r="I50" s="2834">
        <f ca="1">Cuadros!T32/$A$8</f>
        <v>0</v>
      </c>
      <c r="J50" s="2834">
        <f ca="1">Cuadros!U32/$A$8</f>
        <v>0</v>
      </c>
      <c r="K50" s="2834">
        <f ca="1">Cuadros!V32/$A$8</f>
        <v>0</v>
      </c>
      <c r="L50" s="2834">
        <f ca="1">Cuadros!W32/$A$8</f>
        <v>0</v>
      </c>
      <c r="M50" s="2834">
        <f ca="1">Cuadros!X32/$A$8</f>
        <v>0</v>
      </c>
      <c r="N50" s="2834">
        <f ca="1">Cuadros!Y32/$A$8</f>
        <v>0</v>
      </c>
      <c r="O50" s="2834">
        <f ca="1">Cuadros!Z32/$A$8</f>
        <v>0</v>
      </c>
      <c r="P50" s="2834">
        <f ca="1">Cuadros!AA32/$A$8</f>
        <v>0</v>
      </c>
      <c r="Q50" s="2834">
        <f ca="1">Cuadros!AB32/$A$8</f>
        <v>0</v>
      </c>
      <c r="R50" s="2834">
        <f ca="1">Cuadros!AC32/$A$8</f>
        <v>0</v>
      </c>
      <c r="S50" s="2834">
        <f ca="1">Cuadros!AD32/$A$8</f>
        <v>0</v>
      </c>
      <c r="T50" s="2834">
        <f ca="1">Cuadros!AE32/$A$8</f>
        <v>0</v>
      </c>
      <c r="U50" s="2804">
        <f>Cuadros!AG31/$A$8</f>
        <v>0</v>
      </c>
      <c r="V50" s="2832">
        <f ca="1">Cuadros!AH32/$A$8</f>
        <v>0</v>
      </c>
    </row>
    <row r="51" spans="1:22" ht="9.75" thickBot="1" x14ac:dyDescent="0.2">
      <c r="A51" s="2811" t="s">
        <v>1162</v>
      </c>
      <c r="B51" s="2812">
        <f t="shared" ref="B51" si="18">IFERROR(SUM(B46:B50),0)</f>
        <v>0</v>
      </c>
      <c r="C51" s="2812">
        <f t="shared" ref="C51:T51" ca="1" si="19">IFERROR(SUM(C46:C50),0)</f>
        <v>0</v>
      </c>
      <c r="D51" s="2813">
        <f t="shared" ca="1" si="19"/>
        <v>0</v>
      </c>
      <c r="E51" s="2812">
        <f t="shared" ca="1" si="19"/>
        <v>0</v>
      </c>
      <c r="F51" s="2814">
        <f t="shared" ca="1" si="19"/>
        <v>0</v>
      </c>
      <c r="G51" s="2814">
        <f t="shared" ca="1" si="19"/>
        <v>0</v>
      </c>
      <c r="H51" s="2814">
        <f t="shared" ca="1" si="19"/>
        <v>0</v>
      </c>
      <c r="I51" s="2814">
        <f t="shared" ca="1" si="19"/>
        <v>0</v>
      </c>
      <c r="J51" s="2814">
        <f t="shared" ca="1" si="19"/>
        <v>0</v>
      </c>
      <c r="K51" s="2814">
        <f t="shared" ca="1" si="19"/>
        <v>0</v>
      </c>
      <c r="L51" s="2814">
        <f t="shared" ca="1" si="19"/>
        <v>0</v>
      </c>
      <c r="M51" s="2814">
        <f t="shared" ca="1" si="19"/>
        <v>0</v>
      </c>
      <c r="N51" s="2814">
        <f t="shared" ca="1" si="19"/>
        <v>0</v>
      </c>
      <c r="O51" s="2814">
        <f t="shared" ca="1" si="19"/>
        <v>0</v>
      </c>
      <c r="P51" s="2814">
        <f t="shared" ca="1" si="19"/>
        <v>0</v>
      </c>
      <c r="Q51" s="2814">
        <f t="shared" ca="1" si="19"/>
        <v>0</v>
      </c>
      <c r="R51" s="2814">
        <f t="shared" ca="1" si="19"/>
        <v>0</v>
      </c>
      <c r="S51" s="2814">
        <f t="shared" ca="1" si="19"/>
        <v>0</v>
      </c>
      <c r="T51" s="2814">
        <f t="shared" ca="1" si="19"/>
        <v>0</v>
      </c>
      <c r="U51" s="2804">
        <v>0</v>
      </c>
      <c r="V51" s="2812">
        <f ca="1">IFERROR(SUM(V46:V50),0)</f>
        <v>0</v>
      </c>
    </row>
    <row r="52" spans="1:22" ht="9.75" thickBot="1" x14ac:dyDescent="0.2">
      <c r="A52" s="2803" t="s">
        <v>1163</v>
      </c>
      <c r="B52" s="2804">
        <f>(Cuadros!M39+Cuadros!M41)/$A$8</f>
        <v>0</v>
      </c>
      <c r="C52" s="2804">
        <f ca="1">(Cuadros!N39+Cuadros!N41)/$A$8</f>
        <v>0</v>
      </c>
      <c r="D52" s="2805">
        <f ca="1">(Cuadros!O39+Cuadros!O41)/$A$8</f>
        <v>0</v>
      </c>
      <c r="E52" s="2804">
        <f ca="1">(Cuadros!P39+Cuadros!P41)/$A$8</f>
        <v>0</v>
      </c>
      <c r="F52" s="2806">
        <f ca="1">(Cuadros!Q39+Cuadros!Q41)/$A$8</f>
        <v>0</v>
      </c>
      <c r="G52" s="2806">
        <f ca="1">(Cuadros!R39+Cuadros!R41)/$A$8</f>
        <v>0</v>
      </c>
      <c r="H52" s="2806">
        <f ca="1">(Cuadros!S39+Cuadros!S41)/$A$8</f>
        <v>0</v>
      </c>
      <c r="I52" s="2806">
        <f ca="1">(Cuadros!T39+Cuadros!T41)/$A$8</f>
        <v>0</v>
      </c>
      <c r="J52" s="2806">
        <f ca="1">(Cuadros!U39+Cuadros!U41)/$A$8</f>
        <v>0</v>
      </c>
      <c r="K52" s="2806">
        <f ca="1">(Cuadros!V39+Cuadros!V41)/$A$8</f>
        <v>0</v>
      </c>
      <c r="L52" s="2806">
        <f ca="1">(Cuadros!W39+Cuadros!W41)/$A$8</f>
        <v>0</v>
      </c>
      <c r="M52" s="2806">
        <f ca="1">(Cuadros!X39+Cuadros!X41)/$A$8</f>
        <v>0</v>
      </c>
      <c r="N52" s="2806">
        <f ca="1">(Cuadros!Y39+Cuadros!Y41)/$A$8</f>
        <v>0</v>
      </c>
      <c r="O52" s="2806">
        <f ca="1">(Cuadros!Z39+Cuadros!Z41)/$A$8</f>
        <v>0</v>
      </c>
      <c r="P52" s="2806">
        <f ca="1">(Cuadros!AA39+Cuadros!AA41)/$A$8</f>
        <v>0</v>
      </c>
      <c r="Q52" s="2806">
        <f ca="1">(Cuadros!AB39+Cuadros!AB41)/$A$8</f>
        <v>0</v>
      </c>
      <c r="R52" s="2806">
        <f ca="1">(Cuadros!AC39+Cuadros!AC41)/$A$8</f>
        <v>0</v>
      </c>
      <c r="S52" s="2806">
        <f ca="1">(Cuadros!AD39+Cuadros!AD41)/$A$8</f>
        <v>0</v>
      </c>
      <c r="T52" s="2806">
        <f ca="1">(Cuadros!AE39+Cuadros!AE41)/$A$8</f>
        <v>0</v>
      </c>
      <c r="U52" s="2804">
        <v>0</v>
      </c>
      <c r="V52" s="2804">
        <f ca="1">(Cuadros!AH39+Cuadros!AH41)/$A$8</f>
        <v>0</v>
      </c>
    </row>
    <row r="53" spans="1:22" ht="9.75" thickBot="1" x14ac:dyDescent="0.2">
      <c r="A53" s="2795" t="s">
        <v>1164</v>
      </c>
      <c r="B53" s="2796">
        <v>0</v>
      </c>
      <c r="C53" s="2796">
        <v>0</v>
      </c>
      <c r="D53" s="2797">
        <v>0</v>
      </c>
      <c r="E53" s="2796">
        <v>0</v>
      </c>
      <c r="F53" s="2798">
        <v>0</v>
      </c>
      <c r="G53" s="2798">
        <v>0</v>
      </c>
      <c r="H53" s="2798">
        <v>0</v>
      </c>
      <c r="I53" s="2798">
        <v>0</v>
      </c>
      <c r="J53" s="2798">
        <v>0</v>
      </c>
      <c r="K53" s="2798">
        <v>0</v>
      </c>
      <c r="L53" s="2798">
        <v>0</v>
      </c>
      <c r="M53" s="2798">
        <v>0</v>
      </c>
      <c r="N53" s="2798">
        <v>0</v>
      </c>
      <c r="O53" s="2798">
        <v>0</v>
      </c>
      <c r="P53" s="2798">
        <v>0</v>
      </c>
      <c r="Q53" s="2798">
        <v>0</v>
      </c>
      <c r="R53" s="2798">
        <v>0</v>
      </c>
      <c r="S53" s="2798">
        <v>0</v>
      </c>
      <c r="T53" s="2798">
        <v>0</v>
      </c>
      <c r="U53" s="2804">
        <v>0</v>
      </c>
      <c r="V53" s="2796">
        <v>0</v>
      </c>
    </row>
    <row r="54" spans="1:22" ht="12" thickBot="1" x14ac:dyDescent="0.35">
      <c r="A54" s="2795" t="s">
        <v>1165</v>
      </c>
      <c r="B54" s="2796">
        <f>IF(-Cuadros!M40&gt;0,Cuadros!M40,0)/$A$8</f>
        <v>0</v>
      </c>
      <c r="C54" s="2796">
        <f ca="1">IF(-Cuadros!N40&gt;0,Cuadros!N40,0)/$A$8</f>
        <v>0</v>
      </c>
      <c r="D54" s="2797">
        <f ca="1">IF(-Cuadros!O40&gt;0,Cuadros!O40,0)/$A$8</f>
        <v>0</v>
      </c>
      <c r="E54" s="2796">
        <f ca="1">IFERROR(IF(-Cuadros!P40&gt;0,Cuadros!P40,0)/$A$8,0)</f>
        <v>0</v>
      </c>
      <c r="F54" s="2939">
        <f>IFERROR(IF(-Cuadros!Q40&gt;0,Cuadros!Q40,0)/$A$8,0)</f>
        <v>0</v>
      </c>
      <c r="G54" s="2798">
        <f>IFERROR(IF(-Cuadros!R40&gt;0,Cuadros!R40,0)/$A$8,0)</f>
        <v>0</v>
      </c>
      <c r="H54" s="2798">
        <f>IFERROR(IF(-Cuadros!S40&gt;0,Cuadros!S40,0)/$A$8,0)</f>
        <v>0</v>
      </c>
      <c r="I54" s="2798">
        <f>IFERROR(IF(-Cuadros!T40&gt;0,Cuadros!T40,0)/$A$8,0)</f>
        <v>0</v>
      </c>
      <c r="J54" s="2798">
        <f>IFERROR(IF(-Cuadros!U40&gt;0,Cuadros!U40,0)/$A$8,0)</f>
        <v>0</v>
      </c>
      <c r="K54" s="2798">
        <f>IFERROR(IF(-Cuadros!V40&gt;0,Cuadros!V40,0)/$A$8,0)</f>
        <v>0</v>
      </c>
      <c r="L54" s="2798">
        <f>IFERROR(IF(-Cuadros!W40&gt;0,Cuadros!W40,0)/$A$8,0)</f>
        <v>0</v>
      </c>
      <c r="M54" s="2798">
        <f>IFERROR(IF(-Cuadros!X40&gt;0,Cuadros!X40,0)/$A$8,0)</f>
        <v>0</v>
      </c>
      <c r="N54" s="2798">
        <f>IFERROR(IF(-Cuadros!Y40&gt;0,Cuadros!Y40,0)/$A$8,0)</f>
        <v>0</v>
      </c>
      <c r="O54" s="2798">
        <f>IFERROR(IF(-Cuadros!Z40&gt;0,Cuadros!Z40,0)/$A$8,0)</f>
        <v>0</v>
      </c>
      <c r="P54" s="2798">
        <f>IFERROR(IF(-Cuadros!AA40&gt;0,Cuadros!AA40,0)/$A$8,0)</f>
        <v>0</v>
      </c>
      <c r="Q54" s="2798">
        <f>IFERROR(IF(-Cuadros!AB40&gt;0,Cuadros!AB40,0)/$A$8,0)</f>
        <v>0</v>
      </c>
      <c r="R54" s="2798">
        <f>IFERROR(IF(-Cuadros!AC40&gt;0,Cuadros!AC40,0)/$A$8,0)</f>
        <v>0</v>
      </c>
      <c r="S54" s="2798">
        <f>IFERROR(IF(-Cuadros!AD40&gt;0,Cuadros!AD40,0)/$A$8,0)</f>
        <v>0</v>
      </c>
      <c r="T54" s="2798">
        <f>IFERROR(IF(-Cuadros!AE40&gt;0,Cuadros!AE40,0)/$A$8,0)</f>
        <v>0</v>
      </c>
      <c r="U54" s="2804">
        <v>0</v>
      </c>
      <c r="V54" s="2796">
        <f ca="1">IF(-Cuadros!AH40&gt;0,Cuadros!AH40,0)/$A$8</f>
        <v>0</v>
      </c>
    </row>
    <row r="55" spans="1:22" ht="9.75" thickBot="1" x14ac:dyDescent="0.2">
      <c r="A55" s="2795" t="s">
        <v>1166</v>
      </c>
      <c r="B55" s="2796">
        <f>IF(-Cuadros!M40&lt;0,Cuadros!M40,0)/$A$8</f>
        <v>0</v>
      </c>
      <c r="C55" s="2796">
        <f ca="1">IF(-Cuadros!N40&lt;0,Cuadros!N40,0)/$A$8</f>
        <v>0</v>
      </c>
      <c r="D55" s="2797">
        <f ca="1">IF(-Cuadros!O40&lt;0,Cuadros!O40,0)/$A$8</f>
        <v>0</v>
      </c>
      <c r="E55" s="2796">
        <f ca="1">IFERROR(IF(-Cuadros!P40&lt;0,Cuadros!P40,0)/$A$8,0)</f>
        <v>0</v>
      </c>
      <c r="F55" s="2798">
        <f>IFERROR(IF(-Cuadros!Q40&lt;0,Cuadros!Q40,0)/$A$8,0)</f>
        <v>0</v>
      </c>
      <c r="G55" s="2798">
        <f>IFERROR(IF(-Cuadros!R40&lt;0,Cuadros!R40,0)/$A$8,0)</f>
        <v>0</v>
      </c>
      <c r="H55" s="2798">
        <f>IFERROR(IF(-Cuadros!S40&lt;0,Cuadros!S40,0)/$A$8,0)</f>
        <v>0</v>
      </c>
      <c r="I55" s="2798">
        <f>IFERROR(IF(-Cuadros!T40&lt;0,Cuadros!T40,0)/$A$8,0)</f>
        <v>0</v>
      </c>
      <c r="J55" s="2798">
        <f>IFERROR(IF(-Cuadros!U40&lt;0,Cuadros!U40,0)/$A$8,0)</f>
        <v>0</v>
      </c>
      <c r="K55" s="2798">
        <f>IFERROR(IF(-Cuadros!V40&lt;0,Cuadros!V40,0)/$A$8,0)</f>
        <v>0</v>
      </c>
      <c r="L55" s="2798">
        <f>IFERROR(IF(-Cuadros!W40&lt;0,Cuadros!W40,0)/$A$8,0)</f>
        <v>0</v>
      </c>
      <c r="M55" s="2798">
        <f>IFERROR(IF(-Cuadros!X40&lt;0,Cuadros!X40,0)/$A$8,0)</f>
        <v>0</v>
      </c>
      <c r="N55" s="2798">
        <f>IFERROR(IF(-Cuadros!Y40&lt;0,Cuadros!Y40,0)/$A$8,0)</f>
        <v>0</v>
      </c>
      <c r="O55" s="2798">
        <f>IFERROR(IF(-Cuadros!Z40&lt;0,Cuadros!Z40,0)/$A$8,0)</f>
        <v>0</v>
      </c>
      <c r="P55" s="2798">
        <f>IFERROR(IF(-Cuadros!AA40&lt;0,Cuadros!AA40,0)/$A$8,0)</f>
        <v>0</v>
      </c>
      <c r="Q55" s="2798">
        <f>IFERROR(IF(-Cuadros!AB40&lt;0,Cuadros!AB40,0)/$A$8,0)</f>
        <v>0</v>
      </c>
      <c r="R55" s="2798">
        <f>IFERROR(IF(-Cuadros!AC40&lt;0,Cuadros!AC40,0)/$A$8,0)</f>
        <v>0</v>
      </c>
      <c r="S55" s="2798">
        <f>IFERROR(IF(-Cuadros!AD40&lt;0,Cuadros!AD40,0)/$A$8,0)</f>
        <v>0</v>
      </c>
      <c r="T55" s="2798">
        <f>IFERROR(IF(-Cuadros!AE40&lt;0,Cuadros!AE40,0)/$A$8,0)</f>
        <v>0</v>
      </c>
      <c r="U55" s="2804">
        <v>0</v>
      </c>
      <c r="V55" s="2796">
        <f ca="1">IF(-Cuadros!AH40&lt;0,Cuadros!AH40,0)/$A$8</f>
        <v>0</v>
      </c>
    </row>
    <row r="56" spans="1:22" ht="9.75" thickBot="1" x14ac:dyDescent="0.2">
      <c r="A56" s="2795" t="s">
        <v>1167</v>
      </c>
      <c r="B56" s="2796">
        <f>(Cuadros!M35+Cuadros!M37)/$A$8</f>
        <v>0</v>
      </c>
      <c r="C56" s="2796">
        <f>(Cuadros!N35+Cuadros!N37)/$A$8</f>
        <v>0</v>
      </c>
      <c r="D56" s="2797">
        <f>(Cuadros!O35+Cuadros!O37)/$A$8</f>
        <v>0</v>
      </c>
      <c r="E56" s="2796">
        <f ca="1">(Cuadros!P35+Cuadros!P37)/$A$8</f>
        <v>0</v>
      </c>
      <c r="F56" s="2798">
        <f ca="1">(Cuadros!Q35+Cuadros!Q37)/$A$8</f>
        <v>0</v>
      </c>
      <c r="G56" s="2798">
        <f ca="1">(Cuadros!R35+Cuadros!R37)/$A$8</f>
        <v>0</v>
      </c>
      <c r="H56" s="2798">
        <f ca="1">(Cuadros!S35+Cuadros!S37)/$A$8</f>
        <v>0</v>
      </c>
      <c r="I56" s="2798">
        <f ca="1">(Cuadros!T35+Cuadros!T37)/$A$8</f>
        <v>0</v>
      </c>
      <c r="J56" s="2798">
        <f ca="1">(Cuadros!U35+Cuadros!U37)/$A$8</f>
        <v>0</v>
      </c>
      <c r="K56" s="2798">
        <f ca="1">(Cuadros!V35+Cuadros!V37)/$A$8</f>
        <v>0</v>
      </c>
      <c r="L56" s="2798">
        <f ca="1">(Cuadros!W35+Cuadros!W37)/$A$8</f>
        <v>0</v>
      </c>
      <c r="M56" s="2798">
        <f ca="1">(Cuadros!X35+Cuadros!X37)/$A$8</f>
        <v>0</v>
      </c>
      <c r="N56" s="2798">
        <f ca="1">(Cuadros!Y35+Cuadros!Y37)/$A$8</f>
        <v>0</v>
      </c>
      <c r="O56" s="2798">
        <f ca="1">(Cuadros!Z35+Cuadros!Z37)/$A$8</f>
        <v>0</v>
      </c>
      <c r="P56" s="2798">
        <f ca="1">(Cuadros!AA35+Cuadros!AA37)/$A$8</f>
        <v>0</v>
      </c>
      <c r="Q56" s="2798">
        <f ca="1">(Cuadros!AB35+Cuadros!AB37)/$A$8</f>
        <v>0</v>
      </c>
      <c r="R56" s="2798">
        <f ca="1">(Cuadros!AC35+Cuadros!AC37)/$A$8</f>
        <v>0</v>
      </c>
      <c r="S56" s="2798">
        <f ca="1">(Cuadros!AD35+Cuadros!AD37)/$A$8</f>
        <v>0</v>
      </c>
      <c r="T56" s="2798">
        <f ca="1">(Cuadros!AE35+Cuadros!AE37)/$A$8</f>
        <v>0</v>
      </c>
      <c r="U56" s="2804">
        <f>Cuadros!AG37/$A$8</f>
        <v>0</v>
      </c>
      <c r="V56" s="2796">
        <f>(Cuadros!AH35+Cuadros!AH37)/$A$8</f>
        <v>0</v>
      </c>
    </row>
    <row r="57" spans="1:22" ht="9.75" thickBot="1" x14ac:dyDescent="0.2">
      <c r="A57" s="2795" t="s">
        <v>1168</v>
      </c>
      <c r="B57" s="2796">
        <f>Cuadros!M43/$A$8</f>
        <v>0</v>
      </c>
      <c r="C57" s="2796">
        <f>Cuadros!N43/$A$8</f>
        <v>0</v>
      </c>
      <c r="D57" s="2797">
        <f>Cuadros!O43/$A$8</f>
        <v>0</v>
      </c>
      <c r="E57" s="2796">
        <f>Cuadros!P43/$A$8</f>
        <v>0</v>
      </c>
      <c r="F57" s="2798">
        <f>Cuadros!Q43/$A$8</f>
        <v>0</v>
      </c>
      <c r="G57" s="2798">
        <f>Cuadros!R43/$A$8</f>
        <v>0</v>
      </c>
      <c r="H57" s="2798">
        <f>Cuadros!S43/$A$8</f>
        <v>0</v>
      </c>
      <c r="I57" s="2798">
        <f>Cuadros!T43/$A$8</f>
        <v>0</v>
      </c>
      <c r="J57" s="2798">
        <f>Cuadros!U43/$A$8</f>
        <v>0</v>
      </c>
      <c r="K57" s="2798">
        <f>Cuadros!V43/$A$8</f>
        <v>0</v>
      </c>
      <c r="L57" s="2798">
        <f>Cuadros!W43/$A$8</f>
        <v>0</v>
      </c>
      <c r="M57" s="2798">
        <f>Cuadros!X43/$A$8</f>
        <v>0</v>
      </c>
      <c r="N57" s="2798">
        <f>Cuadros!Y43/$A$8</f>
        <v>0</v>
      </c>
      <c r="O57" s="2798">
        <f>Cuadros!Z43/$A$8</f>
        <v>0</v>
      </c>
      <c r="P57" s="2798">
        <f>Cuadros!AA43/$A$8</f>
        <v>0</v>
      </c>
      <c r="Q57" s="2798">
        <f>Cuadros!AB43/$A$8</f>
        <v>0</v>
      </c>
      <c r="R57" s="2798">
        <f>Cuadros!AC43/$A$8</f>
        <v>0</v>
      </c>
      <c r="S57" s="2798">
        <f>Cuadros!AD43/$A$8</f>
        <v>0</v>
      </c>
      <c r="T57" s="2798">
        <f>Cuadros!AE43/$A$8</f>
        <v>0</v>
      </c>
      <c r="U57" s="2804">
        <v>0</v>
      </c>
      <c r="V57" s="2796">
        <f>Cuadros!AH43/$A$8</f>
        <v>0</v>
      </c>
    </row>
    <row r="58" spans="1:22" ht="9.75" thickBot="1" x14ac:dyDescent="0.2">
      <c r="A58" s="2807" t="s">
        <v>1169</v>
      </c>
      <c r="B58" s="2808">
        <v>0</v>
      </c>
      <c r="C58" s="2808">
        <v>0</v>
      </c>
      <c r="D58" s="2809">
        <v>0</v>
      </c>
      <c r="E58" s="2808">
        <v>0</v>
      </c>
      <c r="F58" s="2810">
        <v>0</v>
      </c>
      <c r="G58" s="2810">
        <v>0</v>
      </c>
      <c r="H58" s="2810">
        <v>0</v>
      </c>
      <c r="I58" s="2810">
        <v>0</v>
      </c>
      <c r="J58" s="2810">
        <v>0</v>
      </c>
      <c r="K58" s="2810">
        <v>0</v>
      </c>
      <c r="L58" s="2810">
        <v>0</v>
      </c>
      <c r="M58" s="2810">
        <v>0</v>
      </c>
      <c r="N58" s="2810">
        <v>0</v>
      </c>
      <c r="O58" s="2810">
        <v>0</v>
      </c>
      <c r="P58" s="2810">
        <v>0</v>
      </c>
      <c r="Q58" s="2810">
        <v>0</v>
      </c>
      <c r="R58" s="2810">
        <v>0</v>
      </c>
      <c r="S58" s="2810">
        <v>0</v>
      </c>
      <c r="T58" s="2810">
        <v>0</v>
      </c>
      <c r="U58" s="2804">
        <v>0</v>
      </c>
      <c r="V58" s="2808">
        <v>0</v>
      </c>
    </row>
    <row r="59" spans="1:22" ht="9.75" thickBot="1" x14ac:dyDescent="0.2">
      <c r="A59" s="2799" t="s">
        <v>1170</v>
      </c>
      <c r="B59" s="2835">
        <f t="shared" ref="B59" si="20">SUM(B52:B58)</f>
        <v>0</v>
      </c>
      <c r="C59" s="2835">
        <f t="shared" ref="C59:T59" ca="1" si="21">SUM(C52:C58)</f>
        <v>0</v>
      </c>
      <c r="D59" s="2836">
        <f t="shared" ca="1" si="21"/>
        <v>0</v>
      </c>
      <c r="E59" s="2835">
        <f t="shared" ca="1" si="21"/>
        <v>0</v>
      </c>
      <c r="F59" s="2837">
        <f t="shared" ca="1" si="21"/>
        <v>0</v>
      </c>
      <c r="G59" s="2837">
        <f t="shared" ca="1" si="21"/>
        <v>0</v>
      </c>
      <c r="H59" s="2837">
        <f t="shared" ca="1" si="21"/>
        <v>0</v>
      </c>
      <c r="I59" s="2837">
        <f t="shared" ca="1" si="21"/>
        <v>0</v>
      </c>
      <c r="J59" s="2837">
        <f t="shared" ca="1" si="21"/>
        <v>0</v>
      </c>
      <c r="K59" s="2837">
        <f t="shared" ca="1" si="21"/>
        <v>0</v>
      </c>
      <c r="L59" s="2837">
        <f t="shared" ca="1" si="21"/>
        <v>0</v>
      </c>
      <c r="M59" s="2837">
        <f t="shared" ca="1" si="21"/>
        <v>0</v>
      </c>
      <c r="N59" s="2837">
        <f t="shared" ca="1" si="21"/>
        <v>0</v>
      </c>
      <c r="O59" s="2837">
        <f t="shared" ca="1" si="21"/>
        <v>0</v>
      </c>
      <c r="P59" s="2837">
        <f t="shared" ca="1" si="21"/>
        <v>0</v>
      </c>
      <c r="Q59" s="2837">
        <f t="shared" ca="1" si="21"/>
        <v>0</v>
      </c>
      <c r="R59" s="2837">
        <f t="shared" ca="1" si="21"/>
        <v>0</v>
      </c>
      <c r="S59" s="2837">
        <f t="shared" ca="1" si="21"/>
        <v>0</v>
      </c>
      <c r="T59" s="2837">
        <f t="shared" ca="1" si="21"/>
        <v>0</v>
      </c>
      <c r="U59" s="2804">
        <v>0</v>
      </c>
      <c r="V59" s="2835">
        <f ca="1">SUM(V52:V58)</f>
        <v>0</v>
      </c>
    </row>
    <row r="60" spans="1:22" ht="9.75" thickBot="1" x14ac:dyDescent="0.2">
      <c r="A60" s="2799" t="s">
        <v>1171</v>
      </c>
      <c r="B60" s="2835">
        <f t="shared" ref="B60:T60" si="22">B51+B59</f>
        <v>0</v>
      </c>
      <c r="C60" s="2835">
        <f t="shared" ca="1" si="22"/>
        <v>0</v>
      </c>
      <c r="D60" s="2836">
        <f t="shared" ca="1" si="22"/>
        <v>0</v>
      </c>
      <c r="E60" s="2835">
        <f t="shared" ca="1" si="22"/>
        <v>0</v>
      </c>
      <c r="F60" s="2838">
        <f t="shared" ca="1" si="22"/>
        <v>0</v>
      </c>
      <c r="G60" s="2838">
        <f t="shared" ca="1" si="22"/>
        <v>0</v>
      </c>
      <c r="H60" s="2838">
        <f t="shared" ca="1" si="22"/>
        <v>0</v>
      </c>
      <c r="I60" s="2838">
        <f t="shared" ca="1" si="22"/>
        <v>0</v>
      </c>
      <c r="J60" s="2838">
        <f t="shared" ca="1" si="22"/>
        <v>0</v>
      </c>
      <c r="K60" s="2838">
        <f t="shared" ca="1" si="22"/>
        <v>0</v>
      </c>
      <c r="L60" s="2838">
        <f t="shared" ca="1" si="22"/>
        <v>0</v>
      </c>
      <c r="M60" s="2838">
        <f t="shared" ca="1" si="22"/>
        <v>0</v>
      </c>
      <c r="N60" s="2838">
        <f t="shared" ca="1" si="22"/>
        <v>0</v>
      </c>
      <c r="O60" s="2838">
        <f t="shared" ca="1" si="22"/>
        <v>0</v>
      </c>
      <c r="P60" s="2838">
        <f t="shared" ca="1" si="22"/>
        <v>0</v>
      </c>
      <c r="Q60" s="2838">
        <f t="shared" ca="1" si="22"/>
        <v>0</v>
      </c>
      <c r="R60" s="2838">
        <f t="shared" ca="1" si="22"/>
        <v>0</v>
      </c>
      <c r="S60" s="2838">
        <f t="shared" ca="1" si="22"/>
        <v>0</v>
      </c>
      <c r="T60" s="2838">
        <f t="shared" ca="1" si="22"/>
        <v>0</v>
      </c>
      <c r="U60" s="2804">
        <v>0</v>
      </c>
      <c r="V60" s="2835">
        <f ca="1">V51+V59</f>
        <v>0</v>
      </c>
    </row>
    <row r="61" spans="1:22" ht="9.75" thickBot="1" x14ac:dyDescent="0.2">
      <c r="A61" s="2803" t="s">
        <v>1172</v>
      </c>
      <c r="B61" s="2804">
        <f>Cuadros!M47/$A$8</f>
        <v>0</v>
      </c>
      <c r="C61" s="2804">
        <f ca="1">Cuadros!N47/$A$8</f>
        <v>0</v>
      </c>
      <c r="D61" s="2805">
        <f ca="1">Cuadros!O47/$A$8</f>
        <v>0</v>
      </c>
      <c r="E61" s="2804">
        <f ca="1">IFERROR(Cuadros!P47/$A$8,0)</f>
        <v>0</v>
      </c>
      <c r="F61" s="2806">
        <f ca="1">IFERROR(Cuadros!Q47/$A$8,0)</f>
        <v>0</v>
      </c>
      <c r="G61" s="2806">
        <f ca="1">IFERROR(Cuadros!R47/$A$8,0)</f>
        <v>0</v>
      </c>
      <c r="H61" s="2806">
        <f ca="1">IFERROR(Cuadros!S47/$A$8,0)</f>
        <v>0</v>
      </c>
      <c r="I61" s="2806">
        <f ca="1">IFERROR(Cuadros!T47/$A$8,0)</f>
        <v>0</v>
      </c>
      <c r="J61" s="2806">
        <f ca="1">IFERROR(Cuadros!U47/$A$8,0)</f>
        <v>0</v>
      </c>
      <c r="K61" s="2806">
        <f ca="1">IFERROR(Cuadros!V47/$A$8,0)</f>
        <v>0</v>
      </c>
      <c r="L61" s="2806">
        <f ca="1">IFERROR(Cuadros!W47/$A$8,0)</f>
        <v>0</v>
      </c>
      <c r="M61" s="2806">
        <f ca="1">IFERROR(Cuadros!X47/$A$8,0)</f>
        <v>0</v>
      </c>
      <c r="N61" s="2806">
        <f ca="1">IFERROR(Cuadros!Y47/$A$8,0)</f>
        <v>0</v>
      </c>
      <c r="O61" s="2806">
        <f ca="1">IFERROR(Cuadros!Z47/$A$8,0)</f>
        <v>0</v>
      </c>
      <c r="P61" s="2806">
        <f ca="1">IFERROR(Cuadros!AA47/$A$8,0)</f>
        <v>0</v>
      </c>
      <c r="Q61" s="2806">
        <f ca="1">IFERROR(Cuadros!AB47/$A$8,0)</f>
        <v>0</v>
      </c>
      <c r="R61" s="2806">
        <f ca="1">IFERROR(Cuadros!AC47/$A$8,0)</f>
        <v>0</v>
      </c>
      <c r="S61" s="2806">
        <f ca="1">IFERROR(Cuadros!AD47/$A$8,0)</f>
        <v>0</v>
      </c>
      <c r="T61" s="2806">
        <f ca="1">IFERROR(Cuadros!AE47/$A$8,0)</f>
        <v>0</v>
      </c>
      <c r="U61" s="2804">
        <f>Cuadros!AG42/$A$8</f>
        <v>0</v>
      </c>
      <c r="V61" s="2804">
        <f ca="1">Cuadros!AH47/$A$8</f>
        <v>0</v>
      </c>
    </row>
    <row r="62" spans="1:22" ht="9.75" thickBot="1" x14ac:dyDescent="0.2">
      <c r="A62" s="2795" t="s">
        <v>1173</v>
      </c>
      <c r="B62" s="2839">
        <f>Cuadros!M49/$A$8</f>
        <v>0</v>
      </c>
      <c r="C62" s="2839">
        <f>Cuadros!N49/$A$8</f>
        <v>0</v>
      </c>
      <c r="D62" s="2840">
        <f>Cuadros!O49/$A$8</f>
        <v>0</v>
      </c>
      <c r="E62" s="2839">
        <f ca="1">Cuadros!P49/$A$8</f>
        <v>0</v>
      </c>
      <c r="F62" s="2841">
        <f ca="1">Cuadros!Q49/$A$8</f>
        <v>0</v>
      </c>
      <c r="G62" s="2841">
        <f ca="1">Cuadros!R49/$A$8</f>
        <v>0</v>
      </c>
      <c r="H62" s="2841">
        <f ca="1">Cuadros!S49/$A$8</f>
        <v>0</v>
      </c>
      <c r="I62" s="2841">
        <f ca="1">Cuadros!T49/$A$8</f>
        <v>0</v>
      </c>
      <c r="J62" s="2841">
        <f ca="1">Cuadros!U49/$A$8</f>
        <v>0</v>
      </c>
      <c r="K62" s="2798">
        <f ca="1">Cuadros!V49/$A$8</f>
        <v>0</v>
      </c>
      <c r="L62" s="2798">
        <f ca="1">Cuadros!W49/$A$8</f>
        <v>0</v>
      </c>
      <c r="M62" s="2798">
        <f ca="1">Cuadros!X49/$A$8</f>
        <v>0</v>
      </c>
      <c r="N62" s="2798">
        <f ca="1">Cuadros!Y49/$A$8</f>
        <v>0</v>
      </c>
      <c r="O62" s="2798">
        <f ca="1">Cuadros!Z49/$A$8</f>
        <v>0</v>
      </c>
      <c r="P62" s="2798">
        <f ca="1">Cuadros!AA49/$A$8</f>
        <v>0</v>
      </c>
      <c r="Q62" s="2798">
        <f ca="1">Cuadros!AB49/$A$8</f>
        <v>0</v>
      </c>
      <c r="R62" s="2798">
        <f ca="1">Cuadros!AC49/$A$8</f>
        <v>0</v>
      </c>
      <c r="S62" s="2798">
        <f ca="1">Cuadros!AD49/$A$8</f>
        <v>0</v>
      </c>
      <c r="T62" s="2798">
        <f ca="1">Cuadros!AE49/$A$8</f>
        <v>0</v>
      </c>
      <c r="U62" s="2804">
        <f>Cuadros!AG43/$A$8</f>
        <v>0</v>
      </c>
      <c r="V62" s="2839">
        <f>Cuadros!AH49/$A$8</f>
        <v>0</v>
      </c>
    </row>
    <row r="63" spans="1:22" ht="9.75" thickBot="1" x14ac:dyDescent="0.2">
      <c r="A63" s="2795" t="s">
        <v>1174</v>
      </c>
      <c r="B63" s="2842">
        <f>Cuadros!M50/$A$8</f>
        <v>0</v>
      </c>
      <c r="C63" s="2842">
        <f>Cuadros!N50/$A$8</f>
        <v>0</v>
      </c>
      <c r="D63" s="2843">
        <f>Cuadros!O50/$A$8</f>
        <v>0</v>
      </c>
      <c r="E63" s="2842">
        <f ca="1">Cuadros!P50/$A$8</f>
        <v>0</v>
      </c>
      <c r="F63" s="2798">
        <f ca="1">Cuadros!Q50/$A$8</f>
        <v>0</v>
      </c>
      <c r="G63" s="2798">
        <f ca="1">Cuadros!R50/$A$8</f>
        <v>0</v>
      </c>
      <c r="H63" s="2798">
        <f ca="1">Cuadros!S50/$A$8</f>
        <v>0</v>
      </c>
      <c r="I63" s="2798">
        <f ca="1">Cuadros!T50/$A$8</f>
        <v>0</v>
      </c>
      <c r="J63" s="2798">
        <f ca="1">Cuadros!U50/$A$8</f>
        <v>0</v>
      </c>
      <c r="K63" s="2798">
        <f ca="1">Cuadros!V50/$A$8</f>
        <v>0</v>
      </c>
      <c r="L63" s="2798">
        <f ca="1">Cuadros!W50/$A$8</f>
        <v>0</v>
      </c>
      <c r="M63" s="2798">
        <f ca="1">Cuadros!X50/$A$8</f>
        <v>0</v>
      </c>
      <c r="N63" s="2798">
        <f ca="1">Cuadros!Y50/$A$8</f>
        <v>0</v>
      </c>
      <c r="O63" s="2798">
        <f ca="1">Cuadros!Z50/$A$8</f>
        <v>0</v>
      </c>
      <c r="P63" s="2798">
        <f ca="1">Cuadros!AA50/$A$8</f>
        <v>0</v>
      </c>
      <c r="Q63" s="2798">
        <f ca="1">Cuadros!AB50/$A$8</f>
        <v>0</v>
      </c>
      <c r="R63" s="2798">
        <f ca="1">Cuadros!AC50/$A$8</f>
        <v>0</v>
      </c>
      <c r="S63" s="2798">
        <f ca="1">Cuadros!AD50/$A$8</f>
        <v>0</v>
      </c>
      <c r="T63" s="2798">
        <f ca="1">Cuadros!AE50/$A$8</f>
        <v>0</v>
      </c>
      <c r="U63" s="2804">
        <v>0</v>
      </c>
      <c r="V63" s="2842">
        <f>Cuadros!AH50/$A$8</f>
        <v>0</v>
      </c>
    </row>
    <row r="64" spans="1:22" ht="9.75" thickBot="1" x14ac:dyDescent="0.2">
      <c r="A64" s="2795" t="s">
        <v>1175</v>
      </c>
      <c r="B64" s="2796">
        <f>Cuadros!M36/$A$8</f>
        <v>0</v>
      </c>
      <c r="C64" s="2796">
        <f>Cuadros!N36/$A$8</f>
        <v>0</v>
      </c>
      <c r="D64" s="2797">
        <f>Cuadros!O36/$A$8</f>
        <v>0</v>
      </c>
      <c r="E64" s="2796">
        <f ca="1">Cuadros!P36/$A$8</f>
        <v>0</v>
      </c>
      <c r="F64" s="2798">
        <f ca="1">Cuadros!Q36/$A$8</f>
        <v>0</v>
      </c>
      <c r="G64" s="2798">
        <f ca="1">Cuadros!R36/$A$8</f>
        <v>0</v>
      </c>
      <c r="H64" s="2798">
        <f ca="1">Cuadros!S36/$A$8</f>
        <v>0</v>
      </c>
      <c r="I64" s="2798">
        <f ca="1">Cuadros!T36/$A$8</f>
        <v>0</v>
      </c>
      <c r="J64" s="2798">
        <f ca="1">Cuadros!U36/$A$8</f>
        <v>0</v>
      </c>
      <c r="K64" s="2798">
        <f ca="1">Cuadros!V36/$A$8</f>
        <v>0</v>
      </c>
      <c r="L64" s="2798">
        <f ca="1">Cuadros!W36/$A$8</f>
        <v>0</v>
      </c>
      <c r="M64" s="2798">
        <f ca="1">Cuadros!X36/$A$8</f>
        <v>0</v>
      </c>
      <c r="N64" s="2798">
        <f ca="1">Cuadros!Y36/$A$8</f>
        <v>0</v>
      </c>
      <c r="O64" s="2798">
        <f ca="1">Cuadros!Z36/$A$8</f>
        <v>0</v>
      </c>
      <c r="P64" s="2798">
        <f ca="1">Cuadros!AA36/$A$8</f>
        <v>0</v>
      </c>
      <c r="Q64" s="2798">
        <f ca="1">Cuadros!AB36/$A$8</f>
        <v>0</v>
      </c>
      <c r="R64" s="2798">
        <f ca="1">Cuadros!AC36/$A$8</f>
        <v>0</v>
      </c>
      <c r="S64" s="2798">
        <f ca="1">Cuadros!AD36/$A$8</f>
        <v>0</v>
      </c>
      <c r="T64" s="2798">
        <f ca="1">Cuadros!AE36/$A$8</f>
        <v>0</v>
      </c>
      <c r="U64" s="2804">
        <v>0</v>
      </c>
      <c r="V64" s="2796">
        <f>Cuadros!AH36/$A$8</f>
        <v>0</v>
      </c>
    </row>
    <row r="65" spans="1:22" ht="9.75" thickBot="1" x14ac:dyDescent="0.2">
      <c r="A65" s="2795" t="s">
        <v>1176</v>
      </c>
      <c r="B65" s="2796">
        <f>Cuadros!M42/$A$8</f>
        <v>0</v>
      </c>
      <c r="C65" s="2796">
        <f>Cuadros!N42/$A$8</f>
        <v>0</v>
      </c>
      <c r="D65" s="2797">
        <f>Cuadros!O42/$A$8</f>
        <v>0</v>
      </c>
      <c r="E65" s="2796">
        <f ca="1">Cuadros!P42/$A$8</f>
        <v>0</v>
      </c>
      <c r="F65" s="2798">
        <f ca="1">Cuadros!Q42/$A$8</f>
        <v>0</v>
      </c>
      <c r="G65" s="2798">
        <f ca="1">Cuadros!R42/$A$8</f>
        <v>0</v>
      </c>
      <c r="H65" s="2798">
        <f ca="1">Cuadros!S42/$A$8</f>
        <v>0</v>
      </c>
      <c r="I65" s="2798">
        <f ca="1">Cuadros!T42/$A$8</f>
        <v>0</v>
      </c>
      <c r="J65" s="2798">
        <f ca="1">Cuadros!U42/$A$8</f>
        <v>0</v>
      </c>
      <c r="K65" s="2798">
        <f ca="1">Cuadros!V42/$A$8</f>
        <v>0</v>
      </c>
      <c r="L65" s="2798">
        <f ca="1">Cuadros!W42/$A$8</f>
        <v>0</v>
      </c>
      <c r="M65" s="2798">
        <f ca="1">Cuadros!X42/$A$8</f>
        <v>0</v>
      </c>
      <c r="N65" s="2798">
        <f ca="1">Cuadros!Y42/$A$8</f>
        <v>0</v>
      </c>
      <c r="O65" s="2798">
        <f ca="1">Cuadros!Z42/$A$8</f>
        <v>0</v>
      </c>
      <c r="P65" s="2798">
        <f ca="1">Cuadros!AA42/$A$8</f>
        <v>0</v>
      </c>
      <c r="Q65" s="2798">
        <f ca="1">Cuadros!AB42/$A$8</f>
        <v>0</v>
      </c>
      <c r="R65" s="2798">
        <f ca="1">Cuadros!AC42/$A$8</f>
        <v>0</v>
      </c>
      <c r="S65" s="2798">
        <f ca="1">Cuadros!AD42/$A$8</f>
        <v>0</v>
      </c>
      <c r="T65" s="2798">
        <f ca="1">Cuadros!AE42/$A$8</f>
        <v>0</v>
      </c>
      <c r="U65" s="2804">
        <v>0</v>
      </c>
      <c r="V65" s="2796">
        <f>Cuadros!AH42/$A$8</f>
        <v>0</v>
      </c>
    </row>
    <row r="66" spans="1:22" ht="9.75" thickBot="1" x14ac:dyDescent="0.2">
      <c r="A66" s="2807" t="s">
        <v>1177</v>
      </c>
      <c r="B66" s="2808">
        <f>(Cuadros!M38+Cuadros!M44+Cuadros!M45+Cuadros!M46)/$A$8</f>
        <v>0</v>
      </c>
      <c r="C66" s="2808">
        <f ca="1">(Cuadros!N38+Cuadros!N44+Cuadros!N45+Cuadros!N46)/$A$8</f>
        <v>0</v>
      </c>
      <c r="D66" s="2809">
        <f ca="1">(Cuadros!O38+Cuadros!O44+Cuadros!O45+Cuadros!O46)/$A$8</f>
        <v>0</v>
      </c>
      <c r="E66" s="2808">
        <f ca="1">(Cuadros!P38+Cuadros!P44+Cuadros!P45+Cuadros!P46)/$A$8</f>
        <v>0</v>
      </c>
      <c r="F66" s="2810">
        <f ca="1">(Cuadros!Q38+Cuadros!Q44+Cuadros!Q45+Cuadros!Q46)/$A$8</f>
        <v>0</v>
      </c>
      <c r="G66" s="2810">
        <f ca="1">(Cuadros!R38+Cuadros!R44+Cuadros!R45+Cuadros!R46)/$A$8</f>
        <v>0</v>
      </c>
      <c r="H66" s="2810">
        <f ca="1">(Cuadros!S38+Cuadros!S44+Cuadros!S45+Cuadros!S46)/$A$8</f>
        <v>0</v>
      </c>
      <c r="I66" s="2810">
        <f ca="1">(Cuadros!T38+Cuadros!T44+Cuadros!T45+Cuadros!T46)/$A$8</f>
        <v>0</v>
      </c>
      <c r="J66" s="2810">
        <f ca="1">(Cuadros!U38+Cuadros!U44+Cuadros!U45+Cuadros!U46)/$A$8</f>
        <v>0</v>
      </c>
      <c r="K66" s="2810">
        <f ca="1">(Cuadros!V38+Cuadros!V44+Cuadros!V45+Cuadros!V46)/$A$8</f>
        <v>0</v>
      </c>
      <c r="L66" s="2810">
        <f ca="1">(Cuadros!W38+Cuadros!W44+Cuadros!W45+Cuadros!W46)/$A$8</f>
        <v>0</v>
      </c>
      <c r="M66" s="2810">
        <f ca="1">(Cuadros!X38+Cuadros!X44+Cuadros!X45+Cuadros!X46)/$A$8</f>
        <v>0</v>
      </c>
      <c r="N66" s="2810">
        <f ca="1">(Cuadros!Y38+Cuadros!Y44+Cuadros!Y45+Cuadros!Y46)/$A$8</f>
        <v>0</v>
      </c>
      <c r="O66" s="2810">
        <f ca="1">(Cuadros!Z38+Cuadros!Z44+Cuadros!Z45+Cuadros!Z46)/$A$8</f>
        <v>0</v>
      </c>
      <c r="P66" s="2810">
        <f ca="1">(Cuadros!AA38+Cuadros!AA44+Cuadros!AA45+Cuadros!AA46)/$A$8</f>
        <v>0</v>
      </c>
      <c r="Q66" s="2810">
        <f ca="1">(Cuadros!AB38+Cuadros!AB44+Cuadros!AB45+Cuadros!AB46)/$A$8</f>
        <v>0</v>
      </c>
      <c r="R66" s="2810">
        <f ca="1">(Cuadros!AC38+Cuadros!AC44+Cuadros!AC45+Cuadros!AC46)/$A$8</f>
        <v>0</v>
      </c>
      <c r="S66" s="2810">
        <f ca="1">(Cuadros!AD38+Cuadros!AD44+Cuadros!AD45+Cuadros!AD46)/$A$8</f>
        <v>0</v>
      </c>
      <c r="T66" s="2810">
        <f ca="1">(Cuadros!AE38+Cuadros!AE44+Cuadros!AE45+Cuadros!AE46)/$A$8</f>
        <v>0</v>
      </c>
      <c r="U66" s="2804">
        <v>0</v>
      </c>
      <c r="V66" s="2808">
        <f ca="1">(Cuadros!AH38+Cuadros!AH44+Cuadros!AH45+Cuadros!AH46)/$A$8</f>
        <v>0</v>
      </c>
    </row>
    <row r="67" spans="1:22" ht="9.75" thickBot="1" x14ac:dyDescent="0.2">
      <c r="A67" s="2799" t="s">
        <v>1178</v>
      </c>
      <c r="B67" s="2835">
        <f t="shared" ref="B67" si="23">SUM(B61:B66)</f>
        <v>0</v>
      </c>
      <c r="C67" s="2835">
        <f t="shared" ref="C67:T67" ca="1" si="24">SUM(C61:C66)</f>
        <v>0</v>
      </c>
      <c r="D67" s="2836">
        <f t="shared" ca="1" si="24"/>
        <v>0</v>
      </c>
      <c r="E67" s="2835">
        <f t="shared" ca="1" si="24"/>
        <v>0</v>
      </c>
      <c r="F67" s="2837">
        <f t="shared" ca="1" si="24"/>
        <v>0</v>
      </c>
      <c r="G67" s="2837">
        <f t="shared" ca="1" si="24"/>
        <v>0</v>
      </c>
      <c r="H67" s="2837">
        <f t="shared" ca="1" si="24"/>
        <v>0</v>
      </c>
      <c r="I67" s="2837">
        <f t="shared" ca="1" si="24"/>
        <v>0</v>
      </c>
      <c r="J67" s="2837">
        <f t="shared" ca="1" si="24"/>
        <v>0</v>
      </c>
      <c r="K67" s="2837">
        <f t="shared" ca="1" si="24"/>
        <v>0</v>
      </c>
      <c r="L67" s="2837">
        <f t="shared" ca="1" si="24"/>
        <v>0</v>
      </c>
      <c r="M67" s="2837">
        <f t="shared" ca="1" si="24"/>
        <v>0</v>
      </c>
      <c r="N67" s="2837">
        <f t="shared" ca="1" si="24"/>
        <v>0</v>
      </c>
      <c r="O67" s="2837">
        <f t="shared" ca="1" si="24"/>
        <v>0</v>
      </c>
      <c r="P67" s="2837">
        <f t="shared" ca="1" si="24"/>
        <v>0</v>
      </c>
      <c r="Q67" s="2837">
        <f t="shared" ca="1" si="24"/>
        <v>0</v>
      </c>
      <c r="R67" s="2837">
        <f t="shared" ca="1" si="24"/>
        <v>0</v>
      </c>
      <c r="S67" s="2837">
        <f t="shared" ca="1" si="24"/>
        <v>0</v>
      </c>
      <c r="T67" s="2837">
        <f t="shared" ca="1" si="24"/>
        <v>0</v>
      </c>
      <c r="U67" s="2804">
        <f>Cuadros!AG48/$A$8</f>
        <v>0</v>
      </c>
      <c r="V67" s="2835">
        <f ca="1">SUM(V61:V66)</f>
        <v>0</v>
      </c>
    </row>
    <row r="68" spans="1:22" ht="9.75" thickBot="1" x14ac:dyDescent="0.2">
      <c r="A68" s="2799" t="s">
        <v>1179</v>
      </c>
      <c r="B68" s="2835">
        <f t="shared" ref="B68:T68" si="25">B60+B67</f>
        <v>0</v>
      </c>
      <c r="C68" s="2835">
        <f t="shared" ca="1" si="25"/>
        <v>0</v>
      </c>
      <c r="D68" s="2836">
        <f t="shared" ca="1" si="25"/>
        <v>0</v>
      </c>
      <c r="E68" s="2835">
        <f t="shared" ca="1" si="25"/>
        <v>0</v>
      </c>
      <c r="F68" s="2838">
        <f t="shared" ca="1" si="25"/>
        <v>0</v>
      </c>
      <c r="G68" s="2838">
        <f t="shared" ca="1" si="25"/>
        <v>0</v>
      </c>
      <c r="H68" s="2838">
        <f t="shared" ca="1" si="25"/>
        <v>0</v>
      </c>
      <c r="I68" s="2838">
        <f t="shared" ca="1" si="25"/>
        <v>0</v>
      </c>
      <c r="J68" s="2838">
        <f t="shared" ca="1" si="25"/>
        <v>0</v>
      </c>
      <c r="K68" s="2838">
        <f t="shared" ca="1" si="25"/>
        <v>0</v>
      </c>
      <c r="L68" s="2838">
        <f t="shared" ca="1" si="25"/>
        <v>0</v>
      </c>
      <c r="M68" s="2838">
        <f t="shared" ca="1" si="25"/>
        <v>0</v>
      </c>
      <c r="N68" s="2838">
        <f t="shared" ca="1" si="25"/>
        <v>0</v>
      </c>
      <c r="O68" s="2838">
        <f t="shared" ca="1" si="25"/>
        <v>0</v>
      </c>
      <c r="P68" s="2838">
        <f t="shared" ca="1" si="25"/>
        <v>0</v>
      </c>
      <c r="Q68" s="2838">
        <f t="shared" ca="1" si="25"/>
        <v>0</v>
      </c>
      <c r="R68" s="2838">
        <f t="shared" ca="1" si="25"/>
        <v>0</v>
      </c>
      <c r="S68" s="2838">
        <f t="shared" ca="1" si="25"/>
        <v>0</v>
      </c>
      <c r="T68" s="2838">
        <f t="shared" ca="1" si="25"/>
        <v>0</v>
      </c>
      <c r="U68" s="2804">
        <f>Cuadros!AG49/$A$8</f>
        <v>0</v>
      </c>
      <c r="V68" s="2835">
        <f ca="1">V60+V67</f>
        <v>0</v>
      </c>
    </row>
    <row r="69" spans="1:22" ht="9.75" thickBot="1" x14ac:dyDescent="0.2">
      <c r="A69" s="2807" t="s">
        <v>1180</v>
      </c>
      <c r="B69" s="2844">
        <f>Cuadros!M51/$A$8</f>
        <v>0</v>
      </c>
      <c r="C69" s="2844">
        <f>Cuadros!N51/$A$8</f>
        <v>0</v>
      </c>
      <c r="D69" s="2845">
        <f>Cuadros!O51/$A$8</f>
        <v>0</v>
      </c>
      <c r="E69" s="2844">
        <f>Cuadros!P51/$A$8</f>
        <v>0</v>
      </c>
      <c r="F69" s="2846">
        <f>Cuadros!Q51/$A$8</f>
        <v>0</v>
      </c>
      <c r="G69" s="2846">
        <f>Cuadros!R51/$A$8</f>
        <v>0</v>
      </c>
      <c r="H69" s="2846">
        <f>Cuadros!S51/$A$8</f>
        <v>0</v>
      </c>
      <c r="I69" s="2846">
        <f>Cuadros!T51/$A$8</f>
        <v>0</v>
      </c>
      <c r="J69" s="2846">
        <f>Cuadros!U51/$A$8</f>
        <v>0</v>
      </c>
      <c r="K69" s="2846">
        <f>Cuadros!V51/$A$8</f>
        <v>0</v>
      </c>
      <c r="L69" s="2846">
        <f>Cuadros!W51/$A$8</f>
        <v>0</v>
      </c>
      <c r="M69" s="2846">
        <f>Cuadros!X51/$A$8</f>
        <v>0</v>
      </c>
      <c r="N69" s="2846">
        <f>Cuadros!Y51/$A$8</f>
        <v>0</v>
      </c>
      <c r="O69" s="2846">
        <f>Cuadros!Z51/$A$8</f>
        <v>0</v>
      </c>
      <c r="P69" s="2846">
        <f>Cuadros!AA51/$A$8</f>
        <v>0</v>
      </c>
      <c r="Q69" s="2846">
        <f>Cuadros!AB51/$A$8</f>
        <v>0</v>
      </c>
      <c r="R69" s="2846">
        <f>Cuadros!AC51/$A$8</f>
        <v>0</v>
      </c>
      <c r="S69" s="2846">
        <f>Cuadros!AD51/$A$8</f>
        <v>0</v>
      </c>
      <c r="T69" s="2846">
        <f>Cuadros!AE51/$A$8</f>
        <v>0</v>
      </c>
      <c r="U69" s="2804">
        <f>Cuadros!AG50/$A$8</f>
        <v>0</v>
      </c>
      <c r="V69" s="2844">
        <f>Cuadros!AH51/$A$8</f>
        <v>0</v>
      </c>
    </row>
    <row r="70" spans="1:22" ht="9.75" thickBot="1" x14ac:dyDescent="0.2">
      <c r="A70" s="2799" t="s">
        <v>1181</v>
      </c>
      <c r="B70" s="2835">
        <f t="shared" ref="B70:T70" si="26">B68+B69</f>
        <v>0</v>
      </c>
      <c r="C70" s="2835">
        <f t="shared" ca="1" si="26"/>
        <v>0</v>
      </c>
      <c r="D70" s="2836">
        <f t="shared" ca="1" si="26"/>
        <v>0</v>
      </c>
      <c r="E70" s="2835">
        <f t="shared" ca="1" si="26"/>
        <v>0</v>
      </c>
      <c r="F70" s="2837">
        <f t="shared" ca="1" si="26"/>
        <v>0</v>
      </c>
      <c r="G70" s="2837">
        <f t="shared" ca="1" si="26"/>
        <v>0</v>
      </c>
      <c r="H70" s="2837">
        <f t="shared" ca="1" si="26"/>
        <v>0</v>
      </c>
      <c r="I70" s="2837">
        <f t="shared" ca="1" si="26"/>
        <v>0</v>
      </c>
      <c r="J70" s="2837">
        <f t="shared" ca="1" si="26"/>
        <v>0</v>
      </c>
      <c r="K70" s="2837">
        <f t="shared" ca="1" si="26"/>
        <v>0</v>
      </c>
      <c r="L70" s="2837">
        <f t="shared" ca="1" si="26"/>
        <v>0</v>
      </c>
      <c r="M70" s="2837">
        <f t="shared" ca="1" si="26"/>
        <v>0</v>
      </c>
      <c r="N70" s="2837">
        <f t="shared" ca="1" si="26"/>
        <v>0</v>
      </c>
      <c r="O70" s="2837">
        <f t="shared" ca="1" si="26"/>
        <v>0</v>
      </c>
      <c r="P70" s="2837">
        <f t="shared" ca="1" si="26"/>
        <v>0</v>
      </c>
      <c r="Q70" s="2837">
        <f t="shared" ca="1" si="26"/>
        <v>0</v>
      </c>
      <c r="R70" s="2837">
        <f t="shared" ca="1" si="26"/>
        <v>0</v>
      </c>
      <c r="S70" s="2837">
        <f t="shared" ca="1" si="26"/>
        <v>0</v>
      </c>
      <c r="T70" s="2837">
        <f t="shared" ca="1" si="26"/>
        <v>0</v>
      </c>
      <c r="U70" s="2804">
        <f>Cuadros!AG51/$A$8</f>
        <v>0</v>
      </c>
      <c r="V70" s="2835">
        <f ca="1">V68+V69</f>
        <v>0</v>
      </c>
    </row>
    <row r="71" spans="1:22" ht="9.75" thickBot="1" x14ac:dyDescent="0.2">
      <c r="A71" s="2795" t="s">
        <v>1182</v>
      </c>
      <c r="B71" s="2827">
        <f>Cuadros!M53/$A$8</f>
        <v>0</v>
      </c>
      <c r="C71" s="2827">
        <f>Cuadros!N53/$A$8</f>
        <v>0</v>
      </c>
      <c r="D71" s="2847">
        <f>Cuadros!O53/$A$8</f>
        <v>0</v>
      </c>
      <c r="E71" s="2827">
        <f>Cuadros!P53/$A$8</f>
        <v>0</v>
      </c>
      <c r="F71" s="2848">
        <f ca="1">Cuadros!Q53/$A$8</f>
        <v>0</v>
      </c>
      <c r="G71" s="2848">
        <f ca="1">Cuadros!R53/$A$8</f>
        <v>0</v>
      </c>
      <c r="H71" s="2848">
        <f ca="1">Cuadros!S53/$A$8</f>
        <v>0</v>
      </c>
      <c r="I71" s="2848">
        <f ca="1">Cuadros!T53/$A$8</f>
        <v>0</v>
      </c>
      <c r="J71" s="2848">
        <f ca="1">Cuadros!U53/$A$8</f>
        <v>0</v>
      </c>
      <c r="K71" s="2848">
        <f ca="1">Cuadros!V53/$A$8</f>
        <v>0</v>
      </c>
      <c r="L71" s="2848">
        <f ca="1">Cuadros!W53/$A$8</f>
        <v>0</v>
      </c>
      <c r="M71" s="2848">
        <f ca="1">Cuadros!X53/$A$8</f>
        <v>0</v>
      </c>
      <c r="N71" s="2848">
        <f ca="1">Cuadros!Y53/$A$8</f>
        <v>0</v>
      </c>
      <c r="O71" s="2848">
        <f ca="1">Cuadros!Z53/$A$8</f>
        <v>0</v>
      </c>
      <c r="P71" s="2848">
        <f ca="1">Cuadros!AA53/$A$8</f>
        <v>0</v>
      </c>
      <c r="Q71" s="2848">
        <f ca="1">Cuadros!AB53/$A$8</f>
        <v>0</v>
      </c>
      <c r="R71" s="2848">
        <f ca="1">Cuadros!AC53/$A$8</f>
        <v>0</v>
      </c>
      <c r="S71" s="2848">
        <f ca="1">Cuadros!AD53/$A$8</f>
        <v>0</v>
      </c>
      <c r="T71" s="2848">
        <f ca="1">Cuadros!AE53/$A$8</f>
        <v>0</v>
      </c>
      <c r="U71" s="2804">
        <f>Cuadros!AG52/$A$8</f>
        <v>0</v>
      </c>
      <c r="V71" s="2827">
        <f>Cuadros!AH53/$A$8</f>
        <v>0</v>
      </c>
    </row>
    <row r="72" spans="1:22" ht="9.75" thickBot="1" x14ac:dyDescent="0.2">
      <c r="A72" s="2795" t="s">
        <v>1183</v>
      </c>
      <c r="B72" s="2796">
        <f t="shared" ref="B72:T72" si="27">B70+B71</f>
        <v>0</v>
      </c>
      <c r="C72" s="2796">
        <f t="shared" ca="1" si="27"/>
        <v>0</v>
      </c>
      <c r="D72" s="2797">
        <f t="shared" ca="1" si="27"/>
        <v>0</v>
      </c>
      <c r="E72" s="2796">
        <f t="shared" ca="1" si="27"/>
        <v>0</v>
      </c>
      <c r="F72" s="2798">
        <f t="shared" ca="1" si="27"/>
        <v>0</v>
      </c>
      <c r="G72" s="2798">
        <f t="shared" ca="1" si="27"/>
        <v>0</v>
      </c>
      <c r="H72" s="2798">
        <f t="shared" ca="1" si="27"/>
        <v>0</v>
      </c>
      <c r="I72" s="2798">
        <f t="shared" ca="1" si="27"/>
        <v>0</v>
      </c>
      <c r="J72" s="2798">
        <f t="shared" ca="1" si="27"/>
        <v>0</v>
      </c>
      <c r="K72" s="2798">
        <f t="shared" ca="1" si="27"/>
        <v>0</v>
      </c>
      <c r="L72" s="2798">
        <f t="shared" ca="1" si="27"/>
        <v>0</v>
      </c>
      <c r="M72" s="2798">
        <f t="shared" ca="1" si="27"/>
        <v>0</v>
      </c>
      <c r="N72" s="2798">
        <f t="shared" ca="1" si="27"/>
        <v>0</v>
      </c>
      <c r="O72" s="2798">
        <f t="shared" ca="1" si="27"/>
        <v>0</v>
      </c>
      <c r="P72" s="2798">
        <f t="shared" ca="1" si="27"/>
        <v>0</v>
      </c>
      <c r="Q72" s="2798">
        <f t="shared" ca="1" si="27"/>
        <v>0</v>
      </c>
      <c r="R72" s="2798">
        <f t="shared" ca="1" si="27"/>
        <v>0</v>
      </c>
      <c r="S72" s="2798">
        <f t="shared" ca="1" si="27"/>
        <v>0</v>
      </c>
      <c r="T72" s="2798">
        <f t="shared" ca="1" si="27"/>
        <v>0</v>
      </c>
      <c r="U72" s="2804">
        <f>Cuadros!AG53/$A$8</f>
        <v>0</v>
      </c>
      <c r="V72" s="2796">
        <f ca="1">V70+V71</f>
        <v>0</v>
      </c>
    </row>
    <row r="73" spans="1:22" x14ac:dyDescent="0.15">
      <c r="A73" s="2795" t="s">
        <v>1184</v>
      </c>
      <c r="B73" s="2796">
        <f t="shared" ref="B73:T73" si="28">B48</f>
        <v>0</v>
      </c>
      <c r="C73" s="2796">
        <f t="shared" ca="1" si="28"/>
        <v>0</v>
      </c>
      <c r="D73" s="2797">
        <f t="shared" ca="1" si="28"/>
        <v>0</v>
      </c>
      <c r="E73" s="2796">
        <f t="shared" si="28"/>
        <v>0</v>
      </c>
      <c r="F73" s="2798">
        <f t="shared" si="28"/>
        <v>0</v>
      </c>
      <c r="G73" s="2798">
        <f t="shared" si="28"/>
        <v>0</v>
      </c>
      <c r="H73" s="2798">
        <f t="shared" si="28"/>
        <v>0</v>
      </c>
      <c r="I73" s="2798">
        <f t="shared" si="28"/>
        <v>0</v>
      </c>
      <c r="J73" s="2798">
        <f t="shared" si="28"/>
        <v>0</v>
      </c>
      <c r="K73" s="2798">
        <f t="shared" si="28"/>
        <v>0</v>
      </c>
      <c r="L73" s="2798">
        <f t="shared" si="28"/>
        <v>0</v>
      </c>
      <c r="M73" s="2798">
        <f t="shared" si="28"/>
        <v>0</v>
      </c>
      <c r="N73" s="2798">
        <f t="shared" si="28"/>
        <v>0</v>
      </c>
      <c r="O73" s="2798">
        <f t="shared" si="28"/>
        <v>0</v>
      </c>
      <c r="P73" s="2798">
        <f t="shared" si="28"/>
        <v>0</v>
      </c>
      <c r="Q73" s="2798">
        <f t="shared" si="28"/>
        <v>0</v>
      </c>
      <c r="R73" s="2798">
        <f t="shared" si="28"/>
        <v>0</v>
      </c>
      <c r="S73" s="2798">
        <f t="shared" si="28"/>
        <v>0</v>
      </c>
      <c r="T73" s="2798">
        <f t="shared" si="28"/>
        <v>0</v>
      </c>
      <c r="U73" s="2804">
        <f>Cuadros!AG54/$A$8</f>
        <v>0</v>
      </c>
      <c r="V73" s="2796">
        <f ca="1">V48</f>
        <v>0</v>
      </c>
    </row>
    <row r="74" spans="1:22" ht="9.75" thickBot="1" x14ac:dyDescent="0.2">
      <c r="A74" s="2831"/>
      <c r="B74" s="2787">
        <f>B12</f>
        <v>42735</v>
      </c>
      <c r="C74" s="2787">
        <f>C12</f>
        <v>43100</v>
      </c>
      <c r="D74" s="2788">
        <f>D12</f>
        <v>43465</v>
      </c>
      <c r="E74" s="2789">
        <f t="shared" ref="E74:T74" si="29">E45</f>
        <v>43830</v>
      </c>
      <c r="F74" s="2789">
        <f t="shared" si="29"/>
        <v>44196</v>
      </c>
      <c r="G74" s="2789">
        <f t="shared" si="29"/>
        <v>44561</v>
      </c>
      <c r="H74" s="2789">
        <f t="shared" si="29"/>
        <v>44926</v>
      </c>
      <c r="I74" s="2789">
        <f t="shared" si="29"/>
        <v>45291</v>
      </c>
      <c r="J74" s="2789">
        <f t="shared" si="29"/>
        <v>45657</v>
      </c>
      <c r="K74" s="2789">
        <f t="shared" si="29"/>
        <v>46022</v>
      </c>
      <c r="L74" s="2789">
        <f t="shared" si="29"/>
        <v>46387</v>
      </c>
      <c r="M74" s="2789">
        <f t="shared" si="29"/>
        <v>46752</v>
      </c>
      <c r="N74" s="2789">
        <f t="shared" si="29"/>
        <v>47118</v>
      </c>
      <c r="O74" s="2789">
        <f t="shared" si="29"/>
        <v>47483</v>
      </c>
      <c r="P74" s="2789">
        <f t="shared" si="29"/>
        <v>47848</v>
      </c>
      <c r="Q74" s="2789">
        <f t="shared" si="29"/>
        <v>48213</v>
      </c>
      <c r="R74" s="2789">
        <f t="shared" si="29"/>
        <v>48579</v>
      </c>
      <c r="S74" s="2789">
        <f t="shared" si="29"/>
        <v>48944</v>
      </c>
      <c r="T74" s="2789">
        <f t="shared" si="29"/>
        <v>49309</v>
      </c>
      <c r="U74" s="2788">
        <f>U12</f>
        <v>43281</v>
      </c>
      <c r="V74" s="2790">
        <f>V12</f>
        <v>43646</v>
      </c>
    </row>
    <row r="75" spans="1:22" x14ac:dyDescent="0.15">
      <c r="A75" s="2803" t="s">
        <v>1099</v>
      </c>
      <c r="B75" s="2804">
        <f>('Info Entrada'!C174+'Info Entrada'!C175)/$A$8</f>
        <v>0</v>
      </c>
      <c r="C75" s="2804">
        <f>('Info Entrada'!D174+'Info Entrada'!D175)/$A$8</f>
        <v>0</v>
      </c>
      <c r="D75" s="2805">
        <f>('Info Entrada'!E174+'Info Entrada'!E175)/$A$8</f>
        <v>0</v>
      </c>
      <c r="E75" s="2804">
        <f ca="1">('Info Entrada'!H174+'Info Entrada'!H175)/$A$8</f>
        <v>0</v>
      </c>
      <c r="F75" s="2806">
        <f ca="1">('Info Entrada'!I174+'Info Entrada'!I175)/$A$8</f>
        <v>0</v>
      </c>
      <c r="G75" s="2806">
        <f ca="1">('Info Entrada'!J174+'Info Entrada'!J175)/$A$8</f>
        <v>0</v>
      </c>
      <c r="H75" s="2806">
        <f ca="1">('Info Entrada'!K174+'Info Entrada'!K175)/$A$8</f>
        <v>0</v>
      </c>
      <c r="I75" s="2806">
        <f ca="1">('Info Entrada'!L174+'Info Entrada'!L175)/$A$8</f>
        <v>0</v>
      </c>
      <c r="J75" s="2806">
        <f ca="1">('Info Entrada'!M174+'Info Entrada'!M175)/$A$8</f>
        <v>0</v>
      </c>
      <c r="K75" s="2806">
        <f ca="1">('Info Entrada'!N174+'Info Entrada'!N175)/$A$8</f>
        <v>0</v>
      </c>
      <c r="L75" s="2806">
        <f ca="1">('Info Entrada'!O174+'Info Entrada'!O175)/$A$8</f>
        <v>0</v>
      </c>
      <c r="M75" s="2806">
        <f ca="1">('Info Entrada'!P174+'Info Entrada'!P175)/$A$8</f>
        <v>0</v>
      </c>
      <c r="N75" s="2806">
        <f ca="1">('Info Entrada'!Q174+'Info Entrada'!Q175)/$A$8</f>
        <v>0</v>
      </c>
      <c r="O75" s="2806">
        <f ca="1">('Info Entrada'!R174+'Info Entrada'!R175)/$A$8</f>
        <v>0</v>
      </c>
      <c r="P75" s="2806">
        <f ca="1">('Info Entrada'!S174+'Info Entrada'!S175)/$A$8</f>
        <v>0</v>
      </c>
      <c r="Q75" s="2806">
        <f ca="1">('Info Entrada'!T174+'Info Entrada'!T175)/$A$8</f>
        <v>0</v>
      </c>
      <c r="R75" s="2806">
        <f ca="1">('Info Entrada'!U174+'Info Entrada'!U175)/$A$8</f>
        <v>0</v>
      </c>
      <c r="S75" s="2806">
        <f ca="1">('Info Entrada'!V174+'Info Entrada'!V175)/$A$8</f>
        <v>0</v>
      </c>
      <c r="T75" s="2806">
        <f ca="1">('Info Entrada'!W174+'Info Entrada'!W175)/$A$8</f>
        <v>0</v>
      </c>
      <c r="U75" s="2804">
        <f>('Info Entrada'!F174+'Info Entrada'!F175)/$A$8</f>
        <v>0</v>
      </c>
      <c r="V75" s="2804">
        <f>('Info Entrada'!G174+'Info Entrada'!G175)/$A$8</f>
        <v>0</v>
      </c>
    </row>
    <row r="76" spans="1:22" x14ac:dyDescent="0.15">
      <c r="A76" s="2795" t="s">
        <v>1100</v>
      </c>
      <c r="B76" s="2796">
        <f>'Info Entrada'!C180/$A$8</f>
        <v>0</v>
      </c>
      <c r="C76" s="2796">
        <f>'Info Entrada'!D180/$A$8</f>
        <v>0</v>
      </c>
      <c r="D76" s="2797">
        <f>'Info Entrada'!E180/$A$8</f>
        <v>0</v>
      </c>
      <c r="E76" s="2796">
        <f>'Info Entrada'!H180/$A$8</f>
        <v>0</v>
      </c>
      <c r="F76" s="2798">
        <f>'Info Entrada'!I180/$A$8</f>
        <v>0</v>
      </c>
      <c r="G76" s="2798">
        <f>'Info Entrada'!J180/$A$8</f>
        <v>0</v>
      </c>
      <c r="H76" s="2798">
        <f>'Info Entrada'!K180/$A$8</f>
        <v>0</v>
      </c>
      <c r="I76" s="2798">
        <f>'Info Entrada'!L180/$A$8</f>
        <v>0</v>
      </c>
      <c r="J76" s="2798">
        <f>'Info Entrada'!M180/$A$8</f>
        <v>0</v>
      </c>
      <c r="K76" s="2798">
        <f>'Info Entrada'!N180/$A$8</f>
        <v>0</v>
      </c>
      <c r="L76" s="2798">
        <f>'Info Entrada'!O180/$A$8</f>
        <v>0</v>
      </c>
      <c r="M76" s="2798">
        <f>'Info Entrada'!P180/$A$8</f>
        <v>0</v>
      </c>
      <c r="N76" s="2798">
        <f>'Info Entrada'!Q180/$A$8</f>
        <v>0</v>
      </c>
      <c r="O76" s="2798">
        <f>'Info Entrada'!R180/$A$8</f>
        <v>0</v>
      </c>
      <c r="P76" s="2798">
        <f>'Info Entrada'!S180/$A$8</f>
        <v>0</v>
      </c>
      <c r="Q76" s="2798">
        <f>'Info Entrada'!T180/$A$8</f>
        <v>0</v>
      </c>
      <c r="R76" s="2798">
        <f>'Info Entrada'!U180/$A$8</f>
        <v>0</v>
      </c>
      <c r="S76" s="2798">
        <f>'Info Entrada'!V180/$A$8</f>
        <v>0</v>
      </c>
      <c r="T76" s="2798">
        <f>'Info Entrada'!W180/$A$8</f>
        <v>0</v>
      </c>
      <c r="U76" s="2796">
        <f>'Info Entrada'!F180/$A$8</f>
        <v>0</v>
      </c>
      <c r="V76" s="2796">
        <f>'Info Entrada'!G180/$A$8</f>
        <v>0</v>
      </c>
    </row>
    <row r="77" spans="1:22" x14ac:dyDescent="0.15">
      <c r="A77" s="2795" t="s">
        <v>1101</v>
      </c>
      <c r="B77" s="2796">
        <f>'Info Entrada'!C185/$A$8</f>
        <v>0</v>
      </c>
      <c r="C77" s="2796">
        <f>'Info Entrada'!D185/$A$8</f>
        <v>0</v>
      </c>
      <c r="D77" s="2797">
        <f>'Info Entrada'!E185/$A$8</f>
        <v>0</v>
      </c>
      <c r="E77" s="2796">
        <f>'Info Entrada'!H185/$A$8</f>
        <v>0</v>
      </c>
      <c r="F77" s="2798">
        <f>'Info Entrada'!I185/$A$8</f>
        <v>0</v>
      </c>
      <c r="G77" s="2798">
        <f>'Info Entrada'!J185/$A$8</f>
        <v>0</v>
      </c>
      <c r="H77" s="2798">
        <f>'Info Entrada'!K185/$A$8</f>
        <v>0</v>
      </c>
      <c r="I77" s="2798">
        <f>'Info Entrada'!L185/$A$8</f>
        <v>0</v>
      </c>
      <c r="J77" s="2798">
        <f>'Info Entrada'!M185/$A$8</f>
        <v>0</v>
      </c>
      <c r="K77" s="2798">
        <f>'Info Entrada'!N185/$A$8</f>
        <v>0</v>
      </c>
      <c r="L77" s="2798">
        <f>'Info Entrada'!O185/$A$8</f>
        <v>0</v>
      </c>
      <c r="M77" s="2798">
        <f>'Info Entrada'!P185/$A$8</f>
        <v>0</v>
      </c>
      <c r="N77" s="2798">
        <f>'Info Entrada'!Q185/$A$8</f>
        <v>0</v>
      </c>
      <c r="O77" s="2798">
        <f>'Info Entrada'!R185/$A$8</f>
        <v>0</v>
      </c>
      <c r="P77" s="2798">
        <f>'Info Entrada'!S185/$A$8</f>
        <v>0</v>
      </c>
      <c r="Q77" s="2798">
        <f>'Info Entrada'!T185/$A$8</f>
        <v>0</v>
      </c>
      <c r="R77" s="2798">
        <f>'Info Entrada'!U185/$A$8</f>
        <v>0</v>
      </c>
      <c r="S77" s="2798">
        <f>'Info Entrada'!V185/$A$8</f>
        <v>0</v>
      </c>
      <c r="T77" s="2798">
        <f>'Info Entrada'!W185/$A$8</f>
        <v>0</v>
      </c>
      <c r="U77" s="2796">
        <f>'Info Entrada'!F185/$A$8</f>
        <v>0</v>
      </c>
      <c r="V77" s="2796">
        <f>'Info Entrada'!G185/$A$8</f>
        <v>0</v>
      </c>
    </row>
    <row r="78" spans="1:22" x14ac:dyDescent="0.15">
      <c r="A78" s="2795" t="s">
        <v>1102</v>
      </c>
      <c r="B78" s="2796">
        <f>'Info Entrada'!C189/$A$8</f>
        <v>0</v>
      </c>
      <c r="C78" s="2796">
        <f>'Info Entrada'!D189/$A$8</f>
        <v>0</v>
      </c>
      <c r="D78" s="2797">
        <f>'Info Entrada'!E189/$A$8</f>
        <v>0</v>
      </c>
      <c r="E78" s="2796">
        <f>'Info Entrada'!H189/$A$8</f>
        <v>0</v>
      </c>
      <c r="F78" s="2798">
        <f>'Info Entrada'!I189/$A$8</f>
        <v>0</v>
      </c>
      <c r="G78" s="2798">
        <f>'Info Entrada'!J189/$A$8</f>
        <v>0</v>
      </c>
      <c r="H78" s="2798">
        <f>'Info Entrada'!K189/$A$8</f>
        <v>0</v>
      </c>
      <c r="I78" s="2798">
        <f>'Info Entrada'!L189/$A$8</f>
        <v>0</v>
      </c>
      <c r="J78" s="2798">
        <f>'Info Entrada'!M189/$A$8</f>
        <v>0</v>
      </c>
      <c r="K78" s="2798">
        <f>'Info Entrada'!N189/$A$8</f>
        <v>0</v>
      </c>
      <c r="L78" s="2798">
        <f>'Info Entrada'!O189/$A$8</f>
        <v>0</v>
      </c>
      <c r="M78" s="2798">
        <f>'Info Entrada'!P189/$A$8</f>
        <v>0</v>
      </c>
      <c r="N78" s="2798">
        <f>'Info Entrada'!Q189/$A$8</f>
        <v>0</v>
      </c>
      <c r="O78" s="2798">
        <f>'Info Entrada'!R189/$A$8</f>
        <v>0</v>
      </c>
      <c r="P78" s="2798">
        <f>'Info Entrada'!S189/$A$8</f>
        <v>0</v>
      </c>
      <c r="Q78" s="2798">
        <f>'Info Entrada'!T189/$A$8</f>
        <v>0</v>
      </c>
      <c r="R78" s="2798">
        <f>'Info Entrada'!U189/$A$8</f>
        <v>0</v>
      </c>
      <c r="S78" s="2798">
        <f>'Info Entrada'!V189/$A$8</f>
        <v>0</v>
      </c>
      <c r="T78" s="2798">
        <f>'Info Entrada'!W189/$A$8</f>
        <v>0</v>
      </c>
      <c r="U78" s="2796">
        <f>'Info Entrada'!F189/$A$8</f>
        <v>0</v>
      </c>
      <c r="V78" s="2796">
        <f>'Info Entrada'!G189/$A$8</f>
        <v>0</v>
      </c>
    </row>
    <row r="79" spans="1:22" ht="9.75" thickBot="1" x14ac:dyDescent="0.2">
      <c r="A79" s="2807" t="s">
        <v>288</v>
      </c>
      <c r="B79" s="2808">
        <f>('Info Entrada'!C187+'Info Entrada'!C188+'Info Entrada'!C190+'Info Entrada'!C191+'Info Entrada'!C192)/$A$8</f>
        <v>0</v>
      </c>
      <c r="C79" s="2808">
        <f>('Info Entrada'!D187+'Info Entrada'!D188+'Info Entrada'!D190+'Info Entrada'!D191+'Info Entrada'!D192)/$A$8</f>
        <v>0</v>
      </c>
      <c r="D79" s="2809">
        <f>('Info Entrada'!E187+'Info Entrada'!E188+'Info Entrada'!E190+'Info Entrada'!E191+'Info Entrada'!E192)/$A$8</f>
        <v>0</v>
      </c>
      <c r="E79" s="2808">
        <f>('Info Entrada'!H187+'Info Entrada'!H188+'Info Entrada'!H190+'Info Entrada'!H191+'Info Entrada'!H192)/$A$8</f>
        <v>0</v>
      </c>
      <c r="F79" s="2810">
        <f>('Info Entrada'!I187+'Info Entrada'!I188+'Info Entrada'!I190+'Info Entrada'!I191+'Info Entrada'!I192)/$A$8</f>
        <v>0</v>
      </c>
      <c r="G79" s="2810">
        <f>('Info Entrada'!J187+'Info Entrada'!J188+'Info Entrada'!J190+'Info Entrada'!J191+'Info Entrada'!J192)/$A$8</f>
        <v>0</v>
      </c>
      <c r="H79" s="2810">
        <f>('Info Entrada'!K187+'Info Entrada'!K188+'Info Entrada'!K190+'Info Entrada'!K191+'Info Entrada'!K192)/$A$8</f>
        <v>0</v>
      </c>
      <c r="I79" s="2810">
        <f>('Info Entrada'!L187+'Info Entrada'!L188+'Info Entrada'!L190+'Info Entrada'!L191+'Info Entrada'!L192)/$A$8</f>
        <v>0</v>
      </c>
      <c r="J79" s="2810">
        <f>('Info Entrada'!M187+'Info Entrada'!M188+'Info Entrada'!M190+'Info Entrada'!M191+'Info Entrada'!M192)/$A$8</f>
        <v>0</v>
      </c>
      <c r="K79" s="2810">
        <f>('Info Entrada'!N187+'Info Entrada'!N188+'Info Entrada'!N190+'Info Entrada'!N191+'Info Entrada'!N192)/$A$8</f>
        <v>0</v>
      </c>
      <c r="L79" s="2810">
        <f>('Info Entrada'!O187+'Info Entrada'!O188+'Info Entrada'!O190+'Info Entrada'!O191+'Info Entrada'!O192)/$A$8</f>
        <v>0</v>
      </c>
      <c r="M79" s="2810">
        <f>('Info Entrada'!P187+'Info Entrada'!P188+'Info Entrada'!P190+'Info Entrada'!P191+'Info Entrada'!P192)/$A$8</f>
        <v>0</v>
      </c>
      <c r="N79" s="2810">
        <f>('Info Entrada'!Q187+'Info Entrada'!Q188+'Info Entrada'!Q190+'Info Entrada'!Q191+'Info Entrada'!Q192)/$A$8</f>
        <v>0</v>
      </c>
      <c r="O79" s="2810">
        <f>('Info Entrada'!R187+'Info Entrada'!R188+'Info Entrada'!R190+'Info Entrada'!R191+'Info Entrada'!R192)/$A$8</f>
        <v>0</v>
      </c>
      <c r="P79" s="2810">
        <f>('Info Entrada'!S187+'Info Entrada'!S188+'Info Entrada'!S190+'Info Entrada'!S191+'Info Entrada'!S192)/$A$8</f>
        <v>0</v>
      </c>
      <c r="Q79" s="2810">
        <f>('Info Entrada'!T187+'Info Entrada'!T188+'Info Entrada'!T190+'Info Entrada'!T191+'Info Entrada'!T192)/$A$8</f>
        <v>0</v>
      </c>
      <c r="R79" s="2810">
        <f>('Info Entrada'!U187+'Info Entrada'!U188+'Info Entrada'!U190+'Info Entrada'!U191+'Info Entrada'!U192)/$A$8</f>
        <v>0</v>
      </c>
      <c r="S79" s="2810">
        <f>('Info Entrada'!V187+'Info Entrada'!V188+'Info Entrada'!V190+'Info Entrada'!V191+'Info Entrada'!V192)/$A$8</f>
        <v>0</v>
      </c>
      <c r="T79" s="2810">
        <f>('Info Entrada'!W187+'Info Entrada'!W188+'Info Entrada'!W190+'Info Entrada'!W191+'Info Entrada'!W192)/$A$8</f>
        <v>0</v>
      </c>
      <c r="U79" s="2808">
        <f>('Info Entrada'!F187+'Info Entrada'!F188+'Info Entrada'!F190+'Info Entrada'!F191+'Info Entrada'!F192)/$A$8</f>
        <v>0</v>
      </c>
      <c r="V79" s="2808">
        <f>('Info Entrada'!G187+'Info Entrada'!G188+'Info Entrada'!G190+'Info Entrada'!G191+'Info Entrada'!G192)/$A$8</f>
        <v>0</v>
      </c>
    </row>
    <row r="80" spans="1:22" ht="9.75" thickBot="1" x14ac:dyDescent="0.2">
      <c r="A80" s="2799" t="s">
        <v>1185</v>
      </c>
      <c r="B80" s="2835">
        <f>SUM(B75:B79)</f>
        <v>0</v>
      </c>
      <c r="C80" s="2835">
        <f>SUM(C75:C79)</f>
        <v>0</v>
      </c>
      <c r="D80" s="2836">
        <f>SUM(D75:D79)</f>
        <v>0</v>
      </c>
      <c r="E80" s="2835">
        <f t="shared" ref="E80:T80" ca="1" si="30">SUM(E75:E79)</f>
        <v>0</v>
      </c>
      <c r="F80" s="2838">
        <f t="shared" ca="1" si="30"/>
        <v>0</v>
      </c>
      <c r="G80" s="2838">
        <f t="shared" ca="1" si="30"/>
        <v>0</v>
      </c>
      <c r="H80" s="2838">
        <f t="shared" ca="1" si="30"/>
        <v>0</v>
      </c>
      <c r="I80" s="2838">
        <f t="shared" ca="1" si="30"/>
        <v>0</v>
      </c>
      <c r="J80" s="2838">
        <f t="shared" ca="1" si="30"/>
        <v>0</v>
      </c>
      <c r="K80" s="2838">
        <f t="shared" ca="1" si="30"/>
        <v>0</v>
      </c>
      <c r="L80" s="2838">
        <f t="shared" ca="1" si="30"/>
        <v>0</v>
      </c>
      <c r="M80" s="2838">
        <f t="shared" ca="1" si="30"/>
        <v>0</v>
      </c>
      <c r="N80" s="2838">
        <f t="shared" ca="1" si="30"/>
        <v>0</v>
      </c>
      <c r="O80" s="2838">
        <f t="shared" ca="1" si="30"/>
        <v>0</v>
      </c>
      <c r="P80" s="2838">
        <f t="shared" ca="1" si="30"/>
        <v>0</v>
      </c>
      <c r="Q80" s="2838">
        <f t="shared" ca="1" si="30"/>
        <v>0</v>
      </c>
      <c r="R80" s="2838">
        <f t="shared" ca="1" si="30"/>
        <v>0</v>
      </c>
      <c r="S80" s="2838">
        <f t="shared" ca="1" si="30"/>
        <v>0</v>
      </c>
      <c r="T80" s="2838">
        <f t="shared" ca="1" si="30"/>
        <v>0</v>
      </c>
      <c r="U80" s="2835">
        <f>SUM(U75:U79)</f>
        <v>0</v>
      </c>
      <c r="V80" s="2835">
        <f>SUM(V75:V79)</f>
        <v>0</v>
      </c>
    </row>
    <row r="81" spans="1:22" x14ac:dyDescent="0.15">
      <c r="A81" s="2803" t="s">
        <v>1103</v>
      </c>
      <c r="B81" s="2804">
        <f>'Info Entrada'!C200/$A$8</f>
        <v>0</v>
      </c>
      <c r="C81" s="2804">
        <f>'Info Entrada'!D200/$A$8</f>
        <v>0</v>
      </c>
      <c r="D81" s="2805">
        <f>'Info Entrada'!E200/$A$8</f>
        <v>0</v>
      </c>
      <c r="E81" s="2804">
        <f ca="1">'Info Entrada'!H200/$A$8</f>
        <v>0</v>
      </c>
      <c r="F81" s="2806">
        <f ca="1">'Info Entrada'!I200/$A$8</f>
        <v>0</v>
      </c>
      <c r="G81" s="2806">
        <f ca="1">'Info Entrada'!J200/$A$8</f>
        <v>0</v>
      </c>
      <c r="H81" s="2806">
        <f ca="1">'Info Entrada'!K200/$A$8</f>
        <v>0</v>
      </c>
      <c r="I81" s="2806">
        <f ca="1">'Info Entrada'!L200/$A$8</f>
        <v>0</v>
      </c>
      <c r="J81" s="2806">
        <f ca="1">'Info Entrada'!M200/$A$8</f>
        <v>0</v>
      </c>
      <c r="K81" s="2806">
        <f ca="1">'Info Entrada'!N200/$A$8</f>
        <v>0</v>
      </c>
      <c r="L81" s="2806">
        <f ca="1">'Info Entrada'!O200/$A$8</f>
        <v>0</v>
      </c>
      <c r="M81" s="2806">
        <f ca="1">'Info Entrada'!P200/$A$8</f>
        <v>0</v>
      </c>
      <c r="N81" s="2806">
        <f ca="1">'Info Entrada'!Q200/$A$8</f>
        <v>0</v>
      </c>
      <c r="O81" s="2806">
        <f ca="1">'Info Entrada'!R200/$A$8</f>
        <v>0</v>
      </c>
      <c r="P81" s="2806">
        <f ca="1">'Info Entrada'!S200/$A$8</f>
        <v>0</v>
      </c>
      <c r="Q81" s="2806">
        <f ca="1">'Info Entrada'!T200/$A$8</f>
        <v>0</v>
      </c>
      <c r="R81" s="2806">
        <f ca="1">'Info Entrada'!U200/$A$8</f>
        <v>0</v>
      </c>
      <c r="S81" s="2806">
        <f ca="1">'Info Entrada'!V200/$A$8</f>
        <v>0</v>
      </c>
      <c r="T81" s="2806">
        <f ca="1">'Info Entrada'!W200/$A$8</f>
        <v>0</v>
      </c>
      <c r="U81" s="2804">
        <f>'Info Entrada'!F200/$A$8</f>
        <v>0</v>
      </c>
      <c r="V81" s="2804">
        <f>'Info Entrada'!G200/$A$8</f>
        <v>0</v>
      </c>
    </row>
    <row r="82" spans="1:22" x14ac:dyDescent="0.15">
      <c r="A82" s="2795" t="s">
        <v>1104</v>
      </c>
      <c r="B82" s="2796">
        <f>('Info Entrada'!C201+'Info Entrada'!C203)/$A$8</f>
        <v>0</v>
      </c>
      <c r="C82" s="2796">
        <f>('Info Entrada'!D201+'Info Entrada'!D203)/$A$8</f>
        <v>0</v>
      </c>
      <c r="D82" s="2797">
        <f>('Info Entrada'!E201+'Info Entrada'!E203)/$A$8</f>
        <v>0</v>
      </c>
      <c r="E82" s="2796">
        <f ca="1">('Info Entrada'!H201+'Info Entrada'!H203)/$A$8</f>
        <v>0</v>
      </c>
      <c r="F82" s="2798">
        <f ca="1">('Info Entrada'!I201+'Info Entrada'!I203)/$A$8</f>
        <v>0</v>
      </c>
      <c r="G82" s="2798">
        <f ca="1">('Info Entrada'!J201+'Info Entrada'!J203)/$A$8</f>
        <v>0</v>
      </c>
      <c r="H82" s="2798">
        <f ca="1">('Info Entrada'!K201+'Info Entrada'!K203)/$A$8</f>
        <v>0</v>
      </c>
      <c r="I82" s="2798">
        <f ca="1">('Info Entrada'!L201+'Info Entrada'!L203)/$A$8</f>
        <v>0</v>
      </c>
      <c r="J82" s="2798">
        <f ca="1">('Info Entrada'!M201+'Info Entrada'!M203)/$A$8</f>
        <v>0</v>
      </c>
      <c r="K82" s="2798">
        <f ca="1">('Info Entrada'!N201+'Info Entrada'!N203)/$A$8</f>
        <v>0</v>
      </c>
      <c r="L82" s="2798">
        <f ca="1">('Info Entrada'!O201+'Info Entrada'!O203)/$A$8</f>
        <v>0</v>
      </c>
      <c r="M82" s="2798">
        <f ca="1">('Info Entrada'!P201+'Info Entrada'!P203)/$A$8</f>
        <v>0</v>
      </c>
      <c r="N82" s="2798">
        <f ca="1">('Info Entrada'!Q201+'Info Entrada'!Q203)/$A$8</f>
        <v>0</v>
      </c>
      <c r="O82" s="2798">
        <f ca="1">('Info Entrada'!R201+'Info Entrada'!R203)/$A$8</f>
        <v>0</v>
      </c>
      <c r="P82" s="2798">
        <f ca="1">('Info Entrada'!S201+'Info Entrada'!S203)/$A$8</f>
        <v>0</v>
      </c>
      <c r="Q82" s="2798">
        <f ca="1">('Info Entrada'!T201+'Info Entrada'!T203)/$A$8</f>
        <v>0</v>
      </c>
      <c r="R82" s="2798">
        <f ca="1">('Info Entrada'!U201+'Info Entrada'!U203)/$A$8</f>
        <v>0</v>
      </c>
      <c r="S82" s="2798">
        <f ca="1">('Info Entrada'!V201+'Info Entrada'!V203)/$A$8</f>
        <v>0</v>
      </c>
      <c r="T82" s="2798">
        <f ca="1">('Info Entrada'!W201+'Info Entrada'!W203)/$A$8</f>
        <v>0</v>
      </c>
      <c r="U82" s="2796">
        <f>('Info Entrada'!F201+'Info Entrada'!F203)/$A$8</f>
        <v>0</v>
      </c>
      <c r="V82" s="2796">
        <f>('Info Entrada'!G201+'Info Entrada'!G203)/$A$8</f>
        <v>0</v>
      </c>
    </row>
    <row r="83" spans="1:22" x14ac:dyDescent="0.15">
      <c r="A83" s="2795" t="s">
        <v>1105</v>
      </c>
      <c r="B83" s="2796">
        <f>'Info Entrada'!C204/$A$8</f>
        <v>0</v>
      </c>
      <c r="C83" s="2796">
        <f>'Info Entrada'!D204/$A$8</f>
        <v>0</v>
      </c>
      <c r="D83" s="2797">
        <f>'Info Entrada'!E204/$A$8</f>
        <v>0</v>
      </c>
      <c r="E83" s="2796">
        <f>'Info Entrada'!H204/$A$8</f>
        <v>0</v>
      </c>
      <c r="F83" s="2798">
        <f>'Info Entrada'!I204/$A$8</f>
        <v>0</v>
      </c>
      <c r="G83" s="2798">
        <f>'Info Entrada'!J204/$A$8</f>
        <v>0</v>
      </c>
      <c r="H83" s="2798">
        <f>'Info Entrada'!K204/$A$8</f>
        <v>0</v>
      </c>
      <c r="I83" s="2798">
        <f>'Info Entrada'!L204/$A$8</f>
        <v>0</v>
      </c>
      <c r="J83" s="2798">
        <f>'Info Entrada'!M204/$A$8</f>
        <v>0</v>
      </c>
      <c r="K83" s="2798">
        <f>'Info Entrada'!N204/$A$8</f>
        <v>0</v>
      </c>
      <c r="L83" s="2798">
        <f>'Info Entrada'!O204/$A$8</f>
        <v>0</v>
      </c>
      <c r="M83" s="2798">
        <f>'Info Entrada'!P204/$A$8</f>
        <v>0</v>
      </c>
      <c r="N83" s="2798">
        <f>'Info Entrada'!Q204/$A$8</f>
        <v>0</v>
      </c>
      <c r="O83" s="2798">
        <f>'Info Entrada'!R204/$A$8</f>
        <v>0</v>
      </c>
      <c r="P83" s="2798">
        <f>'Info Entrada'!S204/$A$8</f>
        <v>0</v>
      </c>
      <c r="Q83" s="2798">
        <f>'Info Entrada'!T204/$A$8</f>
        <v>0</v>
      </c>
      <c r="R83" s="2798">
        <f>'Info Entrada'!U204/$A$8</f>
        <v>0</v>
      </c>
      <c r="S83" s="2798">
        <f>'Info Entrada'!V204/$A$8</f>
        <v>0</v>
      </c>
      <c r="T83" s="2798">
        <f>'Info Entrada'!W204/$A$8</f>
        <v>0</v>
      </c>
      <c r="U83" s="2796">
        <f>'Info Entrada'!F204/$A$8</f>
        <v>0</v>
      </c>
      <c r="V83" s="2796">
        <f>'Info Entrada'!G204/$A$8</f>
        <v>0</v>
      </c>
    </row>
    <row r="84" spans="1:22" ht="9.75" thickBot="1" x14ac:dyDescent="0.2">
      <c r="A84" s="2807" t="s">
        <v>1106</v>
      </c>
      <c r="B84" s="2808">
        <f>('Info Entrada'!C202+'Info Entrada'!C205+'Info Entrada'!C206+'Info Entrada'!C207+'Info Entrada'!C208+'Info Entrada'!C209)/$A$8</f>
        <v>0</v>
      </c>
      <c r="C84" s="2808">
        <f>('Info Entrada'!D202+'Info Entrada'!D205+'Info Entrada'!D206+'Info Entrada'!D207+'Info Entrada'!D208+'Info Entrada'!D209)/$A$8</f>
        <v>0</v>
      </c>
      <c r="D84" s="2809">
        <f>('Info Entrada'!E202+'Info Entrada'!E205+'Info Entrada'!E206+'Info Entrada'!E207+'Info Entrada'!E208+'Info Entrada'!E209)/$A$8</f>
        <v>0</v>
      </c>
      <c r="E84" s="2808">
        <f ca="1">('Info Entrada'!H202+'Info Entrada'!H205+'Info Entrada'!H206+'Info Entrada'!H207+'Info Entrada'!H208+'Info Entrada'!H209)/$A$8</f>
        <v>0</v>
      </c>
      <c r="F84" s="2810">
        <f ca="1">('Info Entrada'!I202+'Info Entrada'!I205+'Info Entrada'!I206+'Info Entrada'!I207+'Info Entrada'!I208+'Info Entrada'!I209)/$A$8</f>
        <v>0</v>
      </c>
      <c r="G84" s="2810">
        <f ca="1">('Info Entrada'!J202+'Info Entrada'!J205+'Info Entrada'!J206+'Info Entrada'!J207+'Info Entrada'!J208+'Info Entrada'!J209)/$A$8</f>
        <v>0</v>
      </c>
      <c r="H84" s="2810">
        <f ca="1">('Info Entrada'!K202+'Info Entrada'!K205+'Info Entrada'!K206+'Info Entrada'!K207+'Info Entrada'!K208+'Info Entrada'!K209)/$A$8</f>
        <v>0</v>
      </c>
      <c r="I84" s="2810">
        <f ca="1">('Info Entrada'!L202+'Info Entrada'!L205+'Info Entrada'!L206+'Info Entrada'!L207+'Info Entrada'!L208+'Info Entrada'!L209)/$A$8</f>
        <v>0</v>
      </c>
      <c r="J84" s="2810">
        <f ca="1">('Info Entrada'!M202+'Info Entrada'!M205+'Info Entrada'!M206+'Info Entrada'!M207+'Info Entrada'!M208+'Info Entrada'!M209)/$A$8</f>
        <v>0</v>
      </c>
      <c r="K84" s="2810">
        <f ca="1">('Info Entrada'!N202+'Info Entrada'!N205+'Info Entrada'!N206+'Info Entrada'!N207+'Info Entrada'!N208+'Info Entrada'!N209)/$A$8</f>
        <v>0</v>
      </c>
      <c r="L84" s="2810">
        <f ca="1">('Info Entrada'!O202+'Info Entrada'!O205+'Info Entrada'!O206+'Info Entrada'!O207+'Info Entrada'!O208+'Info Entrada'!O209)/$A$8</f>
        <v>0</v>
      </c>
      <c r="M84" s="2810">
        <f ca="1">('Info Entrada'!P202+'Info Entrada'!P205+'Info Entrada'!P206+'Info Entrada'!P207+'Info Entrada'!P208+'Info Entrada'!P209)/$A$8</f>
        <v>0</v>
      </c>
      <c r="N84" s="2810">
        <f ca="1">('Info Entrada'!Q202+'Info Entrada'!Q205+'Info Entrada'!Q206+'Info Entrada'!Q207+'Info Entrada'!Q208+'Info Entrada'!Q209)/$A$8</f>
        <v>0</v>
      </c>
      <c r="O84" s="2810">
        <f ca="1">('Info Entrada'!R202+'Info Entrada'!R205+'Info Entrada'!R206+'Info Entrada'!R207+'Info Entrada'!R208+'Info Entrada'!R209)/$A$8</f>
        <v>0</v>
      </c>
      <c r="P84" s="2810">
        <f ca="1">('Info Entrada'!S202+'Info Entrada'!S205+'Info Entrada'!S206+'Info Entrada'!S207+'Info Entrada'!S208+'Info Entrada'!S209)/$A$8</f>
        <v>0</v>
      </c>
      <c r="Q84" s="2810">
        <f ca="1">('Info Entrada'!T202+'Info Entrada'!T205+'Info Entrada'!T206+'Info Entrada'!T207+'Info Entrada'!T208+'Info Entrada'!T209)/$A$8</f>
        <v>0</v>
      </c>
      <c r="R84" s="2810">
        <f ca="1">('Info Entrada'!U202+'Info Entrada'!U205+'Info Entrada'!U206+'Info Entrada'!U207+'Info Entrada'!U208+'Info Entrada'!U209)/$A$8</f>
        <v>0</v>
      </c>
      <c r="S84" s="2810">
        <f ca="1">('Info Entrada'!V202+'Info Entrada'!V205+'Info Entrada'!V206+'Info Entrada'!V207+'Info Entrada'!V208+'Info Entrada'!V209)/$A$8</f>
        <v>0</v>
      </c>
      <c r="T84" s="2810">
        <f ca="1">('Info Entrada'!W202+'Info Entrada'!W205+'Info Entrada'!W206+'Info Entrada'!W207+'Info Entrada'!W208+'Info Entrada'!W209)/$A$8</f>
        <v>0</v>
      </c>
      <c r="U84" s="2808">
        <f>('Info Entrada'!F202+'Info Entrada'!F205+'Info Entrada'!F206+'Info Entrada'!F207+'Info Entrada'!F208+'Info Entrada'!F209)/$A$8</f>
        <v>0</v>
      </c>
      <c r="V84" s="2808">
        <f>('Info Entrada'!G202+'Info Entrada'!G205+'Info Entrada'!G206+'Info Entrada'!G207+'Info Entrada'!G208+'Info Entrada'!G209)/$A$8</f>
        <v>0</v>
      </c>
    </row>
    <row r="85" spans="1:22" ht="9.75" thickBot="1" x14ac:dyDescent="0.2">
      <c r="A85" s="2799" t="s">
        <v>1186</v>
      </c>
      <c r="B85" s="2835">
        <f>SUM(B81:B84)</f>
        <v>0</v>
      </c>
      <c r="C85" s="2835">
        <f>SUM(C81:C84)</f>
        <v>0</v>
      </c>
      <c r="D85" s="2836">
        <f>SUM(D81:D84)</f>
        <v>0</v>
      </c>
      <c r="E85" s="2835">
        <f t="shared" ref="E85:T85" ca="1" si="31">SUM(E81:E84)</f>
        <v>0</v>
      </c>
      <c r="F85" s="2838">
        <f t="shared" ca="1" si="31"/>
        <v>0</v>
      </c>
      <c r="G85" s="2838">
        <f t="shared" ca="1" si="31"/>
        <v>0</v>
      </c>
      <c r="H85" s="2838">
        <f t="shared" ca="1" si="31"/>
        <v>0</v>
      </c>
      <c r="I85" s="2838">
        <f t="shared" ca="1" si="31"/>
        <v>0</v>
      </c>
      <c r="J85" s="2838">
        <f t="shared" ca="1" si="31"/>
        <v>0</v>
      </c>
      <c r="K85" s="2838">
        <f t="shared" ca="1" si="31"/>
        <v>0</v>
      </c>
      <c r="L85" s="2838">
        <f t="shared" ca="1" si="31"/>
        <v>0</v>
      </c>
      <c r="M85" s="2838">
        <f t="shared" ca="1" si="31"/>
        <v>0</v>
      </c>
      <c r="N85" s="2838">
        <f t="shared" ca="1" si="31"/>
        <v>0</v>
      </c>
      <c r="O85" s="2838">
        <f t="shared" ca="1" si="31"/>
        <v>0</v>
      </c>
      <c r="P85" s="2838">
        <f t="shared" ca="1" si="31"/>
        <v>0</v>
      </c>
      <c r="Q85" s="2838">
        <f t="shared" ca="1" si="31"/>
        <v>0</v>
      </c>
      <c r="R85" s="2838">
        <f t="shared" ca="1" si="31"/>
        <v>0</v>
      </c>
      <c r="S85" s="2838">
        <f t="shared" ca="1" si="31"/>
        <v>0</v>
      </c>
      <c r="T85" s="2838">
        <f t="shared" ca="1" si="31"/>
        <v>0</v>
      </c>
      <c r="U85" s="2835">
        <f>SUM(U81:U84)</f>
        <v>0</v>
      </c>
      <c r="V85" s="2835">
        <f>SUM(V81:V84)</f>
        <v>0</v>
      </c>
    </row>
    <row r="86" spans="1:22" ht="9.75" thickBot="1" x14ac:dyDescent="0.2">
      <c r="A86" s="2799" t="s">
        <v>1187</v>
      </c>
      <c r="B86" s="2835">
        <f>B80+B85</f>
        <v>0</v>
      </c>
      <c r="C86" s="2835">
        <f>C80+C85</f>
        <v>0</v>
      </c>
      <c r="D86" s="2836">
        <f>D80+D85</f>
        <v>0</v>
      </c>
      <c r="E86" s="2835">
        <f t="shared" ref="E86:T86" ca="1" si="32">E80+E85</f>
        <v>0</v>
      </c>
      <c r="F86" s="2838">
        <f t="shared" ca="1" si="32"/>
        <v>0</v>
      </c>
      <c r="G86" s="2838">
        <f t="shared" ca="1" si="32"/>
        <v>0</v>
      </c>
      <c r="H86" s="2838">
        <f t="shared" ca="1" si="32"/>
        <v>0</v>
      </c>
      <c r="I86" s="2838">
        <f t="shared" ca="1" si="32"/>
        <v>0</v>
      </c>
      <c r="J86" s="2838">
        <f t="shared" ca="1" si="32"/>
        <v>0</v>
      </c>
      <c r="K86" s="2838">
        <f t="shared" ca="1" si="32"/>
        <v>0</v>
      </c>
      <c r="L86" s="2838">
        <f t="shared" ca="1" si="32"/>
        <v>0</v>
      </c>
      <c r="M86" s="2838">
        <f t="shared" ca="1" si="32"/>
        <v>0</v>
      </c>
      <c r="N86" s="2838">
        <f t="shared" ca="1" si="32"/>
        <v>0</v>
      </c>
      <c r="O86" s="2838">
        <f t="shared" ca="1" si="32"/>
        <v>0</v>
      </c>
      <c r="P86" s="2838">
        <f t="shared" ca="1" si="32"/>
        <v>0</v>
      </c>
      <c r="Q86" s="2838">
        <f t="shared" ca="1" si="32"/>
        <v>0</v>
      </c>
      <c r="R86" s="2838">
        <f t="shared" ca="1" si="32"/>
        <v>0</v>
      </c>
      <c r="S86" s="2838">
        <f t="shared" ca="1" si="32"/>
        <v>0</v>
      </c>
      <c r="T86" s="2838">
        <f t="shared" ca="1" si="32"/>
        <v>0</v>
      </c>
      <c r="U86" s="2835">
        <f>U80+U85</f>
        <v>0</v>
      </c>
      <c r="V86" s="2835">
        <f>V80+V85</f>
        <v>0</v>
      </c>
    </row>
    <row r="87" spans="1:22" ht="9.75" thickBot="1" x14ac:dyDescent="0.2">
      <c r="A87" s="2849" t="s">
        <v>1107</v>
      </c>
      <c r="B87" s="2850">
        <f>'Info Entrada'!C253/$A$8</f>
        <v>0</v>
      </c>
      <c r="C87" s="2850">
        <f>'Info Entrada'!D253/$A$8</f>
        <v>0</v>
      </c>
      <c r="D87" s="2851">
        <f>'Info Entrada'!E253/$A$8</f>
        <v>0</v>
      </c>
      <c r="E87" s="2850">
        <f>'Info Entrada'!H253/$A$8</f>
        <v>0</v>
      </c>
      <c r="F87" s="2852">
        <f>'Info Entrada'!I253/$A$8</f>
        <v>0</v>
      </c>
      <c r="G87" s="2852">
        <f>'Info Entrada'!J253/$A$8</f>
        <v>0</v>
      </c>
      <c r="H87" s="2852">
        <f>'Info Entrada'!K253/$A$8</f>
        <v>0</v>
      </c>
      <c r="I87" s="2852">
        <f>'Info Entrada'!L253/$A$8</f>
        <v>0</v>
      </c>
      <c r="J87" s="2852">
        <f>'Info Entrada'!M253/$A$8</f>
        <v>0</v>
      </c>
      <c r="K87" s="2852">
        <f>'Info Entrada'!N253/$A$8</f>
        <v>0</v>
      </c>
      <c r="L87" s="2852">
        <f>'Info Entrada'!O253/$A$8</f>
        <v>0</v>
      </c>
      <c r="M87" s="2852">
        <f>'Info Entrada'!P253/$A$8</f>
        <v>0</v>
      </c>
      <c r="N87" s="2852">
        <f>'Info Entrada'!Q253/$A$8</f>
        <v>0</v>
      </c>
      <c r="O87" s="2852">
        <f>'Info Entrada'!R253/$A$8</f>
        <v>0</v>
      </c>
      <c r="P87" s="2852">
        <f>'Info Entrada'!S253/$A$8</f>
        <v>0</v>
      </c>
      <c r="Q87" s="2852">
        <f>'Info Entrada'!T253/$A$8</f>
        <v>0</v>
      </c>
      <c r="R87" s="2852">
        <f>'Info Entrada'!U253/$A$8</f>
        <v>0</v>
      </c>
      <c r="S87" s="2852">
        <f>'Info Entrada'!V253/$A$8</f>
        <v>0</v>
      </c>
      <c r="T87" s="2852">
        <f>'Info Entrada'!W253/$A$8</f>
        <v>0</v>
      </c>
      <c r="U87" s="2850">
        <f>'Info Entrada'!F253/$A$8</f>
        <v>0</v>
      </c>
      <c r="V87" s="2850">
        <f>'Info Entrada'!G253/$A$8</f>
        <v>0</v>
      </c>
    </row>
    <row r="88" spans="1:22" x14ac:dyDescent="0.15">
      <c r="A88" s="2803" t="s">
        <v>1108</v>
      </c>
      <c r="B88" s="2804">
        <f>SUM('Info Entrada'!C215:C217)/$A$8</f>
        <v>0</v>
      </c>
      <c r="C88" s="2804">
        <f>SUM('Info Entrada'!D215:D217)/$A$8</f>
        <v>0</v>
      </c>
      <c r="D88" s="2805">
        <f>SUM('Info Entrada'!E215:E217)/$A$8</f>
        <v>0</v>
      </c>
      <c r="E88" s="2804">
        <f ca="1">SUM('Info Entrada'!H215:H217)/$A$8</f>
        <v>0</v>
      </c>
      <c r="F88" s="2806">
        <f ca="1">SUM('Info Entrada'!I215:I217)/$A$8</f>
        <v>0</v>
      </c>
      <c r="G88" s="2806">
        <f ca="1">SUM('Info Entrada'!J215:J217)/$A$8</f>
        <v>0</v>
      </c>
      <c r="H88" s="2806">
        <f ca="1">SUM('Info Entrada'!K215:K217)/$A$8</f>
        <v>0</v>
      </c>
      <c r="I88" s="2806">
        <f ca="1">SUM('Info Entrada'!L215:L217)/$A$8</f>
        <v>0</v>
      </c>
      <c r="J88" s="2806">
        <f ca="1">SUM('Info Entrada'!M215:M217)/$A$8</f>
        <v>0</v>
      </c>
      <c r="K88" s="2806">
        <f ca="1">SUM('Info Entrada'!N215:N217)/$A$8</f>
        <v>0</v>
      </c>
      <c r="L88" s="2806">
        <f ca="1">SUM('Info Entrada'!O215:O217)/$A$8</f>
        <v>0</v>
      </c>
      <c r="M88" s="2806">
        <f ca="1">SUM('Info Entrada'!P215:P217)/$A$8</f>
        <v>0</v>
      </c>
      <c r="N88" s="2806">
        <f ca="1">SUM('Info Entrada'!Q215:Q217)/$A$8</f>
        <v>0</v>
      </c>
      <c r="O88" s="2806">
        <f ca="1">SUM('Info Entrada'!R215:R217)/$A$8</f>
        <v>0</v>
      </c>
      <c r="P88" s="2806">
        <f ca="1">SUM('Info Entrada'!S215:S217)/$A$8</f>
        <v>0</v>
      </c>
      <c r="Q88" s="2806">
        <f ca="1">SUM('Info Entrada'!T215:T217)/$A$8</f>
        <v>0</v>
      </c>
      <c r="R88" s="2806">
        <f ca="1">SUM('Info Entrada'!U215:U217)/$A$8</f>
        <v>0</v>
      </c>
      <c r="S88" s="2806">
        <f ca="1">SUM('Info Entrada'!V215:V217)/$A$8</f>
        <v>0</v>
      </c>
      <c r="T88" s="2806">
        <f ca="1">SUM('Info Entrada'!W215:W217)/$A$8</f>
        <v>0</v>
      </c>
      <c r="U88" s="2804">
        <f>SUM('Info Entrada'!F215:F217)/$A$8</f>
        <v>0</v>
      </c>
      <c r="V88" s="2804">
        <f>SUM('Info Entrada'!G215:G217)/$A$8</f>
        <v>0</v>
      </c>
    </row>
    <row r="89" spans="1:22" x14ac:dyDescent="0.15">
      <c r="A89" s="2795" t="s">
        <v>1188</v>
      </c>
      <c r="B89" s="2796">
        <f>'Info Entrada'!C220/$A$8</f>
        <v>0</v>
      </c>
      <c r="C89" s="2796">
        <f>'Info Entrada'!D220/$A$8</f>
        <v>0</v>
      </c>
      <c r="D89" s="2797">
        <f>'Info Entrada'!E220/$A$8</f>
        <v>0</v>
      </c>
      <c r="E89" s="2796">
        <f>'Info Entrada'!H220/$A$8</f>
        <v>0</v>
      </c>
      <c r="F89" s="2798">
        <f>'Info Entrada'!I220/$A$8</f>
        <v>0</v>
      </c>
      <c r="G89" s="2798">
        <f>'Info Entrada'!J220/$A$8</f>
        <v>0</v>
      </c>
      <c r="H89" s="2798">
        <f>'Info Entrada'!K220/$A$8</f>
        <v>0</v>
      </c>
      <c r="I89" s="2798">
        <f>'Info Entrada'!L220/$A$8</f>
        <v>0</v>
      </c>
      <c r="J89" s="2798">
        <f>'Info Entrada'!M220/$A$8</f>
        <v>0</v>
      </c>
      <c r="K89" s="2798">
        <f>'Info Entrada'!N220/$A$8</f>
        <v>0</v>
      </c>
      <c r="L89" s="2798">
        <f>'Info Entrada'!O220/$A$8</f>
        <v>0</v>
      </c>
      <c r="M89" s="2798">
        <f>'Info Entrada'!P220/$A$8</f>
        <v>0</v>
      </c>
      <c r="N89" s="2798">
        <f>'Info Entrada'!Q220/$A$8</f>
        <v>0</v>
      </c>
      <c r="O89" s="2798">
        <f>'Info Entrada'!R220/$A$8</f>
        <v>0</v>
      </c>
      <c r="P89" s="2798">
        <f>'Info Entrada'!S220/$A$8</f>
        <v>0</v>
      </c>
      <c r="Q89" s="2798">
        <f>'Info Entrada'!T220/$A$8</f>
        <v>0</v>
      </c>
      <c r="R89" s="2798">
        <f>'Info Entrada'!U220/$A$8</f>
        <v>0</v>
      </c>
      <c r="S89" s="2798">
        <f>'Info Entrada'!V220/$A$8</f>
        <v>0</v>
      </c>
      <c r="T89" s="2798">
        <f>'Info Entrada'!W220/$A$8</f>
        <v>0</v>
      </c>
      <c r="U89" s="2796">
        <f>'Info Entrada'!F220/$A$8</f>
        <v>0</v>
      </c>
      <c r="V89" s="2796">
        <f>'Info Entrada'!G220/$A$8</f>
        <v>0</v>
      </c>
    </row>
    <row r="90" spans="1:22" x14ac:dyDescent="0.15">
      <c r="A90" s="2795" t="s">
        <v>1109</v>
      </c>
      <c r="B90" s="2796">
        <f>SUM('Info Entrada'!C218:C219)/$A$8</f>
        <v>0</v>
      </c>
      <c r="C90" s="2796">
        <f>SUM('Info Entrada'!D218:D219)/$A$8</f>
        <v>0</v>
      </c>
      <c r="D90" s="2797">
        <f>SUM('Info Entrada'!E218:E219)/$A$8</f>
        <v>0</v>
      </c>
      <c r="E90" s="2796">
        <f>SUM('Info Entrada'!H218:H219)/$A$8</f>
        <v>0</v>
      </c>
      <c r="F90" s="2798">
        <f>SUM('Info Entrada'!I218:I219)/$A$8</f>
        <v>0</v>
      </c>
      <c r="G90" s="2798">
        <f>SUM('Info Entrada'!J218:J219)/$A$8</f>
        <v>0</v>
      </c>
      <c r="H90" s="2798">
        <f>SUM('Info Entrada'!K218:K219)/$A$8</f>
        <v>0</v>
      </c>
      <c r="I90" s="2798">
        <f>SUM('Info Entrada'!L218:L219)/$A$8</f>
        <v>0</v>
      </c>
      <c r="J90" s="2798">
        <f>SUM('Info Entrada'!M218:M219)/$A$8</f>
        <v>0</v>
      </c>
      <c r="K90" s="2798">
        <f>SUM('Info Entrada'!N218:N219)/$A$8</f>
        <v>0</v>
      </c>
      <c r="L90" s="2798">
        <f>SUM('Info Entrada'!O218:O219)/$A$8</f>
        <v>0</v>
      </c>
      <c r="M90" s="2798">
        <f>SUM('Info Entrada'!P218:P219)/$A$8</f>
        <v>0</v>
      </c>
      <c r="N90" s="2798">
        <f>SUM('Info Entrada'!Q218:Q219)/$A$8</f>
        <v>0</v>
      </c>
      <c r="O90" s="2798">
        <f>SUM('Info Entrada'!R218:R219)/$A$8</f>
        <v>0</v>
      </c>
      <c r="P90" s="2798">
        <f>SUM('Info Entrada'!S218:S219)/$A$8</f>
        <v>0</v>
      </c>
      <c r="Q90" s="2798">
        <f>SUM('Info Entrada'!T218:T219)/$A$8</f>
        <v>0</v>
      </c>
      <c r="R90" s="2798">
        <f>SUM('Info Entrada'!U218:U219)/$A$8</f>
        <v>0</v>
      </c>
      <c r="S90" s="2798">
        <f>SUM('Info Entrada'!V218:V219)/$A$8</f>
        <v>0</v>
      </c>
      <c r="T90" s="2798">
        <f>SUM('Info Entrada'!W218:W219)/$A$8</f>
        <v>0</v>
      </c>
      <c r="U90" s="2796">
        <f>SUM('Info Entrada'!F218:F219)/$A$8</f>
        <v>0</v>
      </c>
      <c r="V90" s="2796">
        <f>SUM('Info Entrada'!G218:G219)/$A$8</f>
        <v>0</v>
      </c>
    </row>
    <row r="91" spans="1:22" x14ac:dyDescent="0.15">
      <c r="A91" s="2795" t="s">
        <v>1110</v>
      </c>
      <c r="B91" s="2796">
        <f>'Info Entrada'!C222/$A$8</f>
        <v>0</v>
      </c>
      <c r="C91" s="2796">
        <f>'Info Entrada'!D222/$A$8</f>
        <v>0</v>
      </c>
      <c r="D91" s="2797">
        <f>'Info Entrada'!E222/$A$8</f>
        <v>0</v>
      </c>
      <c r="E91" s="2796">
        <f>'Info Entrada'!H222/$A$8</f>
        <v>0</v>
      </c>
      <c r="F91" s="2798">
        <f>'Info Entrada'!I222/$A$8</f>
        <v>0</v>
      </c>
      <c r="G91" s="2798">
        <f>'Info Entrada'!J222/$A$8</f>
        <v>0</v>
      </c>
      <c r="H91" s="2798">
        <f>'Info Entrada'!K222/$A$8</f>
        <v>0</v>
      </c>
      <c r="I91" s="2798">
        <f>'Info Entrada'!L222/$A$8</f>
        <v>0</v>
      </c>
      <c r="J91" s="2798">
        <f>'Info Entrada'!M222/$A$8</f>
        <v>0</v>
      </c>
      <c r="K91" s="2798">
        <f>'Info Entrada'!N222/$A$8</f>
        <v>0</v>
      </c>
      <c r="L91" s="2798">
        <f>'Info Entrada'!O222/$A$8</f>
        <v>0</v>
      </c>
      <c r="M91" s="2798">
        <f>'Info Entrada'!P222/$A$8</f>
        <v>0</v>
      </c>
      <c r="N91" s="2798">
        <f>'Info Entrada'!Q222/$A$8</f>
        <v>0</v>
      </c>
      <c r="O91" s="2798">
        <f>'Info Entrada'!R222/$A$8</f>
        <v>0</v>
      </c>
      <c r="P91" s="2798">
        <f>'Info Entrada'!S222/$A$8</f>
        <v>0</v>
      </c>
      <c r="Q91" s="2798">
        <f>'Info Entrada'!T222/$A$8</f>
        <v>0</v>
      </c>
      <c r="R91" s="2798">
        <f>'Info Entrada'!U222/$A$8</f>
        <v>0</v>
      </c>
      <c r="S91" s="2798">
        <f>'Info Entrada'!V222/$A$8</f>
        <v>0</v>
      </c>
      <c r="T91" s="2798">
        <f>'Info Entrada'!W222/$A$8</f>
        <v>0</v>
      </c>
      <c r="U91" s="2796">
        <f>'Info Entrada'!F222/$A$8</f>
        <v>0</v>
      </c>
      <c r="V91" s="2796">
        <f>'Info Entrada'!G222/$A$8</f>
        <v>0</v>
      </c>
    </row>
    <row r="92" spans="1:22" ht="9.75" thickBot="1" x14ac:dyDescent="0.2">
      <c r="A92" s="2807" t="s">
        <v>315</v>
      </c>
      <c r="B92" s="2808">
        <f>('Info Entrada'!C221+'Info Entrada'!C223+'Info Entrada'!C224+'Info Entrada'!C225+'Info Entrada'!C226)/$A$8</f>
        <v>0</v>
      </c>
      <c r="C92" s="2808">
        <f>('Info Entrada'!D221+'Info Entrada'!D223+'Info Entrada'!D224+'Info Entrada'!D225+'Info Entrada'!D226)/$A$8</f>
        <v>0</v>
      </c>
      <c r="D92" s="2809">
        <f>('Info Entrada'!E221+'Info Entrada'!E223+'Info Entrada'!E224+'Info Entrada'!E225+'Info Entrada'!E226)/$A$8</f>
        <v>0</v>
      </c>
      <c r="E92" s="2808">
        <f>IFERROR(('Info Entrada'!H221+'Info Entrada'!H223+'Info Entrada'!H224+'Info Entrada'!H225+'Info Entrada'!H226)/$A$8,0)</f>
        <v>0</v>
      </c>
      <c r="F92" s="2810">
        <f>IFERROR(('Info Entrada'!I221+'Info Entrada'!I223+'Info Entrada'!I224+'Info Entrada'!I225+'Info Entrada'!I226)/$A$8,0)</f>
        <v>0</v>
      </c>
      <c r="G92" s="2810">
        <f>IFERROR(('Info Entrada'!J221+'Info Entrada'!J223+'Info Entrada'!J224+'Info Entrada'!J225+'Info Entrada'!J226)/$A$8,0)</f>
        <v>0</v>
      </c>
      <c r="H92" s="2810">
        <f>IFERROR(('Info Entrada'!K221+'Info Entrada'!K223+'Info Entrada'!K224+'Info Entrada'!K225+'Info Entrada'!K226)/$A$8,0)</f>
        <v>0</v>
      </c>
      <c r="I92" s="2810">
        <f>IFERROR(('Info Entrada'!L221+'Info Entrada'!L223+'Info Entrada'!L224+'Info Entrada'!L225+'Info Entrada'!L226)/$A$8,0)</f>
        <v>0</v>
      </c>
      <c r="J92" s="2810">
        <f>IFERROR(('Info Entrada'!M221+'Info Entrada'!M223+'Info Entrada'!M224+'Info Entrada'!M225+'Info Entrada'!M226)/$A$8,0)</f>
        <v>0</v>
      </c>
      <c r="K92" s="2810">
        <f>IFERROR(('Info Entrada'!N221+'Info Entrada'!N223+'Info Entrada'!N224+'Info Entrada'!N225+'Info Entrada'!N226)/$A$8,0)</f>
        <v>0</v>
      </c>
      <c r="L92" s="2810">
        <f>IFERROR(('Info Entrada'!O221+'Info Entrada'!O223+'Info Entrada'!O224+'Info Entrada'!O225+'Info Entrada'!O226)/$A$8,0)</f>
        <v>0</v>
      </c>
      <c r="M92" s="2810">
        <f>IFERROR(('Info Entrada'!P221+'Info Entrada'!P223+'Info Entrada'!P224+'Info Entrada'!P225+'Info Entrada'!P226)/$A$8,0)</f>
        <v>0</v>
      </c>
      <c r="N92" s="2810">
        <f>IFERROR(('Info Entrada'!Q221+'Info Entrada'!Q223+'Info Entrada'!Q224+'Info Entrada'!Q225+'Info Entrada'!Q226)/$A$8,0)</f>
        <v>0</v>
      </c>
      <c r="O92" s="2810">
        <f>IFERROR(('Info Entrada'!R221+'Info Entrada'!R223+'Info Entrada'!R224+'Info Entrada'!R225+'Info Entrada'!R226)/$A$8,0)</f>
        <v>0</v>
      </c>
      <c r="P92" s="2810">
        <f>IFERROR(('Info Entrada'!S221+'Info Entrada'!S223+'Info Entrada'!S224+'Info Entrada'!S225+'Info Entrada'!S226)/$A$8,0)</f>
        <v>0</v>
      </c>
      <c r="Q92" s="2810">
        <f>IFERROR(('Info Entrada'!T221+'Info Entrada'!T223+'Info Entrada'!T224+'Info Entrada'!T225+'Info Entrada'!T226)/$A$8,0)</f>
        <v>0</v>
      </c>
      <c r="R92" s="2810">
        <f>IFERROR(('Info Entrada'!U221+'Info Entrada'!U223+'Info Entrada'!U224+'Info Entrada'!U225+'Info Entrada'!U226)/$A$8,0)</f>
        <v>0</v>
      </c>
      <c r="S92" s="2810">
        <f>IFERROR(('Info Entrada'!V221+'Info Entrada'!V223+'Info Entrada'!V224+'Info Entrada'!V225+'Info Entrada'!V226)/$A$8,0)</f>
        <v>0</v>
      </c>
      <c r="T92" s="2810">
        <f>IFERROR(('Info Entrada'!W221+'Info Entrada'!W223+'Info Entrada'!W224+'Info Entrada'!W225+'Info Entrada'!W226)/$A$8,0)</f>
        <v>0</v>
      </c>
      <c r="U92" s="2808">
        <f>('Info Entrada'!F221+'Info Entrada'!F223+'Info Entrada'!F224+'Info Entrada'!F225+'Info Entrada'!F226)/$A$8</f>
        <v>0</v>
      </c>
      <c r="V92" s="2808">
        <f>('Info Entrada'!G221+'Info Entrada'!G223+'Info Entrada'!G224+'Info Entrada'!G225+'Info Entrada'!G226)/$A$8</f>
        <v>0</v>
      </c>
    </row>
    <row r="93" spans="1:22" ht="9.75" thickBot="1" x14ac:dyDescent="0.2">
      <c r="A93" s="2811" t="s">
        <v>1189</v>
      </c>
      <c r="B93" s="2812">
        <f>SUM(B88:B92)</f>
        <v>0</v>
      </c>
      <c r="C93" s="2812">
        <f>SUM(C88:C92)</f>
        <v>0</v>
      </c>
      <c r="D93" s="2813">
        <f>SUM(D88:D92)</f>
        <v>0</v>
      </c>
      <c r="E93" s="2812">
        <f t="shared" ref="E93:T93" ca="1" si="33">SUM(E88:E92)</f>
        <v>0</v>
      </c>
      <c r="F93" s="2814">
        <f t="shared" ca="1" si="33"/>
        <v>0</v>
      </c>
      <c r="G93" s="2814">
        <f t="shared" ca="1" si="33"/>
        <v>0</v>
      </c>
      <c r="H93" s="2814">
        <f t="shared" ca="1" si="33"/>
        <v>0</v>
      </c>
      <c r="I93" s="2814">
        <f t="shared" ca="1" si="33"/>
        <v>0</v>
      </c>
      <c r="J93" s="2814">
        <f t="shared" ca="1" si="33"/>
        <v>0</v>
      </c>
      <c r="K93" s="2814">
        <f t="shared" ca="1" si="33"/>
        <v>0</v>
      </c>
      <c r="L93" s="2814">
        <f t="shared" ca="1" si="33"/>
        <v>0</v>
      </c>
      <c r="M93" s="2814">
        <f t="shared" ca="1" si="33"/>
        <v>0</v>
      </c>
      <c r="N93" s="2814">
        <f t="shared" ca="1" si="33"/>
        <v>0</v>
      </c>
      <c r="O93" s="2814">
        <f t="shared" ca="1" si="33"/>
        <v>0</v>
      </c>
      <c r="P93" s="2814">
        <f t="shared" ca="1" si="33"/>
        <v>0</v>
      </c>
      <c r="Q93" s="2814">
        <f t="shared" ca="1" si="33"/>
        <v>0</v>
      </c>
      <c r="R93" s="2814">
        <f t="shared" ca="1" si="33"/>
        <v>0</v>
      </c>
      <c r="S93" s="2814">
        <f t="shared" ca="1" si="33"/>
        <v>0</v>
      </c>
      <c r="T93" s="2814">
        <f t="shared" ca="1" si="33"/>
        <v>0</v>
      </c>
      <c r="U93" s="2812">
        <f>SUM(U88:U92)</f>
        <v>0</v>
      </c>
      <c r="V93" s="2812">
        <f>SUM(V88:V92)</f>
        <v>0</v>
      </c>
    </row>
    <row r="94" spans="1:22" x14ac:dyDescent="0.15">
      <c r="A94" s="2803" t="s">
        <v>1111</v>
      </c>
      <c r="B94" s="2804">
        <f>('Info Entrada'!C228+'Info Entrada'!C229+'Info Entrada'!C235)/$A$8</f>
        <v>0</v>
      </c>
      <c r="C94" s="2804">
        <f>('Info Entrada'!D228+'Info Entrada'!D229+'Info Entrada'!D235)/$A$8</f>
        <v>0</v>
      </c>
      <c r="D94" s="2805">
        <f>('Info Entrada'!E228+'Info Entrada'!E229+'Info Entrada'!E235)/$A$8</f>
        <v>0</v>
      </c>
      <c r="E94" s="2804">
        <f ca="1">('Info Entrada'!H228+'Info Entrada'!H229+'Info Entrada'!H235)/$A$8</f>
        <v>0</v>
      </c>
      <c r="F94" s="2806">
        <f ca="1">('Info Entrada'!I228+'Info Entrada'!I229+'Info Entrada'!I235)/$A$8</f>
        <v>0</v>
      </c>
      <c r="G94" s="2806">
        <f ca="1">('Info Entrada'!J228+'Info Entrada'!J229+'Info Entrada'!J235)/$A$8</f>
        <v>0</v>
      </c>
      <c r="H94" s="2806">
        <f ca="1">('Info Entrada'!K228+'Info Entrada'!K229+'Info Entrada'!K235)/$A$8</f>
        <v>0</v>
      </c>
      <c r="I94" s="2806">
        <f ca="1">('Info Entrada'!L228+'Info Entrada'!L229+'Info Entrada'!L235)/$A$8</f>
        <v>0</v>
      </c>
      <c r="J94" s="2806">
        <f ca="1">('Info Entrada'!M228+'Info Entrada'!M229+'Info Entrada'!M235)/$A$8</f>
        <v>0</v>
      </c>
      <c r="K94" s="2806">
        <f ca="1">('Info Entrada'!N228+'Info Entrada'!N229+'Info Entrada'!N235)/$A$8</f>
        <v>0</v>
      </c>
      <c r="L94" s="2806">
        <f ca="1">('Info Entrada'!O228+'Info Entrada'!O229+'Info Entrada'!O235)/$A$8</f>
        <v>0</v>
      </c>
      <c r="M94" s="2806">
        <f ca="1">('Info Entrada'!P228+'Info Entrada'!P229+'Info Entrada'!P235)/$A$8</f>
        <v>0</v>
      </c>
      <c r="N94" s="2806">
        <f ca="1">('Info Entrada'!Q228+'Info Entrada'!Q229+'Info Entrada'!Q235)/$A$8</f>
        <v>0</v>
      </c>
      <c r="O94" s="2806">
        <f ca="1">('Info Entrada'!R228+'Info Entrada'!R229+'Info Entrada'!R235)/$A$8</f>
        <v>0</v>
      </c>
      <c r="P94" s="2806">
        <f ca="1">('Info Entrada'!S228+'Info Entrada'!S229+'Info Entrada'!S235)/$A$8</f>
        <v>0</v>
      </c>
      <c r="Q94" s="2806">
        <f ca="1">('Info Entrada'!T228+'Info Entrada'!T229+'Info Entrada'!T235)/$A$8</f>
        <v>0</v>
      </c>
      <c r="R94" s="2806">
        <f ca="1">('Info Entrada'!U228+'Info Entrada'!U229+'Info Entrada'!U235)/$A$8</f>
        <v>0</v>
      </c>
      <c r="S94" s="2806">
        <f ca="1">('Info Entrada'!V228+'Info Entrada'!V229+'Info Entrada'!V235)/$A$8</f>
        <v>0</v>
      </c>
      <c r="T94" s="2806">
        <f ca="1">('Info Entrada'!W228+'Info Entrada'!W229+'Info Entrada'!W235)/$A$8</f>
        <v>0</v>
      </c>
      <c r="U94" s="2804">
        <f>('Info Entrada'!F228+'Info Entrada'!F229+'Info Entrada'!F235)/$A$8</f>
        <v>0</v>
      </c>
      <c r="V94" s="2804">
        <f>('Info Entrada'!G228+'Info Entrada'!G229+'Info Entrada'!G235)/$A$8</f>
        <v>0</v>
      </c>
    </row>
    <row r="95" spans="1:22" x14ac:dyDescent="0.15">
      <c r="A95" s="2795" t="s">
        <v>1190</v>
      </c>
      <c r="B95" s="2796">
        <f>'Info Entrada'!C231/$A$8</f>
        <v>0</v>
      </c>
      <c r="C95" s="2796">
        <f>'Info Entrada'!D231/$A$8</f>
        <v>0</v>
      </c>
      <c r="D95" s="2797">
        <f>'Info Entrada'!E231/$A$8</f>
        <v>0</v>
      </c>
      <c r="E95" s="2796">
        <f>'Info Entrada'!H231/$A$8</f>
        <v>0</v>
      </c>
      <c r="F95" s="2798">
        <f>'Info Entrada'!I231/$A$8</f>
        <v>0</v>
      </c>
      <c r="G95" s="2798">
        <f>'Info Entrada'!J231/$A$8</f>
        <v>0</v>
      </c>
      <c r="H95" s="2798">
        <f>'Info Entrada'!K231/$A$8</f>
        <v>0</v>
      </c>
      <c r="I95" s="2798">
        <f>'Info Entrada'!L231/$A$8</f>
        <v>0</v>
      </c>
      <c r="J95" s="2798">
        <f>'Info Entrada'!M231/$A$8</f>
        <v>0</v>
      </c>
      <c r="K95" s="2798">
        <f>'Info Entrada'!N231/$A$8</f>
        <v>0</v>
      </c>
      <c r="L95" s="2798">
        <f>'Info Entrada'!O231/$A$8</f>
        <v>0</v>
      </c>
      <c r="M95" s="2798">
        <f>'Info Entrada'!P231/$A$8</f>
        <v>0</v>
      </c>
      <c r="N95" s="2798">
        <f>'Info Entrada'!Q231/$A$8</f>
        <v>0</v>
      </c>
      <c r="O95" s="2798">
        <f>'Info Entrada'!R231/$A$8</f>
        <v>0</v>
      </c>
      <c r="P95" s="2798">
        <f>'Info Entrada'!S231/$A$8</f>
        <v>0</v>
      </c>
      <c r="Q95" s="2798">
        <f>'Info Entrada'!T231/$A$8</f>
        <v>0</v>
      </c>
      <c r="R95" s="2798">
        <f>'Info Entrada'!U231/$A$8</f>
        <v>0</v>
      </c>
      <c r="S95" s="2798">
        <f>'Info Entrada'!V231/$A$8</f>
        <v>0</v>
      </c>
      <c r="T95" s="2798">
        <f>'Info Entrada'!W231/$A$8</f>
        <v>0</v>
      </c>
      <c r="U95" s="2796">
        <f>'Info Entrada'!F231/$A$8</f>
        <v>0</v>
      </c>
      <c r="V95" s="2796">
        <f>'Info Entrada'!G231/$A$8</f>
        <v>0</v>
      </c>
    </row>
    <row r="96" spans="1:22" x14ac:dyDescent="0.15">
      <c r="A96" s="2795" t="s">
        <v>481</v>
      </c>
      <c r="B96" s="2796">
        <f>('Info Entrada'!C230+'Info Entrada'!C232+'Info Entrada'!C234)/$A$8</f>
        <v>0</v>
      </c>
      <c r="C96" s="2796">
        <f>('Info Entrada'!D230+'Info Entrada'!D232+'Info Entrada'!D234)/$A$8</f>
        <v>0</v>
      </c>
      <c r="D96" s="2797">
        <f>('Info Entrada'!E230+'Info Entrada'!E232+'Info Entrada'!E234)/$A$8</f>
        <v>0</v>
      </c>
      <c r="E96" s="2796">
        <f>('Info Entrada'!H230+'Info Entrada'!H232+'Info Entrada'!H234)/$A$8</f>
        <v>0</v>
      </c>
      <c r="F96" s="2798">
        <f>('Info Entrada'!I230+'Info Entrada'!I232+'Info Entrada'!I234)/$A$8</f>
        <v>0</v>
      </c>
      <c r="G96" s="2798">
        <f>('Info Entrada'!J230+'Info Entrada'!J232+'Info Entrada'!J234)/$A$8</f>
        <v>0</v>
      </c>
      <c r="H96" s="2798">
        <f>('Info Entrada'!K230+'Info Entrada'!K232+'Info Entrada'!K234)/$A$8</f>
        <v>0</v>
      </c>
      <c r="I96" s="2798">
        <f>('Info Entrada'!L230+'Info Entrada'!L232+'Info Entrada'!L234)/$A$8</f>
        <v>0</v>
      </c>
      <c r="J96" s="2798">
        <f>('Info Entrada'!M230+'Info Entrada'!M232+'Info Entrada'!M234)/$A$8</f>
        <v>0</v>
      </c>
      <c r="K96" s="2798">
        <f>('Info Entrada'!N230+'Info Entrada'!N232+'Info Entrada'!N234)/$A$8</f>
        <v>0</v>
      </c>
      <c r="L96" s="2798">
        <f>('Info Entrada'!O230+'Info Entrada'!O232+'Info Entrada'!O234)/$A$8</f>
        <v>0</v>
      </c>
      <c r="M96" s="2798">
        <f>('Info Entrada'!P230+'Info Entrada'!P232+'Info Entrada'!P234)/$A$8</f>
        <v>0</v>
      </c>
      <c r="N96" s="2798">
        <f>('Info Entrada'!Q230+'Info Entrada'!Q232+'Info Entrada'!Q234)/$A$8</f>
        <v>0</v>
      </c>
      <c r="O96" s="2798">
        <f>('Info Entrada'!R230+'Info Entrada'!R232+'Info Entrada'!R234)/$A$8</f>
        <v>0</v>
      </c>
      <c r="P96" s="2798">
        <f>('Info Entrada'!S230+'Info Entrada'!S232+'Info Entrada'!S234)/$A$8</f>
        <v>0</v>
      </c>
      <c r="Q96" s="2798">
        <f>('Info Entrada'!T230+'Info Entrada'!T232+'Info Entrada'!T234)/$A$8</f>
        <v>0</v>
      </c>
      <c r="R96" s="2798">
        <f>('Info Entrada'!U230+'Info Entrada'!U232+'Info Entrada'!U234)/$A$8</f>
        <v>0</v>
      </c>
      <c r="S96" s="2798">
        <f>('Info Entrada'!V230+'Info Entrada'!V232+'Info Entrada'!V234)/$A$8</f>
        <v>0</v>
      </c>
      <c r="T96" s="2798">
        <f>('Info Entrada'!W230+'Info Entrada'!W232+'Info Entrada'!W234)/$A$8</f>
        <v>0</v>
      </c>
      <c r="U96" s="2796">
        <f>('Info Entrada'!F230+'Info Entrada'!F232+'Info Entrada'!F234)/$A$8</f>
        <v>0</v>
      </c>
      <c r="V96" s="2796">
        <f>('Info Entrada'!G230+'Info Entrada'!G232+'Info Entrada'!G234)/$A$8</f>
        <v>0</v>
      </c>
    </row>
    <row r="97" spans="1:22" ht="9.75" thickBot="1" x14ac:dyDescent="0.2">
      <c r="A97" s="2807" t="s">
        <v>1112</v>
      </c>
      <c r="B97" s="2808">
        <f>'Info Entrada'!C233/$A$8</f>
        <v>0</v>
      </c>
      <c r="C97" s="2808">
        <f>'Info Entrada'!D233/$A$8</f>
        <v>0</v>
      </c>
      <c r="D97" s="2809">
        <f>'Info Entrada'!E233/$A$8</f>
        <v>0</v>
      </c>
      <c r="E97" s="2808">
        <f>'Info Entrada'!H233/$A$8</f>
        <v>0</v>
      </c>
      <c r="F97" s="2810">
        <f>'Info Entrada'!I233/$A$8</f>
        <v>0</v>
      </c>
      <c r="G97" s="2810">
        <f>'Info Entrada'!J233/$A$8</f>
        <v>0</v>
      </c>
      <c r="H97" s="2810">
        <f>'Info Entrada'!K233/$A$8</f>
        <v>0</v>
      </c>
      <c r="I97" s="2810">
        <f>'Info Entrada'!L233/$A$8</f>
        <v>0</v>
      </c>
      <c r="J97" s="2810">
        <f>'Info Entrada'!M233/$A$8</f>
        <v>0</v>
      </c>
      <c r="K97" s="2810">
        <f>'Info Entrada'!N233/$A$8</f>
        <v>0</v>
      </c>
      <c r="L97" s="2810">
        <f>'Info Entrada'!O233/$A$8</f>
        <v>0</v>
      </c>
      <c r="M97" s="2810">
        <f>'Info Entrada'!P233/$A$8</f>
        <v>0</v>
      </c>
      <c r="N97" s="2810">
        <f>'Info Entrada'!Q233/$A$8</f>
        <v>0</v>
      </c>
      <c r="O97" s="2810">
        <f>'Info Entrada'!R233/$A$8</f>
        <v>0</v>
      </c>
      <c r="P97" s="2810">
        <f>'Info Entrada'!S233/$A$8</f>
        <v>0</v>
      </c>
      <c r="Q97" s="2810">
        <f>'Info Entrada'!T233/$A$8</f>
        <v>0</v>
      </c>
      <c r="R97" s="2810">
        <f>'Info Entrada'!U233/$A$8</f>
        <v>0</v>
      </c>
      <c r="S97" s="2810">
        <f>'Info Entrada'!V233/$A$8</f>
        <v>0</v>
      </c>
      <c r="T97" s="2810">
        <f>'Info Entrada'!W233/$A$8</f>
        <v>0</v>
      </c>
      <c r="U97" s="2808">
        <f>'Info Entrada'!F233/$A$8</f>
        <v>0</v>
      </c>
      <c r="V97" s="2808">
        <f>'Info Entrada'!G233/$A$8</f>
        <v>0</v>
      </c>
    </row>
    <row r="98" spans="1:22" ht="9.75" thickBot="1" x14ac:dyDescent="0.2">
      <c r="A98" s="2799" t="s">
        <v>1191</v>
      </c>
      <c r="B98" s="2835">
        <f>SUM(B94:B97)</f>
        <v>0</v>
      </c>
      <c r="C98" s="2835">
        <f>SUM(C94:C97)</f>
        <v>0</v>
      </c>
      <c r="D98" s="2836">
        <f>SUM(D94:D97)</f>
        <v>0</v>
      </c>
      <c r="E98" s="2835">
        <f t="shared" ref="E98:T98" ca="1" si="34">SUM(E94:E97)</f>
        <v>0</v>
      </c>
      <c r="F98" s="2838">
        <f t="shared" ca="1" si="34"/>
        <v>0</v>
      </c>
      <c r="G98" s="2838">
        <f t="shared" ca="1" si="34"/>
        <v>0</v>
      </c>
      <c r="H98" s="2838">
        <f t="shared" ca="1" si="34"/>
        <v>0</v>
      </c>
      <c r="I98" s="2838">
        <f t="shared" ca="1" si="34"/>
        <v>0</v>
      </c>
      <c r="J98" s="2838">
        <f t="shared" ca="1" si="34"/>
        <v>0</v>
      </c>
      <c r="K98" s="2838">
        <f t="shared" ca="1" si="34"/>
        <v>0</v>
      </c>
      <c r="L98" s="2838">
        <f t="shared" ca="1" si="34"/>
        <v>0</v>
      </c>
      <c r="M98" s="2838">
        <f t="shared" ca="1" si="34"/>
        <v>0</v>
      </c>
      <c r="N98" s="2838">
        <f t="shared" ca="1" si="34"/>
        <v>0</v>
      </c>
      <c r="O98" s="2838">
        <f t="shared" ca="1" si="34"/>
        <v>0</v>
      </c>
      <c r="P98" s="2838">
        <f t="shared" ca="1" si="34"/>
        <v>0</v>
      </c>
      <c r="Q98" s="2838">
        <f t="shared" ca="1" si="34"/>
        <v>0</v>
      </c>
      <c r="R98" s="2838">
        <f t="shared" ca="1" si="34"/>
        <v>0</v>
      </c>
      <c r="S98" s="2838">
        <f t="shared" ca="1" si="34"/>
        <v>0</v>
      </c>
      <c r="T98" s="2838">
        <f t="shared" ca="1" si="34"/>
        <v>0</v>
      </c>
      <c r="U98" s="2835">
        <f>SUM(U94:U97)</f>
        <v>0</v>
      </c>
      <c r="V98" s="2835">
        <f>SUM(V94:V97)</f>
        <v>0</v>
      </c>
    </row>
    <row r="99" spans="1:22" x14ac:dyDescent="0.15">
      <c r="A99" s="2803" t="s">
        <v>1113</v>
      </c>
      <c r="B99" s="2804">
        <f>SUM('Info Entrada'!C241:C244)/$A$8</f>
        <v>0</v>
      </c>
      <c r="C99" s="2804">
        <f>SUM('Info Entrada'!D241:D244)/$A$8</f>
        <v>0</v>
      </c>
      <c r="D99" s="2805">
        <f>SUM('Info Entrada'!E241:E244)/$A$8</f>
        <v>0</v>
      </c>
      <c r="E99" s="2804">
        <f ca="1">SUM('Info Entrada'!H241:H244)/$A$8</f>
        <v>0</v>
      </c>
      <c r="F99" s="2806">
        <f ca="1">SUM('Info Entrada'!I241:I244)/$A$8</f>
        <v>0</v>
      </c>
      <c r="G99" s="2806">
        <f ca="1">SUM('Info Entrada'!J241:J244)/$A$8</f>
        <v>0</v>
      </c>
      <c r="H99" s="2806">
        <f ca="1">SUM('Info Entrada'!K241:K244)/$A$8</f>
        <v>0</v>
      </c>
      <c r="I99" s="2806">
        <f ca="1">SUM('Info Entrada'!L241:L244)/$A$8</f>
        <v>0</v>
      </c>
      <c r="J99" s="2806">
        <f ca="1">SUM('Info Entrada'!M241:M244)/$A$8</f>
        <v>0</v>
      </c>
      <c r="K99" s="2806">
        <f ca="1">SUM('Info Entrada'!N241:N244)/$A$8</f>
        <v>0</v>
      </c>
      <c r="L99" s="2806">
        <f ca="1">SUM('Info Entrada'!O241:O244)/$A$8</f>
        <v>0</v>
      </c>
      <c r="M99" s="2806">
        <f ca="1">SUM('Info Entrada'!P241:P244)/$A$8</f>
        <v>0</v>
      </c>
      <c r="N99" s="2806">
        <f ca="1">SUM('Info Entrada'!Q241:Q244)/$A$8</f>
        <v>0</v>
      </c>
      <c r="O99" s="2806">
        <f ca="1">SUM('Info Entrada'!R241:R244)/$A$8</f>
        <v>0</v>
      </c>
      <c r="P99" s="2806">
        <f ca="1">SUM('Info Entrada'!S241:S244)/$A$8</f>
        <v>0</v>
      </c>
      <c r="Q99" s="2806">
        <f ca="1">SUM('Info Entrada'!T241:T244)/$A$8</f>
        <v>0</v>
      </c>
      <c r="R99" s="2806">
        <f ca="1">SUM('Info Entrada'!U241:U244)/$A$8</f>
        <v>0</v>
      </c>
      <c r="S99" s="2806">
        <f ca="1">SUM('Info Entrada'!V241:V244)/$A$8</f>
        <v>0</v>
      </c>
      <c r="T99" s="2806">
        <f ca="1">SUM('Info Entrada'!W241:W244)/$A$8</f>
        <v>0</v>
      </c>
      <c r="U99" s="2804">
        <f>SUM('Info Entrada'!F241:F244)/$A$8</f>
        <v>0</v>
      </c>
      <c r="V99" s="2804">
        <f>SUM('Info Entrada'!G241:G244)/$A$8</f>
        <v>0</v>
      </c>
    </row>
    <row r="100" spans="1:22" x14ac:dyDescent="0.15">
      <c r="A100" s="2795" t="s">
        <v>1114</v>
      </c>
      <c r="B100" s="2796">
        <f>SUM('Info Entrada'!C245:C250)/$A$8</f>
        <v>0</v>
      </c>
      <c r="C100" s="2796">
        <f>SUM('Info Entrada'!D245:D250)/$A$8</f>
        <v>0</v>
      </c>
      <c r="D100" s="2797">
        <f>SUM('Info Entrada'!E245:E250)/$A$8</f>
        <v>0</v>
      </c>
      <c r="E100" s="2796">
        <f ca="1">SUM('Info Entrada'!H245:H250)/$A$8</f>
        <v>0</v>
      </c>
      <c r="F100" s="2798">
        <f ca="1">SUM('Info Entrada'!I245:I250)/$A$8</f>
        <v>0</v>
      </c>
      <c r="G100" s="2798">
        <f ca="1">SUM('Info Entrada'!J245:J250)/$A$8</f>
        <v>0</v>
      </c>
      <c r="H100" s="2798">
        <f ca="1">SUM('Info Entrada'!K245:K250)/$A$8</f>
        <v>0</v>
      </c>
      <c r="I100" s="2798">
        <f ca="1">SUM('Info Entrada'!L245:L250)/$A$8</f>
        <v>0</v>
      </c>
      <c r="J100" s="2798">
        <f ca="1">SUM('Info Entrada'!M245:M250)/$A$8</f>
        <v>0</v>
      </c>
      <c r="K100" s="2798">
        <f ca="1">SUM('Info Entrada'!N245:N250)/$A$8</f>
        <v>0</v>
      </c>
      <c r="L100" s="2798">
        <f ca="1">SUM('Info Entrada'!O245:O250)/$A$8</f>
        <v>0</v>
      </c>
      <c r="M100" s="2798">
        <f ca="1">SUM('Info Entrada'!P245:P250)/$A$8</f>
        <v>0</v>
      </c>
      <c r="N100" s="2798">
        <f ca="1">SUM('Info Entrada'!Q245:Q250)/$A$8</f>
        <v>0</v>
      </c>
      <c r="O100" s="2798">
        <f ca="1">SUM('Info Entrada'!R245:R250)/$A$8</f>
        <v>0</v>
      </c>
      <c r="P100" s="2798">
        <f ca="1">SUM('Info Entrada'!S245:S250)/$A$8</f>
        <v>0</v>
      </c>
      <c r="Q100" s="2798">
        <f ca="1">SUM('Info Entrada'!T245:T250)/$A$8</f>
        <v>0</v>
      </c>
      <c r="R100" s="2798">
        <f ca="1">SUM('Info Entrada'!U245:U250)/$A$8</f>
        <v>0</v>
      </c>
      <c r="S100" s="2798">
        <f ca="1">SUM('Info Entrada'!V245:V250)/$A$8</f>
        <v>0</v>
      </c>
      <c r="T100" s="2798">
        <f ca="1">SUM('Info Entrada'!W245:W250)/$A$8</f>
        <v>0</v>
      </c>
      <c r="U100" s="2796">
        <f>SUM('Info Entrada'!F245:F250)/$A$8</f>
        <v>0</v>
      </c>
      <c r="V100" s="2796">
        <f>SUM('Info Entrada'!G245:G250)/$A$8</f>
        <v>0</v>
      </c>
    </row>
    <row r="101" spans="1:22" ht="9.75" thickBot="1" x14ac:dyDescent="0.2">
      <c r="A101" s="2781" t="s">
        <v>1115</v>
      </c>
      <c r="B101" s="2832">
        <v>0</v>
      </c>
      <c r="C101" s="2832">
        <v>0</v>
      </c>
      <c r="D101" s="2833">
        <v>0</v>
      </c>
      <c r="E101" s="2832">
        <v>0</v>
      </c>
      <c r="F101" s="2834">
        <v>0</v>
      </c>
      <c r="G101" s="2834">
        <v>0</v>
      </c>
      <c r="H101" s="2834">
        <v>0</v>
      </c>
      <c r="I101" s="2834">
        <v>0</v>
      </c>
      <c r="J101" s="2834">
        <v>0</v>
      </c>
      <c r="K101" s="2834">
        <v>0</v>
      </c>
      <c r="L101" s="2834">
        <v>0</v>
      </c>
      <c r="M101" s="2834">
        <v>0</v>
      </c>
      <c r="N101" s="2834">
        <v>0</v>
      </c>
      <c r="O101" s="2834">
        <v>0</v>
      </c>
      <c r="P101" s="2834">
        <v>0</v>
      </c>
      <c r="Q101" s="2834">
        <v>0</v>
      </c>
      <c r="R101" s="2834">
        <v>0</v>
      </c>
      <c r="S101" s="2834">
        <v>0</v>
      </c>
      <c r="T101" s="2834">
        <v>0</v>
      </c>
      <c r="U101" s="2832">
        <v>0</v>
      </c>
      <c r="V101" s="2832">
        <v>0</v>
      </c>
    </row>
    <row r="102" spans="1:22" ht="9.75" thickBot="1" x14ac:dyDescent="0.2">
      <c r="A102" s="2811" t="s">
        <v>464</v>
      </c>
      <c r="B102" s="2812">
        <f>SUM(B99:B101)</f>
        <v>0</v>
      </c>
      <c r="C102" s="2812">
        <f>SUM(C99:C101)</f>
        <v>0</v>
      </c>
      <c r="D102" s="2813">
        <f>SUM(D99:D101)</f>
        <v>0</v>
      </c>
      <c r="E102" s="2812">
        <f t="shared" ref="E102:T102" ca="1" si="35">SUM(E99:E101)</f>
        <v>0</v>
      </c>
      <c r="F102" s="2814">
        <f t="shared" ca="1" si="35"/>
        <v>0</v>
      </c>
      <c r="G102" s="2814">
        <f t="shared" ca="1" si="35"/>
        <v>0</v>
      </c>
      <c r="H102" s="2814">
        <f t="shared" ca="1" si="35"/>
        <v>0</v>
      </c>
      <c r="I102" s="2814">
        <f t="shared" ca="1" si="35"/>
        <v>0</v>
      </c>
      <c r="J102" s="2814">
        <f t="shared" ca="1" si="35"/>
        <v>0</v>
      </c>
      <c r="K102" s="2814">
        <f t="shared" ca="1" si="35"/>
        <v>0</v>
      </c>
      <c r="L102" s="2814">
        <f t="shared" ca="1" si="35"/>
        <v>0</v>
      </c>
      <c r="M102" s="2814">
        <f t="shared" ca="1" si="35"/>
        <v>0</v>
      </c>
      <c r="N102" s="2814">
        <f t="shared" ca="1" si="35"/>
        <v>0</v>
      </c>
      <c r="O102" s="2814">
        <f t="shared" ca="1" si="35"/>
        <v>0</v>
      </c>
      <c r="P102" s="2814">
        <f t="shared" ca="1" si="35"/>
        <v>0</v>
      </c>
      <c r="Q102" s="2814">
        <f t="shared" ca="1" si="35"/>
        <v>0</v>
      </c>
      <c r="R102" s="2814">
        <f t="shared" ca="1" si="35"/>
        <v>0</v>
      </c>
      <c r="S102" s="2814">
        <f t="shared" ca="1" si="35"/>
        <v>0</v>
      </c>
      <c r="T102" s="2814">
        <f t="shared" ca="1" si="35"/>
        <v>0</v>
      </c>
      <c r="U102" s="2812">
        <f>SUM(U99:U101)</f>
        <v>0</v>
      </c>
      <c r="V102" s="2812">
        <f>SUM(V99:V101)</f>
        <v>0</v>
      </c>
    </row>
    <row r="103" spans="1:22" ht="9.75" thickBot="1" x14ac:dyDescent="0.2">
      <c r="A103" s="2799" t="s">
        <v>1192</v>
      </c>
      <c r="B103" s="2835">
        <f>B93+B98</f>
        <v>0</v>
      </c>
      <c r="C103" s="2835">
        <f>C93+C98</f>
        <v>0</v>
      </c>
      <c r="D103" s="2836">
        <f>D93+D98</f>
        <v>0</v>
      </c>
      <c r="E103" s="2835">
        <f t="shared" ref="E103:T103" ca="1" si="36">E93+E98</f>
        <v>0</v>
      </c>
      <c r="F103" s="2838">
        <f t="shared" ca="1" si="36"/>
        <v>0</v>
      </c>
      <c r="G103" s="2838">
        <f t="shared" ca="1" si="36"/>
        <v>0</v>
      </c>
      <c r="H103" s="2838">
        <f t="shared" ca="1" si="36"/>
        <v>0</v>
      </c>
      <c r="I103" s="2838">
        <f t="shared" ca="1" si="36"/>
        <v>0</v>
      </c>
      <c r="J103" s="2838">
        <f t="shared" ca="1" si="36"/>
        <v>0</v>
      </c>
      <c r="K103" s="2838">
        <f t="shared" ca="1" si="36"/>
        <v>0</v>
      </c>
      <c r="L103" s="2838">
        <f t="shared" ca="1" si="36"/>
        <v>0</v>
      </c>
      <c r="M103" s="2838">
        <f t="shared" ca="1" si="36"/>
        <v>0</v>
      </c>
      <c r="N103" s="2838">
        <f t="shared" ca="1" si="36"/>
        <v>0</v>
      </c>
      <c r="O103" s="2838">
        <f t="shared" ca="1" si="36"/>
        <v>0</v>
      </c>
      <c r="P103" s="2838">
        <f t="shared" ca="1" si="36"/>
        <v>0</v>
      </c>
      <c r="Q103" s="2838">
        <f t="shared" ca="1" si="36"/>
        <v>0</v>
      </c>
      <c r="R103" s="2838">
        <f t="shared" ca="1" si="36"/>
        <v>0</v>
      </c>
      <c r="S103" s="2838">
        <f t="shared" ca="1" si="36"/>
        <v>0</v>
      </c>
      <c r="T103" s="2838">
        <f t="shared" ca="1" si="36"/>
        <v>0</v>
      </c>
      <c r="U103" s="2835">
        <f>U93+U98</f>
        <v>0</v>
      </c>
      <c r="V103" s="2835">
        <f>V93+V98</f>
        <v>0</v>
      </c>
    </row>
    <row r="104" spans="1:22" ht="9.75" thickBot="1" x14ac:dyDescent="0.2">
      <c r="A104" s="2799" t="s">
        <v>1193</v>
      </c>
      <c r="B104" s="2835">
        <f>B102+B103</f>
        <v>0</v>
      </c>
      <c r="C104" s="2835">
        <f>C102+C103</f>
        <v>0</v>
      </c>
      <c r="D104" s="2836">
        <f>D102+D103</f>
        <v>0</v>
      </c>
      <c r="E104" s="2835">
        <f t="shared" ref="E104:T104" ca="1" si="37">E102+E103</f>
        <v>0</v>
      </c>
      <c r="F104" s="2838">
        <f t="shared" ca="1" si="37"/>
        <v>0</v>
      </c>
      <c r="G104" s="2838">
        <f t="shared" ca="1" si="37"/>
        <v>0</v>
      </c>
      <c r="H104" s="2838">
        <f t="shared" ca="1" si="37"/>
        <v>0</v>
      </c>
      <c r="I104" s="2838">
        <f t="shared" ca="1" si="37"/>
        <v>0</v>
      </c>
      <c r="J104" s="2838">
        <f t="shared" ca="1" si="37"/>
        <v>0</v>
      </c>
      <c r="K104" s="2838">
        <f t="shared" ca="1" si="37"/>
        <v>0</v>
      </c>
      <c r="L104" s="2838">
        <f t="shared" ca="1" si="37"/>
        <v>0</v>
      </c>
      <c r="M104" s="2838">
        <f t="shared" ca="1" si="37"/>
        <v>0</v>
      </c>
      <c r="N104" s="2838">
        <f t="shared" ca="1" si="37"/>
        <v>0</v>
      </c>
      <c r="O104" s="2838">
        <f t="shared" ca="1" si="37"/>
        <v>0</v>
      </c>
      <c r="P104" s="2838">
        <f t="shared" ca="1" si="37"/>
        <v>0</v>
      </c>
      <c r="Q104" s="2838">
        <f t="shared" ca="1" si="37"/>
        <v>0</v>
      </c>
      <c r="R104" s="2838">
        <f t="shared" ca="1" si="37"/>
        <v>0</v>
      </c>
      <c r="S104" s="2838">
        <f t="shared" ca="1" si="37"/>
        <v>0</v>
      </c>
      <c r="T104" s="2838">
        <f t="shared" ca="1" si="37"/>
        <v>0</v>
      </c>
      <c r="U104" s="2835">
        <f>U102+U103</f>
        <v>0</v>
      </c>
      <c r="V104" s="2835">
        <f>V102+V103</f>
        <v>0</v>
      </c>
    </row>
    <row r="105" spans="1:22" ht="9.75" thickBot="1" x14ac:dyDescent="0.2">
      <c r="A105" s="2849" t="s">
        <v>1117</v>
      </c>
      <c r="B105" s="2850">
        <f>'Info Entrada'!C254/$A$8</f>
        <v>0</v>
      </c>
      <c r="C105" s="2850">
        <f>'Info Entrada'!D254/$A$8</f>
        <v>0</v>
      </c>
      <c r="D105" s="2851">
        <f>'Info Entrada'!E254/$A$8</f>
        <v>0</v>
      </c>
      <c r="E105" s="2852">
        <f>'Info Entrada'!H254/$A$8</f>
        <v>0</v>
      </c>
      <c r="F105" s="2852">
        <f>'Info Entrada'!I254/$A$8</f>
        <v>0</v>
      </c>
      <c r="G105" s="2852">
        <f>'Info Entrada'!J254/$A$8</f>
        <v>0</v>
      </c>
      <c r="H105" s="2852">
        <f>'Info Entrada'!K254/$A$8</f>
        <v>0</v>
      </c>
      <c r="I105" s="2852">
        <f>'Info Entrada'!L254/$A$8</f>
        <v>0</v>
      </c>
      <c r="J105" s="2852">
        <f>'Info Entrada'!M254/$A$8</f>
        <v>0</v>
      </c>
      <c r="K105" s="2852">
        <f>'Info Entrada'!N254/$A$8</f>
        <v>0</v>
      </c>
      <c r="L105" s="2852">
        <f>'Info Entrada'!O254/$A$8</f>
        <v>0</v>
      </c>
      <c r="M105" s="2852">
        <f>'Info Entrada'!P254/$A$8</f>
        <v>0</v>
      </c>
      <c r="N105" s="2852">
        <f>'Info Entrada'!Q254/$A$8</f>
        <v>0</v>
      </c>
      <c r="O105" s="2852">
        <f>'Info Entrada'!R254/$A$8</f>
        <v>0</v>
      </c>
      <c r="P105" s="2852">
        <f>'Info Entrada'!S254/$A$8</f>
        <v>0</v>
      </c>
      <c r="Q105" s="2852">
        <f>'Info Entrada'!T254/$A$8</f>
        <v>0</v>
      </c>
      <c r="R105" s="2852">
        <f>'Info Entrada'!U254/$A$8</f>
        <v>0</v>
      </c>
      <c r="S105" s="2852">
        <f>'Info Entrada'!V254/$A$8</f>
        <v>0</v>
      </c>
      <c r="T105" s="2852">
        <f>'Info Entrada'!W254/$A$8</f>
        <v>0</v>
      </c>
      <c r="U105" s="2850">
        <f>'Info Entrada'!F254/$A$8</f>
        <v>0</v>
      </c>
      <c r="V105" s="2850">
        <f>'Info Entrada'!G254/$A$8</f>
        <v>0</v>
      </c>
    </row>
    <row r="106" spans="1:22" ht="9.75" thickBot="1" x14ac:dyDescent="0.2">
      <c r="A106" s="2853" t="s">
        <v>1849</v>
      </c>
      <c r="B106" s="2787">
        <f t="shared" ref="B106:V106" si="38">B74</f>
        <v>42735</v>
      </c>
      <c r="C106" s="2787">
        <f t="shared" si="38"/>
        <v>43100</v>
      </c>
      <c r="D106" s="2788">
        <f t="shared" si="38"/>
        <v>43465</v>
      </c>
      <c r="E106" s="2789">
        <f t="shared" si="38"/>
        <v>43830</v>
      </c>
      <c r="F106" s="2789">
        <f t="shared" si="38"/>
        <v>44196</v>
      </c>
      <c r="G106" s="2789">
        <f t="shared" si="38"/>
        <v>44561</v>
      </c>
      <c r="H106" s="2789">
        <f t="shared" si="38"/>
        <v>44926</v>
      </c>
      <c r="I106" s="2789">
        <f t="shared" si="38"/>
        <v>45291</v>
      </c>
      <c r="J106" s="2789">
        <f t="shared" si="38"/>
        <v>45657</v>
      </c>
      <c r="K106" s="2789">
        <f t="shared" si="38"/>
        <v>46022</v>
      </c>
      <c r="L106" s="2789">
        <f t="shared" si="38"/>
        <v>46387</v>
      </c>
      <c r="M106" s="2789">
        <f t="shared" si="38"/>
        <v>46752</v>
      </c>
      <c r="N106" s="2789">
        <f t="shared" si="38"/>
        <v>47118</v>
      </c>
      <c r="O106" s="2789">
        <f t="shared" si="38"/>
        <v>47483</v>
      </c>
      <c r="P106" s="2789">
        <f t="shared" si="38"/>
        <v>47848</v>
      </c>
      <c r="Q106" s="2789">
        <f t="shared" si="38"/>
        <v>48213</v>
      </c>
      <c r="R106" s="2789">
        <f t="shared" si="38"/>
        <v>48579</v>
      </c>
      <c r="S106" s="2789">
        <f t="shared" si="38"/>
        <v>48944</v>
      </c>
      <c r="T106" s="2789">
        <f t="shared" si="38"/>
        <v>49309</v>
      </c>
      <c r="U106" s="2788">
        <f t="shared" si="38"/>
        <v>43281</v>
      </c>
      <c r="V106" s="2790">
        <f t="shared" si="38"/>
        <v>43646</v>
      </c>
    </row>
    <row r="107" spans="1:22" x14ac:dyDescent="0.15">
      <c r="A107" s="2803" t="s">
        <v>1134</v>
      </c>
      <c r="B107" s="2854">
        <f t="shared" ref="B107:V107" si="39">B88+B94</f>
        <v>0</v>
      </c>
      <c r="C107" s="2854">
        <f t="shared" si="39"/>
        <v>0</v>
      </c>
      <c r="D107" s="2855">
        <f t="shared" si="39"/>
        <v>0</v>
      </c>
      <c r="E107" s="2854">
        <f t="shared" ca="1" si="39"/>
        <v>0</v>
      </c>
      <c r="F107" s="2854">
        <f t="shared" ca="1" si="39"/>
        <v>0</v>
      </c>
      <c r="G107" s="2854">
        <f t="shared" ca="1" si="39"/>
        <v>0</v>
      </c>
      <c r="H107" s="2854">
        <f t="shared" ca="1" si="39"/>
        <v>0</v>
      </c>
      <c r="I107" s="2854">
        <f t="shared" ca="1" si="39"/>
        <v>0</v>
      </c>
      <c r="J107" s="2854">
        <f t="shared" ca="1" si="39"/>
        <v>0</v>
      </c>
      <c r="K107" s="2854">
        <f t="shared" ca="1" si="39"/>
        <v>0</v>
      </c>
      <c r="L107" s="2854">
        <f t="shared" ca="1" si="39"/>
        <v>0</v>
      </c>
      <c r="M107" s="2854">
        <f t="shared" ca="1" si="39"/>
        <v>0</v>
      </c>
      <c r="N107" s="2854">
        <f t="shared" ca="1" si="39"/>
        <v>0</v>
      </c>
      <c r="O107" s="2854">
        <f t="shared" ca="1" si="39"/>
        <v>0</v>
      </c>
      <c r="P107" s="2854">
        <f t="shared" ca="1" si="39"/>
        <v>0</v>
      </c>
      <c r="Q107" s="2854">
        <f t="shared" ca="1" si="39"/>
        <v>0</v>
      </c>
      <c r="R107" s="2854">
        <f t="shared" ca="1" si="39"/>
        <v>0</v>
      </c>
      <c r="S107" s="2854">
        <f t="shared" ca="1" si="39"/>
        <v>0</v>
      </c>
      <c r="T107" s="2854">
        <f t="shared" ca="1" si="39"/>
        <v>0</v>
      </c>
      <c r="U107" s="2854">
        <f t="shared" si="39"/>
        <v>0</v>
      </c>
      <c r="V107" s="2854">
        <f t="shared" si="39"/>
        <v>0</v>
      </c>
    </row>
    <row r="108" spans="1:22" x14ac:dyDescent="0.15">
      <c r="A108" s="2795" t="s">
        <v>1135</v>
      </c>
      <c r="B108" s="2796">
        <f t="shared" ref="B108:V108" si="40">B107-B75</f>
        <v>0</v>
      </c>
      <c r="C108" s="2796">
        <f t="shared" si="40"/>
        <v>0</v>
      </c>
      <c r="D108" s="2797">
        <f t="shared" si="40"/>
        <v>0</v>
      </c>
      <c r="E108" s="2796">
        <f t="shared" ca="1" si="40"/>
        <v>0</v>
      </c>
      <c r="F108" s="2796">
        <f t="shared" ca="1" si="40"/>
        <v>0</v>
      </c>
      <c r="G108" s="2796">
        <f t="shared" ca="1" si="40"/>
        <v>0</v>
      </c>
      <c r="H108" s="2796">
        <f t="shared" ca="1" si="40"/>
        <v>0</v>
      </c>
      <c r="I108" s="2796">
        <f t="shared" ca="1" si="40"/>
        <v>0</v>
      </c>
      <c r="J108" s="2796">
        <f t="shared" ca="1" si="40"/>
        <v>0</v>
      </c>
      <c r="K108" s="2796">
        <f t="shared" ca="1" si="40"/>
        <v>0</v>
      </c>
      <c r="L108" s="2796">
        <f t="shared" ca="1" si="40"/>
        <v>0</v>
      </c>
      <c r="M108" s="2796">
        <f t="shared" ca="1" si="40"/>
        <v>0</v>
      </c>
      <c r="N108" s="2796">
        <f t="shared" ca="1" si="40"/>
        <v>0</v>
      </c>
      <c r="O108" s="2796">
        <f t="shared" ca="1" si="40"/>
        <v>0</v>
      </c>
      <c r="P108" s="2796">
        <f t="shared" ca="1" si="40"/>
        <v>0</v>
      </c>
      <c r="Q108" s="2796">
        <f t="shared" ca="1" si="40"/>
        <v>0</v>
      </c>
      <c r="R108" s="2796">
        <f t="shared" ca="1" si="40"/>
        <v>0</v>
      </c>
      <c r="S108" s="2796">
        <f t="shared" ca="1" si="40"/>
        <v>0</v>
      </c>
      <c r="T108" s="2796">
        <f t="shared" ca="1" si="40"/>
        <v>0</v>
      </c>
      <c r="U108" s="2796">
        <f t="shared" si="40"/>
        <v>0</v>
      </c>
      <c r="V108" s="2796">
        <f t="shared" si="40"/>
        <v>0</v>
      </c>
    </row>
    <row r="109" spans="1:22" x14ac:dyDescent="0.15">
      <c r="A109" s="2795" t="s">
        <v>1136</v>
      </c>
      <c r="B109" s="2856">
        <f t="shared" ref="B109:V109" si="41">IF(B102&lt;&gt;0,B102/B104,0)</f>
        <v>0</v>
      </c>
      <c r="C109" s="2856">
        <f t="shared" si="41"/>
        <v>0</v>
      </c>
      <c r="D109" s="2857">
        <f t="shared" si="41"/>
        <v>0</v>
      </c>
      <c r="E109" s="2856">
        <f t="shared" ca="1" si="41"/>
        <v>0</v>
      </c>
      <c r="F109" s="2856">
        <f t="shared" ca="1" si="41"/>
        <v>0</v>
      </c>
      <c r="G109" s="2856">
        <f t="shared" ca="1" si="41"/>
        <v>0</v>
      </c>
      <c r="H109" s="2856">
        <f t="shared" ca="1" si="41"/>
        <v>0</v>
      </c>
      <c r="I109" s="2856">
        <f t="shared" ca="1" si="41"/>
        <v>0</v>
      </c>
      <c r="J109" s="2856">
        <f t="shared" ca="1" si="41"/>
        <v>0</v>
      </c>
      <c r="K109" s="2856">
        <f t="shared" ca="1" si="41"/>
        <v>0</v>
      </c>
      <c r="L109" s="2856">
        <f t="shared" ca="1" si="41"/>
        <v>0</v>
      </c>
      <c r="M109" s="2856">
        <f t="shared" ca="1" si="41"/>
        <v>0</v>
      </c>
      <c r="N109" s="2856">
        <f t="shared" ca="1" si="41"/>
        <v>0</v>
      </c>
      <c r="O109" s="2856">
        <f t="shared" ca="1" si="41"/>
        <v>0</v>
      </c>
      <c r="P109" s="2856">
        <f t="shared" ca="1" si="41"/>
        <v>0</v>
      </c>
      <c r="Q109" s="2856">
        <f t="shared" ca="1" si="41"/>
        <v>0</v>
      </c>
      <c r="R109" s="2856">
        <f t="shared" ca="1" si="41"/>
        <v>0</v>
      </c>
      <c r="S109" s="2856">
        <f t="shared" ca="1" si="41"/>
        <v>0</v>
      </c>
      <c r="T109" s="2856">
        <f t="shared" ca="1" si="41"/>
        <v>0</v>
      </c>
      <c r="U109" s="2856">
        <f t="shared" si="41"/>
        <v>0</v>
      </c>
      <c r="V109" s="2856">
        <f t="shared" si="41"/>
        <v>0</v>
      </c>
    </row>
    <row r="110" spans="1:22" x14ac:dyDescent="0.15">
      <c r="A110" s="2795" t="s">
        <v>454</v>
      </c>
      <c r="B110" s="2858">
        <f t="shared" ref="B110:V110" si="42">IF(B102&lt;&gt;0,B103/B102,0)</f>
        <v>0</v>
      </c>
      <c r="C110" s="2858">
        <f t="shared" si="42"/>
        <v>0</v>
      </c>
      <c r="D110" s="2859">
        <f t="shared" si="42"/>
        <v>0</v>
      </c>
      <c r="E110" s="2858">
        <f t="shared" ca="1" si="42"/>
        <v>0</v>
      </c>
      <c r="F110" s="2858">
        <f t="shared" ca="1" si="42"/>
        <v>0</v>
      </c>
      <c r="G110" s="2858">
        <f t="shared" ca="1" si="42"/>
        <v>0</v>
      </c>
      <c r="H110" s="2858">
        <f t="shared" ca="1" si="42"/>
        <v>0</v>
      </c>
      <c r="I110" s="2858">
        <f t="shared" ca="1" si="42"/>
        <v>0</v>
      </c>
      <c r="J110" s="2858">
        <f t="shared" ca="1" si="42"/>
        <v>0</v>
      </c>
      <c r="K110" s="2858">
        <f t="shared" ca="1" si="42"/>
        <v>0</v>
      </c>
      <c r="L110" s="2858">
        <f t="shared" ca="1" si="42"/>
        <v>0</v>
      </c>
      <c r="M110" s="2858">
        <f t="shared" ca="1" si="42"/>
        <v>0</v>
      </c>
      <c r="N110" s="2858">
        <f t="shared" ca="1" si="42"/>
        <v>0</v>
      </c>
      <c r="O110" s="2858">
        <f t="shared" ca="1" si="42"/>
        <v>0</v>
      </c>
      <c r="P110" s="2858">
        <f t="shared" ca="1" si="42"/>
        <v>0</v>
      </c>
      <c r="Q110" s="2858">
        <f t="shared" ca="1" si="42"/>
        <v>0</v>
      </c>
      <c r="R110" s="2858">
        <f t="shared" ca="1" si="42"/>
        <v>0</v>
      </c>
      <c r="S110" s="2858">
        <f t="shared" ca="1" si="42"/>
        <v>0</v>
      </c>
      <c r="T110" s="2858">
        <f t="shared" ca="1" si="42"/>
        <v>0</v>
      </c>
      <c r="U110" s="2858">
        <f t="shared" si="42"/>
        <v>0</v>
      </c>
      <c r="V110" s="2858">
        <f t="shared" si="42"/>
        <v>0</v>
      </c>
    </row>
    <row r="111" spans="1:22" x14ac:dyDescent="0.15">
      <c r="A111" s="2795" t="s">
        <v>1137</v>
      </c>
      <c r="B111" s="2858">
        <f t="shared" ref="B111:V111" si="43">IFERROR(IF(B102&lt;&gt;0,B108/B102,0),0)</f>
        <v>0</v>
      </c>
      <c r="C111" s="2858">
        <f t="shared" si="43"/>
        <v>0</v>
      </c>
      <c r="D111" s="2859">
        <f t="shared" si="43"/>
        <v>0</v>
      </c>
      <c r="E111" s="2858">
        <f t="shared" ca="1" si="43"/>
        <v>0</v>
      </c>
      <c r="F111" s="2858">
        <f t="shared" ca="1" si="43"/>
        <v>0</v>
      </c>
      <c r="G111" s="2858">
        <f t="shared" ca="1" si="43"/>
        <v>0</v>
      </c>
      <c r="H111" s="2858">
        <f t="shared" ca="1" si="43"/>
        <v>0</v>
      </c>
      <c r="I111" s="2858">
        <f t="shared" ca="1" si="43"/>
        <v>0</v>
      </c>
      <c r="J111" s="2858">
        <f t="shared" ca="1" si="43"/>
        <v>0</v>
      </c>
      <c r="K111" s="2858">
        <f t="shared" ca="1" si="43"/>
        <v>0</v>
      </c>
      <c r="L111" s="2858">
        <f t="shared" ca="1" si="43"/>
        <v>0</v>
      </c>
      <c r="M111" s="2858">
        <f t="shared" ca="1" si="43"/>
        <v>0</v>
      </c>
      <c r="N111" s="2858">
        <f t="shared" ca="1" si="43"/>
        <v>0</v>
      </c>
      <c r="O111" s="2858">
        <f t="shared" ca="1" si="43"/>
        <v>0</v>
      </c>
      <c r="P111" s="2858">
        <f t="shared" ca="1" si="43"/>
        <v>0</v>
      </c>
      <c r="Q111" s="2858">
        <f t="shared" ca="1" si="43"/>
        <v>0</v>
      </c>
      <c r="R111" s="2858">
        <f t="shared" ca="1" si="43"/>
        <v>0</v>
      </c>
      <c r="S111" s="2858">
        <f t="shared" ca="1" si="43"/>
        <v>0</v>
      </c>
      <c r="T111" s="2858">
        <f t="shared" ca="1" si="43"/>
        <v>0</v>
      </c>
      <c r="U111" s="2858">
        <f t="shared" si="43"/>
        <v>0</v>
      </c>
      <c r="V111" s="2858">
        <f t="shared" si="43"/>
        <v>0</v>
      </c>
    </row>
    <row r="112" spans="1:22" x14ac:dyDescent="0.15">
      <c r="A112" s="2795" t="s">
        <v>1860</v>
      </c>
      <c r="B112" s="2860">
        <f t="shared" ref="B112:V112" si="44">IF(B107&lt;&gt;0,B107/(B19/B141*12),0)</f>
        <v>0</v>
      </c>
      <c r="C112" s="2860">
        <f t="shared" si="44"/>
        <v>0</v>
      </c>
      <c r="D112" s="2861">
        <f t="shared" si="44"/>
        <v>0</v>
      </c>
      <c r="E112" s="2860">
        <f t="shared" ca="1" si="44"/>
        <v>0</v>
      </c>
      <c r="F112" s="2860">
        <f t="shared" ca="1" si="44"/>
        <v>0</v>
      </c>
      <c r="G112" s="2860">
        <f t="shared" ca="1" si="44"/>
        <v>0</v>
      </c>
      <c r="H112" s="2860">
        <f t="shared" ca="1" si="44"/>
        <v>0</v>
      </c>
      <c r="I112" s="2860">
        <f t="shared" ca="1" si="44"/>
        <v>0</v>
      </c>
      <c r="J112" s="2860">
        <f t="shared" ca="1" si="44"/>
        <v>0</v>
      </c>
      <c r="K112" s="2860">
        <f t="shared" ca="1" si="44"/>
        <v>0</v>
      </c>
      <c r="L112" s="2860">
        <f t="shared" ca="1" si="44"/>
        <v>0</v>
      </c>
      <c r="M112" s="2860">
        <f t="shared" ca="1" si="44"/>
        <v>0</v>
      </c>
      <c r="N112" s="2860">
        <f t="shared" ca="1" si="44"/>
        <v>0</v>
      </c>
      <c r="O112" s="2860">
        <f t="shared" ca="1" si="44"/>
        <v>0</v>
      </c>
      <c r="P112" s="2860">
        <f t="shared" ca="1" si="44"/>
        <v>0</v>
      </c>
      <c r="Q112" s="2860">
        <f t="shared" ca="1" si="44"/>
        <v>0</v>
      </c>
      <c r="R112" s="2860">
        <f t="shared" ca="1" si="44"/>
        <v>0</v>
      </c>
      <c r="S112" s="2860">
        <f t="shared" ca="1" si="44"/>
        <v>0</v>
      </c>
      <c r="T112" s="2860">
        <f t="shared" ca="1" si="44"/>
        <v>0</v>
      </c>
      <c r="U112" s="2860">
        <f t="shared" si="44"/>
        <v>0</v>
      </c>
      <c r="V112" s="2860">
        <f t="shared" si="44"/>
        <v>0</v>
      </c>
    </row>
    <row r="113" spans="1:22" x14ac:dyDescent="0.15">
      <c r="A113" s="2795" t="s">
        <v>1094</v>
      </c>
      <c r="B113" s="2858">
        <f t="shared" ref="B113:U113" si="45">IF(B108&lt;&gt;0,B108/(B19/B141*12),0)</f>
        <v>0</v>
      </c>
      <c r="C113" s="2858">
        <f t="shared" si="45"/>
        <v>0</v>
      </c>
      <c r="D113" s="2859">
        <f t="shared" si="45"/>
        <v>0</v>
      </c>
      <c r="E113" s="2858">
        <f t="shared" ca="1" si="45"/>
        <v>0</v>
      </c>
      <c r="F113" s="2858">
        <f t="shared" ca="1" si="45"/>
        <v>0</v>
      </c>
      <c r="G113" s="2858">
        <f t="shared" ca="1" si="45"/>
        <v>0</v>
      </c>
      <c r="H113" s="2858">
        <f t="shared" ca="1" si="45"/>
        <v>0</v>
      </c>
      <c r="I113" s="2858">
        <f t="shared" ca="1" si="45"/>
        <v>0</v>
      </c>
      <c r="J113" s="2858">
        <f t="shared" ca="1" si="45"/>
        <v>0</v>
      </c>
      <c r="K113" s="2858">
        <f t="shared" ca="1" si="45"/>
        <v>0</v>
      </c>
      <c r="L113" s="2858">
        <f t="shared" ca="1" si="45"/>
        <v>0</v>
      </c>
      <c r="M113" s="2858">
        <f t="shared" ca="1" si="45"/>
        <v>0</v>
      </c>
      <c r="N113" s="2858">
        <f t="shared" ca="1" si="45"/>
        <v>0</v>
      </c>
      <c r="O113" s="2858">
        <f t="shared" ca="1" si="45"/>
        <v>0</v>
      </c>
      <c r="P113" s="2858">
        <f t="shared" ca="1" si="45"/>
        <v>0</v>
      </c>
      <c r="Q113" s="2858">
        <f t="shared" ca="1" si="45"/>
        <v>0</v>
      </c>
      <c r="R113" s="2858">
        <f t="shared" ca="1" si="45"/>
        <v>0</v>
      </c>
      <c r="S113" s="2858">
        <f t="shared" ca="1" si="45"/>
        <v>0</v>
      </c>
      <c r="T113" s="2858">
        <f t="shared" ca="1" si="45"/>
        <v>0</v>
      </c>
      <c r="U113" s="2858">
        <f t="shared" si="45"/>
        <v>0</v>
      </c>
      <c r="V113" s="2858">
        <v>0</v>
      </c>
    </row>
    <row r="114" spans="1:22" ht="11.25" x14ac:dyDescent="0.2">
      <c r="A114" s="2862" t="s">
        <v>1138</v>
      </c>
      <c r="B114" s="2938" t="s">
        <v>1087</v>
      </c>
      <c r="C114" s="2938" t="str">
        <f>IFERROR(IF(C56=0,"n.d.",C108/C56),0)</f>
        <v>n.d.</v>
      </c>
      <c r="D114" s="2859" t="str">
        <f>IFERROR(IF(D56=0,"n.d.",D108/D56),0)</f>
        <v>n.d.</v>
      </c>
      <c r="E114" s="2858" t="str">
        <f t="shared" ref="E114:T114" ca="1" si="46">IFERROR(IF(E60=0,"n.d.",E108/E60),0)</f>
        <v>n.d.</v>
      </c>
      <c r="F114" s="2858" t="str">
        <f t="shared" ca="1" si="46"/>
        <v>n.d.</v>
      </c>
      <c r="G114" s="2858" t="str">
        <f t="shared" ca="1" si="46"/>
        <v>n.d.</v>
      </c>
      <c r="H114" s="2858" t="str">
        <f t="shared" ca="1" si="46"/>
        <v>n.d.</v>
      </c>
      <c r="I114" s="2858" t="str">
        <f t="shared" ca="1" si="46"/>
        <v>n.d.</v>
      </c>
      <c r="J114" s="2858" t="str">
        <f t="shared" ca="1" si="46"/>
        <v>n.d.</v>
      </c>
      <c r="K114" s="2858" t="str">
        <f t="shared" ca="1" si="46"/>
        <v>n.d.</v>
      </c>
      <c r="L114" s="2858" t="str">
        <f t="shared" ca="1" si="46"/>
        <v>n.d.</v>
      </c>
      <c r="M114" s="2858" t="str">
        <f t="shared" ca="1" si="46"/>
        <v>n.d.</v>
      </c>
      <c r="N114" s="2858" t="str">
        <f t="shared" ca="1" si="46"/>
        <v>n.d.</v>
      </c>
      <c r="O114" s="2858" t="str">
        <f t="shared" ca="1" si="46"/>
        <v>n.d.</v>
      </c>
      <c r="P114" s="2858" t="str">
        <f t="shared" ca="1" si="46"/>
        <v>n.d.</v>
      </c>
      <c r="Q114" s="2858" t="str">
        <f t="shared" ca="1" si="46"/>
        <v>n.d.</v>
      </c>
      <c r="R114" s="2858" t="str">
        <f t="shared" ca="1" si="46"/>
        <v>n.d.</v>
      </c>
      <c r="S114" s="2858" t="str">
        <f t="shared" ca="1" si="46"/>
        <v>n.d.</v>
      </c>
      <c r="T114" s="2858" t="str">
        <f t="shared" ca="1" si="46"/>
        <v>n.d.</v>
      </c>
      <c r="U114" s="2858">
        <v>0</v>
      </c>
      <c r="V114" s="2858">
        <v>0</v>
      </c>
    </row>
    <row r="115" spans="1:22" x14ac:dyDescent="0.15">
      <c r="A115" s="2795" t="s">
        <v>397</v>
      </c>
      <c r="B115" s="2858">
        <f t="shared" ref="B115:V115" si="47">IF(B80&lt;&gt;0,B80/B93,0)</f>
        <v>0</v>
      </c>
      <c r="C115" s="2858">
        <f t="shared" si="47"/>
        <v>0</v>
      </c>
      <c r="D115" s="2859">
        <f t="shared" si="47"/>
        <v>0</v>
      </c>
      <c r="E115" s="2858">
        <f t="shared" ca="1" si="47"/>
        <v>0</v>
      </c>
      <c r="F115" s="2858">
        <f t="shared" ca="1" si="47"/>
        <v>0</v>
      </c>
      <c r="G115" s="2858">
        <f t="shared" ca="1" si="47"/>
        <v>0</v>
      </c>
      <c r="H115" s="2858">
        <f t="shared" ca="1" si="47"/>
        <v>0</v>
      </c>
      <c r="I115" s="2858">
        <f t="shared" ca="1" si="47"/>
        <v>0</v>
      </c>
      <c r="J115" s="2858">
        <f t="shared" ca="1" si="47"/>
        <v>0</v>
      </c>
      <c r="K115" s="2858">
        <f t="shared" ca="1" si="47"/>
        <v>0</v>
      </c>
      <c r="L115" s="2858">
        <f t="shared" ca="1" si="47"/>
        <v>0</v>
      </c>
      <c r="M115" s="2858">
        <f t="shared" ca="1" si="47"/>
        <v>0</v>
      </c>
      <c r="N115" s="2858">
        <f t="shared" ca="1" si="47"/>
        <v>0</v>
      </c>
      <c r="O115" s="2858">
        <f t="shared" ca="1" si="47"/>
        <v>0</v>
      </c>
      <c r="P115" s="2858">
        <f t="shared" ca="1" si="47"/>
        <v>0</v>
      </c>
      <c r="Q115" s="2858">
        <f t="shared" ca="1" si="47"/>
        <v>0</v>
      </c>
      <c r="R115" s="2858">
        <f t="shared" ca="1" si="47"/>
        <v>0</v>
      </c>
      <c r="S115" s="2858">
        <f t="shared" ca="1" si="47"/>
        <v>0</v>
      </c>
      <c r="T115" s="2858">
        <f t="shared" ca="1" si="47"/>
        <v>0</v>
      </c>
      <c r="U115" s="2858">
        <f t="shared" si="47"/>
        <v>0</v>
      </c>
      <c r="V115" s="2858">
        <f t="shared" si="47"/>
        <v>0</v>
      </c>
    </row>
    <row r="116" spans="1:22" x14ac:dyDescent="0.15">
      <c r="A116" s="2795" t="s">
        <v>1139</v>
      </c>
      <c r="B116" s="2858">
        <f t="shared" ref="B116:V116" si="48">IF(B93&lt;&gt;0,(B75+B76)/B93,0)</f>
        <v>0</v>
      </c>
      <c r="C116" s="2858">
        <f t="shared" si="48"/>
        <v>0</v>
      </c>
      <c r="D116" s="2859">
        <f t="shared" si="48"/>
        <v>0</v>
      </c>
      <c r="E116" s="2858">
        <f t="shared" ca="1" si="48"/>
        <v>0</v>
      </c>
      <c r="F116" s="2858">
        <f t="shared" ca="1" si="48"/>
        <v>0</v>
      </c>
      <c r="G116" s="2858">
        <f t="shared" ca="1" si="48"/>
        <v>0</v>
      </c>
      <c r="H116" s="2858">
        <f t="shared" ca="1" si="48"/>
        <v>0</v>
      </c>
      <c r="I116" s="2858">
        <f t="shared" ca="1" si="48"/>
        <v>0</v>
      </c>
      <c r="J116" s="2858">
        <f t="shared" ca="1" si="48"/>
        <v>0</v>
      </c>
      <c r="K116" s="2858">
        <f t="shared" ca="1" si="48"/>
        <v>0</v>
      </c>
      <c r="L116" s="2858">
        <f t="shared" ca="1" si="48"/>
        <v>0</v>
      </c>
      <c r="M116" s="2858">
        <f t="shared" ca="1" si="48"/>
        <v>0</v>
      </c>
      <c r="N116" s="2858">
        <f t="shared" ca="1" si="48"/>
        <v>0</v>
      </c>
      <c r="O116" s="2858">
        <f t="shared" ca="1" si="48"/>
        <v>0</v>
      </c>
      <c r="P116" s="2858">
        <f t="shared" ca="1" si="48"/>
        <v>0</v>
      </c>
      <c r="Q116" s="2858">
        <f t="shared" ca="1" si="48"/>
        <v>0</v>
      </c>
      <c r="R116" s="2858">
        <f t="shared" ca="1" si="48"/>
        <v>0</v>
      </c>
      <c r="S116" s="2858">
        <f t="shared" ca="1" si="48"/>
        <v>0</v>
      </c>
      <c r="T116" s="2858">
        <f t="shared" ca="1" si="48"/>
        <v>0</v>
      </c>
      <c r="U116" s="2858">
        <f t="shared" si="48"/>
        <v>0</v>
      </c>
      <c r="V116" s="2858">
        <f t="shared" si="48"/>
        <v>0</v>
      </c>
    </row>
    <row r="117" spans="1:22" x14ac:dyDescent="0.15">
      <c r="A117" s="2786" t="s">
        <v>1194</v>
      </c>
      <c r="B117" s="2863">
        <f t="shared" ref="B117:T117" si="49">B106</f>
        <v>42735</v>
      </c>
      <c r="C117" s="2863">
        <f t="shared" si="49"/>
        <v>43100</v>
      </c>
      <c r="D117" s="2864">
        <f t="shared" si="49"/>
        <v>43465</v>
      </c>
      <c r="E117" s="2865">
        <f t="shared" si="49"/>
        <v>43830</v>
      </c>
      <c r="F117" s="2865">
        <f t="shared" si="49"/>
        <v>44196</v>
      </c>
      <c r="G117" s="2865">
        <f t="shared" si="49"/>
        <v>44561</v>
      </c>
      <c r="H117" s="2865">
        <f t="shared" si="49"/>
        <v>44926</v>
      </c>
      <c r="I117" s="2865">
        <f t="shared" si="49"/>
        <v>45291</v>
      </c>
      <c r="J117" s="2865">
        <f t="shared" si="49"/>
        <v>45657</v>
      </c>
      <c r="K117" s="2865">
        <f t="shared" si="49"/>
        <v>46022</v>
      </c>
      <c r="L117" s="2865">
        <f t="shared" si="49"/>
        <v>46387</v>
      </c>
      <c r="M117" s="2865">
        <f t="shared" si="49"/>
        <v>46752</v>
      </c>
      <c r="N117" s="2865">
        <f t="shared" si="49"/>
        <v>47118</v>
      </c>
      <c r="O117" s="2865">
        <f t="shared" si="49"/>
        <v>47483</v>
      </c>
      <c r="P117" s="2865">
        <f t="shared" si="49"/>
        <v>47848</v>
      </c>
      <c r="Q117" s="2865">
        <f t="shared" si="49"/>
        <v>48213</v>
      </c>
      <c r="R117" s="2865">
        <f t="shared" si="49"/>
        <v>48579</v>
      </c>
      <c r="S117" s="2865">
        <f t="shared" si="49"/>
        <v>48944</v>
      </c>
      <c r="T117" s="2865">
        <f t="shared" si="49"/>
        <v>49309</v>
      </c>
      <c r="U117" s="2864">
        <f>U106</f>
        <v>43281</v>
      </c>
      <c r="V117" s="2864">
        <f>V106</f>
        <v>43646</v>
      </c>
    </row>
    <row r="118" spans="1:22" x14ac:dyDescent="0.15">
      <c r="A118" s="2795" t="s">
        <v>1197</v>
      </c>
      <c r="B118" s="2866">
        <f t="shared" ref="B118:V118" si="50">IF(B35&lt;&gt;0,B35/B102,0)</f>
        <v>0</v>
      </c>
      <c r="C118" s="2866">
        <f t="shared" si="50"/>
        <v>0</v>
      </c>
      <c r="D118" s="2867">
        <f t="shared" si="50"/>
        <v>0</v>
      </c>
      <c r="E118" s="2866">
        <f t="shared" ca="1" si="50"/>
        <v>0</v>
      </c>
      <c r="F118" s="2866">
        <f t="shared" ca="1" si="50"/>
        <v>0</v>
      </c>
      <c r="G118" s="2866">
        <f t="shared" ca="1" si="50"/>
        <v>0</v>
      </c>
      <c r="H118" s="2866">
        <f t="shared" ca="1" si="50"/>
        <v>0</v>
      </c>
      <c r="I118" s="2866">
        <f t="shared" ca="1" si="50"/>
        <v>0</v>
      </c>
      <c r="J118" s="2866">
        <f t="shared" ca="1" si="50"/>
        <v>0</v>
      </c>
      <c r="K118" s="2866">
        <f t="shared" ca="1" si="50"/>
        <v>0</v>
      </c>
      <c r="L118" s="2866">
        <f t="shared" ca="1" si="50"/>
        <v>0</v>
      </c>
      <c r="M118" s="2866">
        <f t="shared" ca="1" si="50"/>
        <v>0</v>
      </c>
      <c r="N118" s="2866">
        <f t="shared" ca="1" si="50"/>
        <v>0</v>
      </c>
      <c r="O118" s="2866">
        <f t="shared" ca="1" si="50"/>
        <v>0</v>
      </c>
      <c r="P118" s="2866">
        <f t="shared" ca="1" si="50"/>
        <v>0</v>
      </c>
      <c r="Q118" s="2866">
        <f t="shared" ca="1" si="50"/>
        <v>0</v>
      </c>
      <c r="R118" s="2866">
        <f t="shared" ca="1" si="50"/>
        <v>0</v>
      </c>
      <c r="S118" s="2866">
        <f t="shared" ca="1" si="50"/>
        <v>0</v>
      </c>
      <c r="T118" s="2866">
        <f t="shared" ca="1" si="50"/>
        <v>0</v>
      </c>
      <c r="U118" s="2866">
        <f t="shared" si="50"/>
        <v>0</v>
      </c>
      <c r="V118" s="2866">
        <f t="shared" si="50"/>
        <v>0</v>
      </c>
    </row>
    <row r="119" spans="1:22" x14ac:dyDescent="0.15">
      <c r="A119" s="2795" t="s">
        <v>1198</v>
      </c>
      <c r="B119" s="2866">
        <f t="shared" ref="B119:V119" si="51">IF(B35&lt;&gt;0,B35/B86,0)</f>
        <v>0</v>
      </c>
      <c r="C119" s="2866">
        <f t="shared" si="51"/>
        <v>0</v>
      </c>
      <c r="D119" s="2867">
        <f t="shared" si="51"/>
        <v>0</v>
      </c>
      <c r="E119" s="2866">
        <f t="shared" ca="1" si="51"/>
        <v>0</v>
      </c>
      <c r="F119" s="2866">
        <f t="shared" ca="1" si="51"/>
        <v>0</v>
      </c>
      <c r="G119" s="2866">
        <f t="shared" ca="1" si="51"/>
        <v>0</v>
      </c>
      <c r="H119" s="2866">
        <f t="shared" ca="1" si="51"/>
        <v>0</v>
      </c>
      <c r="I119" s="2866">
        <f t="shared" ca="1" si="51"/>
        <v>0</v>
      </c>
      <c r="J119" s="2866">
        <f t="shared" ca="1" si="51"/>
        <v>0</v>
      </c>
      <c r="K119" s="2866">
        <f t="shared" ca="1" si="51"/>
        <v>0</v>
      </c>
      <c r="L119" s="2866">
        <f t="shared" ca="1" si="51"/>
        <v>0</v>
      </c>
      <c r="M119" s="2866">
        <f t="shared" ca="1" si="51"/>
        <v>0</v>
      </c>
      <c r="N119" s="2866">
        <f t="shared" ca="1" si="51"/>
        <v>0</v>
      </c>
      <c r="O119" s="2866">
        <f t="shared" ca="1" si="51"/>
        <v>0</v>
      </c>
      <c r="P119" s="2866">
        <f t="shared" ca="1" si="51"/>
        <v>0</v>
      </c>
      <c r="Q119" s="2866">
        <f t="shared" ca="1" si="51"/>
        <v>0</v>
      </c>
      <c r="R119" s="2866">
        <f t="shared" ca="1" si="51"/>
        <v>0</v>
      </c>
      <c r="S119" s="2866">
        <f t="shared" ca="1" si="51"/>
        <v>0</v>
      </c>
      <c r="T119" s="2866">
        <f t="shared" ca="1" si="51"/>
        <v>0</v>
      </c>
      <c r="U119" s="2866">
        <f t="shared" si="51"/>
        <v>0</v>
      </c>
      <c r="V119" s="2866">
        <f t="shared" si="51"/>
        <v>0</v>
      </c>
    </row>
    <row r="120" spans="1:22" x14ac:dyDescent="0.15">
      <c r="A120" s="2795" t="s">
        <v>1140</v>
      </c>
      <c r="B120" s="2860">
        <f t="shared" ref="B120:V120" si="52">IF(B26&lt;&gt;0,B19/-B26,0)</f>
        <v>0</v>
      </c>
      <c r="C120" s="2860">
        <f t="shared" si="52"/>
        <v>0</v>
      </c>
      <c r="D120" s="2861">
        <f t="shared" si="52"/>
        <v>0</v>
      </c>
      <c r="E120" s="2860">
        <f t="shared" ca="1" si="52"/>
        <v>0</v>
      </c>
      <c r="F120" s="2860">
        <f t="shared" ca="1" si="52"/>
        <v>0</v>
      </c>
      <c r="G120" s="2860">
        <f t="shared" ca="1" si="52"/>
        <v>0</v>
      </c>
      <c r="H120" s="2860">
        <f t="shared" ca="1" si="52"/>
        <v>0</v>
      </c>
      <c r="I120" s="2860">
        <f t="shared" ca="1" si="52"/>
        <v>0</v>
      </c>
      <c r="J120" s="2860">
        <f t="shared" ca="1" si="52"/>
        <v>0</v>
      </c>
      <c r="K120" s="2860">
        <f t="shared" ca="1" si="52"/>
        <v>0</v>
      </c>
      <c r="L120" s="2860">
        <f t="shared" ca="1" si="52"/>
        <v>0</v>
      </c>
      <c r="M120" s="2860">
        <f t="shared" ca="1" si="52"/>
        <v>0</v>
      </c>
      <c r="N120" s="2860">
        <f t="shared" ca="1" si="52"/>
        <v>0</v>
      </c>
      <c r="O120" s="2860">
        <f t="shared" ca="1" si="52"/>
        <v>0</v>
      </c>
      <c r="P120" s="2860">
        <f t="shared" ca="1" si="52"/>
        <v>0</v>
      </c>
      <c r="Q120" s="2860">
        <f t="shared" ca="1" si="52"/>
        <v>0</v>
      </c>
      <c r="R120" s="2860">
        <f t="shared" ca="1" si="52"/>
        <v>0</v>
      </c>
      <c r="S120" s="2860">
        <f t="shared" ca="1" si="52"/>
        <v>0</v>
      </c>
      <c r="T120" s="2860">
        <f t="shared" ca="1" si="52"/>
        <v>0</v>
      </c>
      <c r="U120" s="2860">
        <f t="shared" si="52"/>
        <v>0</v>
      </c>
      <c r="V120" s="2860">
        <f t="shared" si="52"/>
        <v>0</v>
      </c>
    </row>
    <row r="121" spans="1:22" x14ac:dyDescent="0.15">
      <c r="A121" s="2862" t="s">
        <v>1141</v>
      </c>
      <c r="B121" s="2858" t="str">
        <f t="shared" ref="B121:T121" si="53">IF(B51=0,"n.d.",B51/B26)</f>
        <v>n.d.</v>
      </c>
      <c r="C121" s="2858" t="str">
        <f t="shared" ca="1" si="53"/>
        <v>n.d.</v>
      </c>
      <c r="D121" s="2861" t="str">
        <f t="shared" ca="1" si="53"/>
        <v>n.d.</v>
      </c>
      <c r="E121" s="2858" t="str">
        <f t="shared" ca="1" si="53"/>
        <v>n.d.</v>
      </c>
      <c r="F121" s="2858" t="str">
        <f t="shared" ca="1" si="53"/>
        <v>n.d.</v>
      </c>
      <c r="G121" s="2858" t="str">
        <f t="shared" ca="1" si="53"/>
        <v>n.d.</v>
      </c>
      <c r="H121" s="2858" t="str">
        <f t="shared" ca="1" si="53"/>
        <v>n.d.</v>
      </c>
      <c r="I121" s="2858" t="str">
        <f t="shared" ca="1" si="53"/>
        <v>n.d.</v>
      </c>
      <c r="J121" s="2858" t="str">
        <f t="shared" ca="1" si="53"/>
        <v>n.d.</v>
      </c>
      <c r="K121" s="2858" t="str">
        <f t="shared" ca="1" si="53"/>
        <v>n.d.</v>
      </c>
      <c r="L121" s="2858" t="str">
        <f t="shared" ca="1" si="53"/>
        <v>n.d.</v>
      </c>
      <c r="M121" s="2858" t="str">
        <f t="shared" ca="1" si="53"/>
        <v>n.d.</v>
      </c>
      <c r="N121" s="2858" t="str">
        <f t="shared" ca="1" si="53"/>
        <v>n.d.</v>
      </c>
      <c r="O121" s="2858" t="str">
        <f t="shared" ca="1" si="53"/>
        <v>n.d.</v>
      </c>
      <c r="P121" s="2858" t="str">
        <f t="shared" ca="1" si="53"/>
        <v>n.d.</v>
      </c>
      <c r="Q121" s="2858" t="str">
        <f t="shared" ca="1" si="53"/>
        <v>n.d.</v>
      </c>
      <c r="R121" s="2858" t="str">
        <f t="shared" ca="1" si="53"/>
        <v>n.d.</v>
      </c>
      <c r="S121" s="2858" t="str">
        <f t="shared" ca="1" si="53"/>
        <v>n.d.</v>
      </c>
      <c r="T121" s="2858" t="str">
        <f t="shared" ca="1" si="53"/>
        <v>n.d.</v>
      </c>
      <c r="U121" s="2858">
        <v>0</v>
      </c>
      <c r="V121" s="2858">
        <v>0</v>
      </c>
    </row>
    <row r="122" spans="1:22" x14ac:dyDescent="0.15">
      <c r="A122" s="2786" t="s">
        <v>117</v>
      </c>
      <c r="B122" s="2863">
        <f t="shared" ref="B122:V122" si="54">B12</f>
        <v>42735</v>
      </c>
      <c r="C122" s="2863">
        <f t="shared" si="54"/>
        <v>43100</v>
      </c>
      <c r="D122" s="2864">
        <f t="shared" si="54"/>
        <v>43465</v>
      </c>
      <c r="E122" s="2865">
        <f t="shared" si="54"/>
        <v>43830</v>
      </c>
      <c r="F122" s="2865">
        <f t="shared" si="54"/>
        <v>44196</v>
      </c>
      <c r="G122" s="2865">
        <f t="shared" si="54"/>
        <v>44561</v>
      </c>
      <c r="H122" s="2865">
        <f t="shared" si="54"/>
        <v>44926</v>
      </c>
      <c r="I122" s="2865">
        <f t="shared" si="54"/>
        <v>45291</v>
      </c>
      <c r="J122" s="2865">
        <f t="shared" si="54"/>
        <v>45657</v>
      </c>
      <c r="K122" s="2865">
        <f t="shared" si="54"/>
        <v>46022</v>
      </c>
      <c r="L122" s="2865">
        <f t="shared" si="54"/>
        <v>46387</v>
      </c>
      <c r="M122" s="2865">
        <f t="shared" si="54"/>
        <v>46752</v>
      </c>
      <c r="N122" s="2865">
        <f t="shared" si="54"/>
        <v>47118</v>
      </c>
      <c r="O122" s="2865">
        <f t="shared" si="54"/>
        <v>47483</v>
      </c>
      <c r="P122" s="2865">
        <f t="shared" si="54"/>
        <v>47848</v>
      </c>
      <c r="Q122" s="2865">
        <f t="shared" si="54"/>
        <v>48213</v>
      </c>
      <c r="R122" s="2865">
        <f t="shared" si="54"/>
        <v>48579</v>
      </c>
      <c r="S122" s="2865">
        <f t="shared" si="54"/>
        <v>48944</v>
      </c>
      <c r="T122" s="2865">
        <f t="shared" si="54"/>
        <v>49309</v>
      </c>
      <c r="U122" s="2864">
        <f t="shared" si="54"/>
        <v>43281</v>
      </c>
      <c r="V122" s="2864">
        <f t="shared" si="54"/>
        <v>43646</v>
      </c>
    </row>
    <row r="123" spans="1:22" x14ac:dyDescent="0.15">
      <c r="A123" s="2786" t="s">
        <v>119</v>
      </c>
      <c r="B123" s="2796">
        <f t="shared" ref="B123:T123" si="55">B80-B93</f>
        <v>0</v>
      </c>
      <c r="C123" s="2796">
        <f t="shared" si="55"/>
        <v>0</v>
      </c>
      <c r="D123" s="2797">
        <f t="shared" si="55"/>
        <v>0</v>
      </c>
      <c r="E123" s="2796">
        <f t="shared" ca="1" si="55"/>
        <v>0</v>
      </c>
      <c r="F123" s="2796">
        <f t="shared" ca="1" si="55"/>
        <v>0</v>
      </c>
      <c r="G123" s="2796">
        <f t="shared" ca="1" si="55"/>
        <v>0</v>
      </c>
      <c r="H123" s="2796">
        <f t="shared" ca="1" si="55"/>
        <v>0</v>
      </c>
      <c r="I123" s="2796">
        <f t="shared" ca="1" si="55"/>
        <v>0</v>
      </c>
      <c r="J123" s="2796">
        <f t="shared" ca="1" si="55"/>
        <v>0</v>
      </c>
      <c r="K123" s="2796">
        <f t="shared" ca="1" si="55"/>
        <v>0</v>
      </c>
      <c r="L123" s="2796">
        <f t="shared" ca="1" si="55"/>
        <v>0</v>
      </c>
      <c r="M123" s="2796">
        <f t="shared" ca="1" si="55"/>
        <v>0</v>
      </c>
      <c r="N123" s="2796">
        <f t="shared" ca="1" si="55"/>
        <v>0</v>
      </c>
      <c r="O123" s="2796">
        <f t="shared" ca="1" si="55"/>
        <v>0</v>
      </c>
      <c r="P123" s="2796">
        <f t="shared" ca="1" si="55"/>
        <v>0</v>
      </c>
      <c r="Q123" s="2796">
        <f t="shared" ca="1" si="55"/>
        <v>0</v>
      </c>
      <c r="R123" s="2796">
        <f t="shared" ca="1" si="55"/>
        <v>0</v>
      </c>
      <c r="S123" s="2796">
        <f t="shared" ca="1" si="55"/>
        <v>0</v>
      </c>
      <c r="T123" s="2796">
        <f t="shared" ca="1" si="55"/>
        <v>0</v>
      </c>
      <c r="U123" s="2796">
        <f>U80-U93</f>
        <v>0</v>
      </c>
      <c r="V123" s="2796">
        <f>V80-V93</f>
        <v>0</v>
      </c>
    </row>
    <row r="124" spans="1:22" x14ac:dyDescent="0.15">
      <c r="A124" s="2786" t="s">
        <v>120</v>
      </c>
      <c r="B124" s="2830">
        <f t="shared" ref="B124:V124" si="56">IF(B123&lt;&gt;0,B123/B13,0)</f>
        <v>0</v>
      </c>
      <c r="C124" s="2830">
        <f t="shared" si="56"/>
        <v>0</v>
      </c>
      <c r="D124" s="2868">
        <f t="shared" si="56"/>
        <v>0</v>
      </c>
      <c r="E124" s="2830">
        <f t="shared" ca="1" si="56"/>
        <v>0</v>
      </c>
      <c r="F124" s="2830">
        <f t="shared" ca="1" si="56"/>
        <v>0</v>
      </c>
      <c r="G124" s="2830">
        <f t="shared" ca="1" si="56"/>
        <v>0</v>
      </c>
      <c r="H124" s="2830">
        <f t="shared" ca="1" si="56"/>
        <v>0</v>
      </c>
      <c r="I124" s="2830">
        <f t="shared" ca="1" si="56"/>
        <v>0</v>
      </c>
      <c r="J124" s="2830">
        <f t="shared" ca="1" si="56"/>
        <v>0</v>
      </c>
      <c r="K124" s="2830">
        <f t="shared" ca="1" si="56"/>
        <v>0</v>
      </c>
      <c r="L124" s="2830">
        <f t="shared" ca="1" si="56"/>
        <v>0</v>
      </c>
      <c r="M124" s="2830">
        <f t="shared" ca="1" si="56"/>
        <v>0</v>
      </c>
      <c r="N124" s="2830">
        <f t="shared" ca="1" si="56"/>
        <v>0</v>
      </c>
      <c r="O124" s="2830">
        <f t="shared" ca="1" si="56"/>
        <v>0</v>
      </c>
      <c r="P124" s="2830">
        <f t="shared" ca="1" si="56"/>
        <v>0</v>
      </c>
      <c r="Q124" s="2830">
        <f t="shared" ca="1" si="56"/>
        <v>0</v>
      </c>
      <c r="R124" s="2830">
        <f t="shared" ca="1" si="56"/>
        <v>0</v>
      </c>
      <c r="S124" s="2830">
        <f t="shared" ca="1" si="56"/>
        <v>0</v>
      </c>
      <c r="T124" s="2830">
        <f t="shared" ca="1" si="56"/>
        <v>0</v>
      </c>
      <c r="U124" s="2830">
        <f t="shared" si="56"/>
        <v>0</v>
      </c>
      <c r="V124" s="2830">
        <f t="shared" si="56"/>
        <v>0</v>
      </c>
    </row>
    <row r="125" spans="1:22" x14ac:dyDescent="0.15">
      <c r="A125" s="2786" t="s">
        <v>121</v>
      </c>
      <c r="B125" s="2796">
        <f>('Info Entrada'!C180+'Info Entrada'!C185+'Info Entrada'!C188-'Info Entrada'!C218-'Info Entrada'!C219-'Info Entrada'!C226)/$A$8</f>
        <v>0</v>
      </c>
      <c r="C125" s="2796">
        <f>('Info Entrada'!D180+'Info Entrada'!D185+'Info Entrada'!D188-'Info Entrada'!D218-'Info Entrada'!D219-'Info Entrada'!D226)/$A$8</f>
        <v>0</v>
      </c>
      <c r="D125" s="2797">
        <f>('Info Entrada'!E180+'Info Entrada'!E185+'Info Entrada'!E188-'Info Entrada'!E218-'Info Entrada'!E219-'Info Entrada'!E226)/$A$8</f>
        <v>0</v>
      </c>
      <c r="E125" s="2796">
        <f>('Info Entrada'!H180+'Info Entrada'!H185+'Info Entrada'!H188-'Info Entrada'!H218-'Info Entrada'!H219-'Info Entrada'!H226)/$A$8</f>
        <v>0</v>
      </c>
      <c r="F125" s="2796">
        <f>('Info Entrada'!I180+'Info Entrada'!I185+'Info Entrada'!I188-'Info Entrada'!I218-'Info Entrada'!I219-'Info Entrada'!I226)/$A$8</f>
        <v>0</v>
      </c>
      <c r="G125" s="2796">
        <f>('Info Entrada'!J180+'Info Entrada'!J185+'Info Entrada'!J188-'Info Entrada'!J218-'Info Entrada'!J219-'Info Entrada'!J226)/$A$8</f>
        <v>0</v>
      </c>
      <c r="H125" s="2796">
        <f>('Info Entrada'!K180+'Info Entrada'!K185+'Info Entrada'!K188-'Info Entrada'!K218-'Info Entrada'!K219-'Info Entrada'!K226)/$A$8</f>
        <v>0</v>
      </c>
      <c r="I125" s="2796">
        <f>('Info Entrada'!L180+'Info Entrada'!L185+'Info Entrada'!L188-'Info Entrada'!L218-'Info Entrada'!L219-'Info Entrada'!L226)/$A$8</f>
        <v>0</v>
      </c>
      <c r="J125" s="2796">
        <f>('Info Entrada'!M180+'Info Entrada'!M185+'Info Entrada'!M188-'Info Entrada'!M218-'Info Entrada'!M219-'Info Entrada'!M226)/$A$8</f>
        <v>0</v>
      </c>
      <c r="K125" s="2796">
        <f>('Info Entrada'!N180+'Info Entrada'!N185+'Info Entrada'!N188-'Info Entrada'!N218-'Info Entrada'!N219-'Info Entrada'!N226)/$A$8</f>
        <v>0</v>
      </c>
      <c r="L125" s="2796">
        <f>('Info Entrada'!O180+'Info Entrada'!O185+'Info Entrada'!O188-'Info Entrada'!O218-'Info Entrada'!O219-'Info Entrada'!O226)/$A$8</f>
        <v>0</v>
      </c>
      <c r="M125" s="2796">
        <f>('Info Entrada'!P180+'Info Entrada'!P185+'Info Entrada'!P188-'Info Entrada'!P218-'Info Entrada'!P219-'Info Entrada'!P226)/$A$8</f>
        <v>0</v>
      </c>
      <c r="N125" s="2796">
        <f>('Info Entrada'!Q180+'Info Entrada'!Q185+'Info Entrada'!Q188-'Info Entrada'!Q218-'Info Entrada'!Q219-'Info Entrada'!Q226)/$A$8</f>
        <v>0</v>
      </c>
      <c r="O125" s="2796">
        <f>('Info Entrada'!R180+'Info Entrada'!R185+'Info Entrada'!R188-'Info Entrada'!R218-'Info Entrada'!R219-'Info Entrada'!R226)/$A$8</f>
        <v>0</v>
      </c>
      <c r="P125" s="2796">
        <f>('Info Entrada'!S180+'Info Entrada'!S185+'Info Entrada'!S188-'Info Entrada'!S218-'Info Entrada'!S219-'Info Entrada'!S226)/$A$8</f>
        <v>0</v>
      </c>
      <c r="Q125" s="2796">
        <f>('Info Entrada'!T180+'Info Entrada'!T185+'Info Entrada'!T188-'Info Entrada'!T218-'Info Entrada'!T219-'Info Entrada'!T226)/$A$8</f>
        <v>0</v>
      </c>
      <c r="R125" s="2796">
        <f>('Info Entrada'!U180+'Info Entrada'!U185+'Info Entrada'!U188-'Info Entrada'!U218-'Info Entrada'!U219-'Info Entrada'!U226)/$A$8</f>
        <v>0</v>
      </c>
      <c r="S125" s="2796">
        <f>('Info Entrada'!V180+'Info Entrada'!V185+'Info Entrada'!V188-'Info Entrada'!V218-'Info Entrada'!V219-'Info Entrada'!V226)/$A$8</f>
        <v>0</v>
      </c>
      <c r="T125" s="2796">
        <f>('Info Entrada'!W180+'Info Entrada'!W185+'Info Entrada'!W188-'Info Entrada'!W218-'Info Entrada'!W219-'Info Entrada'!W226)/$A$8</f>
        <v>0</v>
      </c>
      <c r="U125" s="2796">
        <f>('Info Entrada'!F180+'Info Entrada'!F185+'Info Entrada'!F188-'Info Entrada'!F218-'Info Entrada'!F219-'Info Entrada'!F226)/$A$8</f>
        <v>0</v>
      </c>
      <c r="V125" s="2796">
        <f>('Info Entrada'!G180+'Info Entrada'!G185+'Info Entrada'!G188-'Info Entrada'!G218-'Info Entrada'!G219-'Info Entrada'!G226)/$A$8</f>
        <v>0</v>
      </c>
    </row>
    <row r="126" spans="1:22" x14ac:dyDescent="0.15">
      <c r="A126" s="2786" t="s">
        <v>122</v>
      </c>
      <c r="B126" s="2830">
        <f t="shared" ref="B126:V126" si="57">IF(B125&lt;&gt;0,B125/B13,0)</f>
        <v>0</v>
      </c>
      <c r="C126" s="2830">
        <f t="shared" si="57"/>
        <v>0</v>
      </c>
      <c r="D126" s="2868">
        <f t="shared" si="57"/>
        <v>0</v>
      </c>
      <c r="E126" s="2830">
        <f t="shared" si="57"/>
        <v>0</v>
      </c>
      <c r="F126" s="2830">
        <f t="shared" si="57"/>
        <v>0</v>
      </c>
      <c r="G126" s="2830">
        <f t="shared" si="57"/>
        <v>0</v>
      </c>
      <c r="H126" s="2830">
        <f t="shared" si="57"/>
        <v>0</v>
      </c>
      <c r="I126" s="2830">
        <f t="shared" si="57"/>
        <v>0</v>
      </c>
      <c r="J126" s="2830">
        <f t="shared" si="57"/>
        <v>0</v>
      </c>
      <c r="K126" s="2830">
        <f t="shared" si="57"/>
        <v>0</v>
      </c>
      <c r="L126" s="2830">
        <f t="shared" si="57"/>
        <v>0</v>
      </c>
      <c r="M126" s="2830">
        <f t="shared" si="57"/>
        <v>0</v>
      </c>
      <c r="N126" s="2830">
        <f t="shared" si="57"/>
        <v>0</v>
      </c>
      <c r="O126" s="2830">
        <f t="shared" si="57"/>
        <v>0</v>
      </c>
      <c r="P126" s="2830">
        <f t="shared" si="57"/>
        <v>0</v>
      </c>
      <c r="Q126" s="2830">
        <f t="shared" si="57"/>
        <v>0</v>
      </c>
      <c r="R126" s="2830">
        <f t="shared" si="57"/>
        <v>0</v>
      </c>
      <c r="S126" s="2830">
        <f t="shared" si="57"/>
        <v>0</v>
      </c>
      <c r="T126" s="2830">
        <f t="shared" si="57"/>
        <v>0</v>
      </c>
      <c r="U126" s="2830">
        <f t="shared" si="57"/>
        <v>0</v>
      </c>
      <c r="V126" s="2830">
        <f t="shared" si="57"/>
        <v>0</v>
      </c>
    </row>
    <row r="127" spans="1:22" x14ac:dyDescent="0.15">
      <c r="A127" s="2786" t="s">
        <v>384</v>
      </c>
      <c r="B127" s="2869">
        <f>IFERROR(('Info Entrada'!C180/'Info Entrada'!C77)*((360/12)*MONTH(B106)),0)</f>
        <v>0</v>
      </c>
      <c r="C127" s="2869">
        <f>IFERROR(('Info Entrada'!D180/'Info Entrada'!D77)*((360/12)*MONTH(C106)),0)</f>
        <v>0</v>
      </c>
      <c r="D127" s="2870">
        <f>IFERROR(('Info Entrada'!E180/'Info Entrada'!E77)*((360/12)*MONTH(D106)),0)</f>
        <v>0</v>
      </c>
      <c r="E127" s="2869">
        <f>IFERROR(('Info Entrada'!H180/'Info Entrada'!H77)*360,0)</f>
        <v>0</v>
      </c>
      <c r="F127" s="2869">
        <f>IFERROR(('Info Entrada'!I180/'Info Entrada'!I77)*360,0)</f>
        <v>0</v>
      </c>
      <c r="G127" s="2869">
        <f>IFERROR(('Info Entrada'!J180/'Info Entrada'!J77)*360,0)</f>
        <v>0</v>
      </c>
      <c r="H127" s="2869">
        <f>IFERROR(('Info Entrada'!K180/'Info Entrada'!K77)*360,0)</f>
        <v>0</v>
      </c>
      <c r="I127" s="2869">
        <f>IFERROR(('Info Entrada'!L180/'Info Entrada'!L77)*360,0)</f>
        <v>0</v>
      </c>
      <c r="J127" s="2869">
        <f>IFERROR(('Info Entrada'!M180/'Info Entrada'!M77)*360,0)</f>
        <v>0</v>
      </c>
      <c r="K127" s="2869">
        <f>IFERROR(('Info Entrada'!N180/'Info Entrada'!N77)*360,0)</f>
        <v>0</v>
      </c>
      <c r="L127" s="2869">
        <f>IFERROR(('Info Entrada'!O180/'Info Entrada'!O77)*360,0)</f>
        <v>0</v>
      </c>
      <c r="M127" s="2869">
        <f>IFERROR(('Info Entrada'!P180/'Info Entrada'!P77)*360,0)</f>
        <v>0</v>
      </c>
      <c r="N127" s="2869">
        <f>IFERROR(('Info Entrada'!Q180/'Info Entrada'!Q77)*360,0)</f>
        <v>0</v>
      </c>
      <c r="O127" s="2869">
        <f>IFERROR(('Info Entrada'!R180/'Info Entrada'!R77)*360,0)</f>
        <v>0</v>
      </c>
      <c r="P127" s="2869">
        <f>IFERROR(('Info Entrada'!S180/'Info Entrada'!S77)*360,0)</f>
        <v>0</v>
      </c>
      <c r="Q127" s="2869">
        <f>IFERROR(('Info Entrada'!T180/'Info Entrada'!T77)*360,0)</f>
        <v>0</v>
      </c>
      <c r="R127" s="2869">
        <f>IFERROR(('Info Entrada'!U180/'Info Entrada'!U77)*360,0)</f>
        <v>0</v>
      </c>
      <c r="S127" s="2869">
        <f>IFERROR(('Info Entrada'!V180/'Info Entrada'!V77)*360,0)</f>
        <v>0</v>
      </c>
      <c r="T127" s="2869">
        <f>IFERROR(('Info Entrada'!W180/'Info Entrada'!W77)*360,0)</f>
        <v>0</v>
      </c>
      <c r="U127" s="2869">
        <f>IFERROR(('Info Entrada'!F180/'Info Entrada'!F77)*((360/12)*MONTH(U106)),0)</f>
        <v>0</v>
      </c>
      <c r="V127" s="2869">
        <f>IFERROR(('Info Entrada'!G180/'Info Entrada'!G77)*((360/12)*MONTH(V106)),0)</f>
        <v>0</v>
      </c>
    </row>
    <row r="128" spans="1:22" x14ac:dyDescent="0.15">
      <c r="A128" s="2786" t="s">
        <v>123</v>
      </c>
      <c r="B128" s="2796">
        <f>IFERROR(IF('Info Entrada'!C84=0,0,('Info Entrada'!C185/'Info Entrada'!C89)*((360/12)*MONTH(B106))),0)</f>
        <v>0</v>
      </c>
      <c r="C128" s="2796">
        <f>IFERROR(IF('Info Entrada'!D84=0,0,('Info Entrada'!D185/'Info Entrada'!D89)*((360/12)*MONTH(C106))),0)</f>
        <v>0</v>
      </c>
      <c r="D128" s="2797">
        <f>IFERROR(IF('Info Entrada'!E84=0,0,('Info Entrada'!E185/'Info Entrada'!E89)*((360/12)*MONTH(D106))),0)</f>
        <v>0</v>
      </c>
      <c r="E128" s="2796">
        <f>IFERROR(IF('Info Entrada'!H84=0,0,('Info Entrada'!H185/'Info Entrada'!H89)*360),0)</f>
        <v>0</v>
      </c>
      <c r="F128" s="2796">
        <f>IFERROR(IF('Info Entrada'!I84=0,0,('Info Entrada'!I185/'Info Entrada'!I89)*360),0)</f>
        <v>0</v>
      </c>
      <c r="G128" s="2796">
        <f>IFERROR(IF('Info Entrada'!J84=0,0,('Info Entrada'!J185/'Info Entrada'!J89)*360),0)</f>
        <v>0</v>
      </c>
      <c r="H128" s="2796">
        <f>IFERROR(IF('Info Entrada'!K84=0,0,('Info Entrada'!K185/'Info Entrada'!K89)*360),0)</f>
        <v>0</v>
      </c>
      <c r="I128" s="2796">
        <f>IFERROR(IF('Info Entrada'!L84=0,0,('Info Entrada'!L185/'Info Entrada'!L89)*360),0)</f>
        <v>0</v>
      </c>
      <c r="J128" s="2796">
        <f>IFERROR(IF('Info Entrada'!M84=0,0,('Info Entrada'!M185/'Info Entrada'!M89)*360),0)</f>
        <v>0</v>
      </c>
      <c r="K128" s="2796">
        <f>IFERROR(IF('Info Entrada'!N84=0,0,('Info Entrada'!N185/'Info Entrada'!N89)*360),0)</f>
        <v>0</v>
      </c>
      <c r="L128" s="2796">
        <f>IFERROR(IF('Info Entrada'!O84=0,0,('Info Entrada'!O185/'Info Entrada'!O89)*360),0)</f>
        <v>0</v>
      </c>
      <c r="M128" s="2796">
        <f>IFERROR(IF('Info Entrada'!P84=0,0,('Info Entrada'!P185/'Info Entrada'!P89)*360),0)</f>
        <v>0</v>
      </c>
      <c r="N128" s="2796">
        <f>IFERROR(IF('Info Entrada'!Q84=0,0,('Info Entrada'!Q185/'Info Entrada'!Q89)*360),0)</f>
        <v>0</v>
      </c>
      <c r="O128" s="2796">
        <f>IFERROR(IF('Info Entrada'!R84=0,0,('Info Entrada'!R185/'Info Entrada'!R89)*360),0)</f>
        <v>0</v>
      </c>
      <c r="P128" s="2796">
        <f>IFERROR(IF('Info Entrada'!S84=0,0,('Info Entrada'!S185/'Info Entrada'!S89)*360),0)</f>
        <v>0</v>
      </c>
      <c r="Q128" s="2796">
        <f>IFERROR(IF('Info Entrada'!T84=0,0,('Info Entrada'!T185/'Info Entrada'!T89)*360),0)</f>
        <v>0</v>
      </c>
      <c r="R128" s="2796">
        <f>IFERROR(IF('Info Entrada'!U84=0,0,('Info Entrada'!U185/'Info Entrada'!U89)*360),0)</f>
        <v>0</v>
      </c>
      <c r="S128" s="2796">
        <f>IFERROR(IF('Info Entrada'!V84=0,0,('Info Entrada'!V185/'Info Entrada'!V89)*360),0)</f>
        <v>0</v>
      </c>
      <c r="T128" s="2796">
        <f>IFERROR(IF('Info Entrada'!W84=0,0,('Info Entrada'!W185/'Info Entrada'!W89)*360),0)</f>
        <v>0</v>
      </c>
      <c r="U128" s="2796">
        <f>IFERROR(IF('Info Entrada'!F84=0,0,('Info Entrada'!F185/'Info Entrada'!F89)*((360/12)*MONTH(U106))),0)</f>
        <v>0</v>
      </c>
      <c r="V128" s="2796">
        <f>IFERROR(IF('Info Entrada'!G84=0,0,('Info Entrada'!G185/'Info Entrada'!G89)*((360/12)*MONTH(V106))),0)</f>
        <v>0</v>
      </c>
    </row>
    <row r="129" spans="1:22" ht="9.75" thickBot="1" x14ac:dyDescent="0.2">
      <c r="A129" s="2871" t="s">
        <v>386</v>
      </c>
      <c r="B129" s="2872">
        <f>IFERROR((('Info Entrada'!C218+'Info Entrada'!C219)/('Info Entrada'!C89))*((360/12)*MONTH(B106)),0)</f>
        <v>0</v>
      </c>
      <c r="C129" s="2872">
        <f>IFERROR((('Info Entrada'!D218+'Info Entrada'!D219)/('Info Entrada'!D89))*((360/12)*MONTH(C106)),0)</f>
        <v>0</v>
      </c>
      <c r="D129" s="2873">
        <f>IFERROR((('Info Entrada'!E218+'Info Entrada'!E219)/('Info Entrada'!E89))*((360/12)*MONTH(D106)),0)</f>
        <v>0</v>
      </c>
      <c r="E129" s="2872">
        <f>IFERROR(IF('Info Entrada'!H84=0,0,(('Info Entrada'!H218+'Info Entrada'!H219)/('Info Entrada'!H89))*360),0)</f>
        <v>0</v>
      </c>
      <c r="F129" s="2872">
        <f>IFERROR(IF('Info Entrada'!I84=0,0,(('Info Entrada'!I218+'Info Entrada'!I219)/('Info Entrada'!I89))*360),0)</f>
        <v>0</v>
      </c>
      <c r="G129" s="2872">
        <f>IFERROR(IF('Info Entrada'!J84=0,0,(('Info Entrada'!J218+'Info Entrada'!J219)/('Info Entrada'!J89))*360),0)</f>
        <v>0</v>
      </c>
      <c r="H129" s="2872">
        <f>IFERROR(IF('Info Entrada'!K84=0,0,(('Info Entrada'!K218+'Info Entrada'!K219)/('Info Entrada'!K89))*360),0)</f>
        <v>0</v>
      </c>
      <c r="I129" s="2872">
        <f>IFERROR(IF('Info Entrada'!L84=0,0,(('Info Entrada'!L218+'Info Entrada'!L219)/('Info Entrada'!L89))*360),0)</f>
        <v>0</v>
      </c>
      <c r="J129" s="2872">
        <f>IFERROR(IF('Info Entrada'!M84=0,0,(('Info Entrada'!M218+'Info Entrada'!M219)/('Info Entrada'!M89))*360),0)</f>
        <v>0</v>
      </c>
      <c r="K129" s="2872">
        <f>IFERROR(IF('Info Entrada'!N84=0,0,(('Info Entrada'!N218+'Info Entrada'!N219)/('Info Entrada'!N89))*360),0)</f>
        <v>0</v>
      </c>
      <c r="L129" s="2872">
        <f>IFERROR(IF('Info Entrada'!O84=0,0,(('Info Entrada'!O218+'Info Entrada'!O219)/('Info Entrada'!O89))*360),0)</f>
        <v>0</v>
      </c>
      <c r="M129" s="2872">
        <f>IFERROR(IF('Info Entrada'!P84=0,0,(('Info Entrada'!P218+'Info Entrada'!P219)/('Info Entrada'!P89))*360),0)</f>
        <v>0</v>
      </c>
      <c r="N129" s="2872">
        <f>IFERROR(IF('Info Entrada'!Q84=0,0,(('Info Entrada'!Q218+'Info Entrada'!Q219)/('Info Entrada'!Q89))*360),0)</f>
        <v>0</v>
      </c>
      <c r="O129" s="2872">
        <f>IFERROR(IF('Info Entrada'!R84=0,0,(('Info Entrada'!R218+'Info Entrada'!R219)/('Info Entrada'!R89))*360),0)</f>
        <v>0</v>
      </c>
      <c r="P129" s="2872">
        <f>IFERROR(IF('Info Entrada'!S84=0,0,(('Info Entrada'!S218+'Info Entrada'!S219)/('Info Entrada'!S89))*360),0)</f>
        <v>0</v>
      </c>
      <c r="Q129" s="2872">
        <f>IFERROR(IF('Info Entrada'!T84=0,0,(('Info Entrada'!T218+'Info Entrada'!T219)/('Info Entrada'!T89))*360),0)</f>
        <v>0</v>
      </c>
      <c r="R129" s="2872">
        <f>IFERROR(IF('Info Entrada'!U84=0,0,(('Info Entrada'!U218+'Info Entrada'!U219)/('Info Entrada'!U89))*360),0)</f>
        <v>0</v>
      </c>
      <c r="S129" s="2872">
        <f>IFERROR(IF('Info Entrada'!V84=0,0,(('Info Entrada'!V218+'Info Entrada'!V219)/('Info Entrada'!V89))*360),0)</f>
        <v>0</v>
      </c>
      <c r="T129" s="2872">
        <f>IFERROR(IF('Info Entrada'!W84=0,0,(('Info Entrada'!W218+'Info Entrada'!W219)/('Info Entrada'!W89))*360),0)</f>
        <v>0</v>
      </c>
      <c r="U129" s="2872">
        <f>IFERROR((('Info Entrada'!F218+'Info Entrada'!F219)/('Info Entrada'!F89))*((360/12)*MONTH(U106)),0)</f>
        <v>0</v>
      </c>
      <c r="V129" s="2872">
        <f>IFERROR((('Info Entrada'!G218+'Info Entrada'!G219)/('Info Entrada'!G89))*((360/12)*MONTH(V106)),0)</f>
        <v>0</v>
      </c>
    </row>
    <row r="131" spans="1:22" x14ac:dyDescent="0.15">
      <c r="D131" s="2935"/>
    </row>
    <row r="134" spans="1:22" x14ac:dyDescent="0.15">
      <c r="A134" s="2778" t="s">
        <v>103</v>
      </c>
    </row>
    <row r="135" spans="1:22" x14ac:dyDescent="0.15">
      <c r="A135" s="2778" t="s">
        <v>104</v>
      </c>
    </row>
    <row r="141" spans="1:22" x14ac:dyDescent="0.15">
      <c r="B141" s="2874">
        <f t="shared" ref="B141:T141" si="58">MONTH(B12)</f>
        <v>12</v>
      </c>
      <c r="C141" s="2874">
        <f t="shared" si="58"/>
        <v>12</v>
      </c>
      <c r="D141" s="2874">
        <f t="shared" si="58"/>
        <v>12</v>
      </c>
      <c r="E141" s="2780">
        <f t="shared" si="58"/>
        <v>12</v>
      </c>
      <c r="F141" s="2874">
        <f t="shared" si="58"/>
        <v>12</v>
      </c>
      <c r="G141" s="2874">
        <f t="shared" si="58"/>
        <v>12</v>
      </c>
      <c r="H141" s="2874">
        <f t="shared" si="58"/>
        <v>12</v>
      </c>
      <c r="I141" s="2874">
        <f t="shared" si="58"/>
        <v>12</v>
      </c>
      <c r="J141" s="2874">
        <f t="shared" si="58"/>
        <v>12</v>
      </c>
      <c r="K141" s="2874">
        <f t="shared" si="58"/>
        <v>12</v>
      </c>
      <c r="L141" s="2874">
        <f t="shared" si="58"/>
        <v>12</v>
      </c>
      <c r="M141" s="2874">
        <f t="shared" si="58"/>
        <v>12</v>
      </c>
      <c r="N141" s="2874">
        <f t="shared" si="58"/>
        <v>12</v>
      </c>
      <c r="O141" s="2874">
        <f t="shared" si="58"/>
        <v>12</v>
      </c>
      <c r="P141" s="2874">
        <f t="shared" si="58"/>
        <v>12</v>
      </c>
      <c r="Q141" s="2874">
        <f t="shared" si="58"/>
        <v>12</v>
      </c>
      <c r="R141" s="2874">
        <f t="shared" si="58"/>
        <v>12</v>
      </c>
      <c r="S141" s="2874">
        <f t="shared" si="58"/>
        <v>12</v>
      </c>
      <c r="T141" s="2874">
        <f t="shared" si="58"/>
        <v>12</v>
      </c>
      <c r="U141" s="2874">
        <f>MONTH(U12)</f>
        <v>6</v>
      </c>
      <c r="V141" s="2874">
        <f>MONTH(V12)</f>
        <v>6</v>
      </c>
    </row>
  </sheetData>
  <conditionalFormatting sqref="F62:T63">
    <cfRule type="cellIs" dxfId="7" priority="3" operator="greaterThan">
      <formula>0</formula>
    </cfRule>
  </conditionalFormatting>
  <conditionalFormatting sqref="V62:V63">
    <cfRule type="cellIs" dxfId="6" priority="2" operator="greaterThan">
      <formula>0</formula>
    </cfRule>
  </conditionalFormatting>
  <conditionalFormatting sqref="E62:E63">
    <cfRule type="cellIs" dxfId="5" priority="1" operator="greaterThan">
      <formula>0</formula>
    </cfRule>
  </conditionalFormatting>
  <dataValidations count="2">
    <dataValidation type="list" allowBlank="1" showInputMessage="1" showErrorMessage="1" sqref="B10">
      <formula1>$A$1:$A$7</formula1>
    </dataValidation>
    <dataValidation type="list" allowBlank="1" showInputMessage="1" showErrorMessage="1" sqref="F10">
      <formula1>Proyeccion</formula1>
    </dataValidation>
  </dataValidations>
  <printOptions horizontalCentered="1"/>
  <pageMargins left="0.11811023622047245" right="0.11811023622047245" top="0.11811023622047245" bottom="0.11811023622047245" header="0" footer="0"/>
  <pageSetup scale="9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G5"/>
  <sheetViews>
    <sheetView showGridLines="0" workbookViewId="0">
      <selection activeCell="O17" sqref="O17"/>
    </sheetView>
  </sheetViews>
  <sheetFormatPr baseColWidth="10" defaultRowHeight="15" x14ac:dyDescent="0.25"/>
  <cols>
    <col min="1" max="1" width="11.42578125" style="2876"/>
    <col min="2" max="6" width="8.140625" style="2876" customWidth="1"/>
    <col min="7" max="7" width="39.28515625" style="2876" bestFit="1" customWidth="1"/>
    <col min="8" max="16384" width="11.42578125" style="2876"/>
  </cols>
  <sheetData>
    <row r="1" spans="1:7" x14ac:dyDescent="0.25">
      <c r="A1" s="2883" t="s">
        <v>3095</v>
      </c>
      <c r="B1" s="2883" t="s">
        <v>434</v>
      </c>
      <c r="C1" s="2883" t="s">
        <v>3087</v>
      </c>
      <c r="D1" s="2883" t="s">
        <v>196</v>
      </c>
      <c r="E1" s="2883" t="s">
        <v>569</v>
      </c>
      <c r="F1" s="2883" t="s">
        <v>3088</v>
      </c>
      <c r="G1" s="2883" t="s">
        <v>3090</v>
      </c>
    </row>
    <row r="2" spans="1:7" x14ac:dyDescent="0.25">
      <c r="A2" s="2884">
        <v>0.25</v>
      </c>
      <c r="B2" s="2877">
        <v>0.15</v>
      </c>
      <c r="C2" s="2878">
        <v>0.15</v>
      </c>
      <c r="D2" s="2878">
        <v>0.15</v>
      </c>
      <c r="E2" s="2878">
        <v>0.5</v>
      </c>
      <c r="F2" s="2879" t="s">
        <v>3089</v>
      </c>
      <c r="G2" s="2879" t="s">
        <v>3091</v>
      </c>
    </row>
    <row r="3" spans="1:7" x14ac:dyDescent="0.25">
      <c r="A3" s="2884">
        <v>0.5</v>
      </c>
      <c r="B3" s="2880">
        <v>0.25</v>
      </c>
      <c r="C3" s="2881">
        <v>0.25</v>
      </c>
      <c r="D3" s="2881">
        <v>0.25</v>
      </c>
      <c r="E3" s="2881">
        <v>0.5</v>
      </c>
      <c r="F3" s="2882"/>
      <c r="G3" s="2882" t="s">
        <v>3092</v>
      </c>
    </row>
    <row r="4" spans="1:7" x14ac:dyDescent="0.25">
      <c r="A4" s="2884">
        <v>0.75</v>
      </c>
      <c r="B4" s="2880">
        <v>0.5</v>
      </c>
      <c r="C4" s="2881">
        <v>0.5</v>
      </c>
      <c r="D4" s="2881">
        <v>0.5</v>
      </c>
      <c r="E4" s="2881">
        <v>0.5</v>
      </c>
      <c r="F4" s="2882"/>
      <c r="G4" s="2882" t="s">
        <v>3093</v>
      </c>
    </row>
    <row r="5" spans="1:7" x14ac:dyDescent="0.25">
      <c r="A5" s="2884">
        <v>1</v>
      </c>
      <c r="B5" s="2880">
        <v>0.75</v>
      </c>
      <c r="C5" s="2881">
        <v>0.75</v>
      </c>
      <c r="D5" s="2882"/>
      <c r="E5" s="2881">
        <v>1</v>
      </c>
      <c r="F5" s="2882"/>
      <c r="G5" s="2882" t="s">
        <v>3094</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1:X38"/>
  <sheetViews>
    <sheetView zoomScale="85" zoomScaleNormal="85" workbookViewId="0">
      <selection activeCell="O17" sqref="O17"/>
    </sheetView>
  </sheetViews>
  <sheetFormatPr baseColWidth="10" defaultRowHeight="12" x14ac:dyDescent="0.2"/>
  <cols>
    <col min="1" max="1" width="10.5703125" style="2428" customWidth="1"/>
    <col min="2" max="2" width="10.5703125" style="2429" customWidth="1"/>
    <col min="3" max="8" width="10.5703125" style="2428" customWidth="1"/>
    <col min="9" max="9" width="10.5703125" style="2429" customWidth="1"/>
    <col min="10" max="11" width="10.5703125" style="2428" customWidth="1"/>
    <col min="12" max="12" width="10.5703125" style="2595" customWidth="1"/>
    <col min="13" max="39" width="10.5703125" style="2428" customWidth="1"/>
    <col min="40" max="16384" width="11.42578125" style="2428"/>
  </cols>
  <sheetData>
    <row r="11" spans="12:13" x14ac:dyDescent="0.2">
      <c r="M11" s="2596"/>
    </row>
    <row r="12" spans="12:13" x14ac:dyDescent="0.2">
      <c r="L12" s="2594"/>
      <c r="M12" s="2594"/>
    </row>
    <row r="13" spans="12:13" x14ac:dyDescent="0.2">
      <c r="L13" s="2594"/>
      <c r="M13" s="2594"/>
    </row>
    <row r="14" spans="12:13" x14ac:dyDescent="0.2">
      <c r="L14" s="2594"/>
      <c r="M14" s="2594"/>
    </row>
    <row r="15" spans="12:13" x14ac:dyDescent="0.2">
      <c r="L15" s="2594"/>
      <c r="M15" s="2594"/>
    </row>
    <row r="16" spans="12:13" x14ac:dyDescent="0.2">
      <c r="L16" s="2594"/>
      <c r="M16" s="2594"/>
    </row>
    <row r="17" spans="11:24" x14ac:dyDescent="0.2">
      <c r="L17" s="2594"/>
      <c r="M17" s="2594"/>
    </row>
    <row r="18" spans="11:24" x14ac:dyDescent="0.2">
      <c r="L18" s="2597"/>
      <c r="M18" s="2597"/>
    </row>
    <row r="24" spans="11:24" x14ac:dyDescent="0.2">
      <c r="L24" s="2594"/>
    </row>
    <row r="25" spans="11:24" x14ac:dyDescent="0.2">
      <c r="K25" s="2596"/>
      <c r="L25" s="2594"/>
    </row>
    <row r="26" spans="11:24" x14ac:dyDescent="0.2">
      <c r="K26" s="2596"/>
      <c r="L26" s="2594"/>
    </row>
    <row r="27" spans="11:24" x14ac:dyDescent="0.2">
      <c r="K27" s="2596"/>
      <c r="L27" s="2594"/>
    </row>
    <row r="31" spans="11:24" x14ac:dyDescent="0.2">
      <c r="M31" s="2596"/>
      <c r="N31" s="2596"/>
      <c r="O31" s="2596"/>
      <c r="P31" s="2596"/>
      <c r="Q31" s="2596"/>
      <c r="R31" s="2596"/>
      <c r="S31" s="2596"/>
      <c r="T31" s="2596"/>
      <c r="U31" s="2596"/>
      <c r="V31" s="2596"/>
      <c r="W31" s="2596"/>
      <c r="X31" s="2596"/>
    </row>
    <row r="32" spans="11:24" x14ac:dyDescent="0.2">
      <c r="L32" s="2594"/>
      <c r="M32" s="2593"/>
      <c r="N32" s="2593"/>
      <c r="O32" s="2593"/>
      <c r="P32" s="2593"/>
      <c r="Q32" s="2593"/>
      <c r="R32" s="2593"/>
      <c r="S32" s="2593"/>
      <c r="T32" s="2593"/>
      <c r="U32" s="2593"/>
      <c r="V32" s="2593"/>
      <c r="W32" s="2593"/>
      <c r="X32" s="2593"/>
    </row>
    <row r="33" spans="12:24" x14ac:dyDescent="0.2">
      <c r="L33" s="2594"/>
      <c r="M33" s="2593"/>
      <c r="N33" s="2593"/>
      <c r="O33" s="2593"/>
      <c r="P33" s="2593"/>
      <c r="Q33" s="2593"/>
      <c r="R33" s="2593"/>
      <c r="S33" s="2593"/>
      <c r="T33" s="2593"/>
      <c r="U33" s="2593"/>
      <c r="V33" s="2593"/>
      <c r="W33" s="2593"/>
      <c r="X33" s="2593"/>
    </row>
    <row r="34" spans="12:24" x14ac:dyDescent="0.2">
      <c r="L34" s="2594"/>
      <c r="M34" s="2593"/>
      <c r="N34" s="2593"/>
      <c r="O34" s="2593"/>
      <c r="P34" s="2593"/>
      <c r="Q34" s="2593"/>
      <c r="R34" s="2593"/>
      <c r="S34" s="2593"/>
      <c r="T34" s="2593"/>
      <c r="U34" s="2593"/>
      <c r="V34" s="2593"/>
      <c r="W34" s="2593"/>
      <c r="X34" s="2593"/>
    </row>
    <row r="36" spans="12:24" x14ac:dyDescent="0.2">
      <c r="L36" s="2599"/>
      <c r="M36" s="2599"/>
      <c r="N36" s="2599"/>
      <c r="O36" s="2599"/>
      <c r="P36" s="2599"/>
      <c r="Q36" s="2599"/>
      <c r="R36" s="2599"/>
    </row>
    <row r="37" spans="12:24" x14ac:dyDescent="0.2">
      <c r="L37" s="2598"/>
      <c r="M37" s="2598"/>
      <c r="N37" s="2598"/>
      <c r="O37" s="2598"/>
      <c r="P37" s="2598"/>
      <c r="Q37" s="2598"/>
      <c r="R37" s="2598"/>
    </row>
    <row r="38" spans="12:24" x14ac:dyDescent="0.2">
      <c r="L38" s="2598"/>
      <c r="M38" s="2598"/>
      <c r="N38" s="2598"/>
      <c r="O38" s="2598"/>
      <c r="P38" s="2598"/>
      <c r="Q38" s="2598"/>
      <c r="R38" s="2598"/>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tabColor theme="7" tint="-0.249977111117893"/>
  </sheetPr>
  <dimension ref="B1:W165"/>
  <sheetViews>
    <sheetView showGridLines="0" topLeftCell="A31" zoomScale="85" zoomScaleNormal="85" workbookViewId="0">
      <selection activeCell="G21" sqref="G21"/>
    </sheetView>
  </sheetViews>
  <sheetFormatPr baseColWidth="10" defaultRowHeight="12.75" x14ac:dyDescent="0.15"/>
  <cols>
    <col min="1" max="1" width="2.7109375" style="2184" customWidth="1"/>
    <col min="2" max="2" width="10.5703125" style="2184" customWidth="1"/>
    <col min="3" max="3" width="13.28515625" style="2184" customWidth="1"/>
    <col min="4" max="4" width="16" style="2184" customWidth="1"/>
    <col min="5" max="5" width="14.85546875" style="2184" customWidth="1"/>
    <col min="6" max="6" width="16.85546875" style="2184" customWidth="1"/>
    <col min="7" max="7" width="15.42578125" style="2184" customWidth="1"/>
    <col min="8" max="8" width="10" style="2184" customWidth="1"/>
    <col min="9" max="9" width="16.140625" style="2184" customWidth="1"/>
    <col min="10" max="10" width="8.5703125" style="2184" customWidth="1"/>
    <col min="11" max="11" width="8.28515625" style="2184" customWidth="1"/>
    <col min="12" max="12" width="17.7109375" style="2184" customWidth="1"/>
    <col min="13" max="13" width="12.5703125" style="2184" customWidth="1"/>
    <col min="14" max="14" width="10.7109375" style="2184" customWidth="1"/>
    <col min="15" max="15" width="0" style="2184" hidden="1" customWidth="1"/>
    <col min="16" max="16" width="11.5703125" style="2184" hidden="1" customWidth="1"/>
    <col min="17" max="17" width="11.42578125" style="2184" hidden="1" customWidth="1"/>
    <col min="18" max="20" width="11.5703125" style="2184" hidden="1" customWidth="1"/>
    <col min="21" max="21" width="11.42578125" style="2184" hidden="1" customWidth="1"/>
    <col min="22" max="22" width="11.42578125" style="2185" hidden="1" customWidth="1"/>
    <col min="23" max="23" width="11.42578125" style="2184" hidden="1" customWidth="1"/>
    <col min="24" max="25" width="11.42578125" style="2184" customWidth="1"/>
    <col min="26" max="16384" width="11.42578125" style="2184"/>
  </cols>
  <sheetData>
    <row r="1" spans="2:23" x14ac:dyDescent="0.2">
      <c r="B1" s="2183"/>
      <c r="C1" s="2183"/>
      <c r="D1" s="2183"/>
      <c r="E1" s="2183"/>
      <c r="F1" s="2183"/>
      <c r="G1" s="2183"/>
      <c r="H1" s="2183"/>
      <c r="I1" s="2183"/>
      <c r="J1" s="2183"/>
      <c r="K1" s="2183"/>
      <c r="L1" s="2183"/>
      <c r="M1" s="2183"/>
      <c r="N1" s="2183"/>
      <c r="O1" s="2183"/>
    </row>
    <row r="2" spans="2:23" ht="13.5" thickBot="1" x14ac:dyDescent="0.25">
      <c r="B2" s="2186"/>
      <c r="C2" s="2186"/>
      <c r="D2" s="2186"/>
      <c r="E2" s="2186"/>
      <c r="F2" s="2186"/>
      <c r="G2" s="2186"/>
      <c r="H2" s="2186"/>
      <c r="I2" s="2186"/>
      <c r="J2" s="2186"/>
      <c r="K2" s="2186"/>
      <c r="L2" s="2186"/>
      <c r="M2" s="2186"/>
      <c r="N2" s="2186"/>
      <c r="O2" s="2183"/>
    </row>
    <row r="3" spans="2:23" x14ac:dyDescent="0.15">
      <c r="B3" s="2187"/>
      <c r="C3" s="2188"/>
      <c r="D3" s="2188"/>
      <c r="E3" s="2188"/>
      <c r="F3" s="2188"/>
      <c r="G3" s="2188"/>
      <c r="H3" s="2188"/>
      <c r="I3" s="2188"/>
      <c r="J3" s="2188"/>
      <c r="K3" s="2188"/>
      <c r="L3" s="2188"/>
      <c r="M3" s="2188"/>
      <c r="N3" s="2189"/>
    </row>
    <row r="4" spans="2:23" ht="12.75" customHeight="1" x14ac:dyDescent="0.15">
      <c r="B4" s="2190"/>
      <c r="C4" s="2191"/>
      <c r="D4" s="2191"/>
      <c r="E4" s="2191"/>
      <c r="F4" s="2191"/>
      <c r="G4" s="2191"/>
      <c r="H4" s="2191"/>
      <c r="I4" s="2191"/>
      <c r="J4" s="2191"/>
      <c r="K4" s="2191"/>
      <c r="L4" s="2191"/>
      <c r="M4" s="2191"/>
      <c r="N4" s="2192"/>
      <c r="Q4" s="2184" t="s">
        <v>103</v>
      </c>
      <c r="W4" s="2184">
        <v>210</v>
      </c>
    </row>
    <row r="5" spans="2:23" ht="12.75" customHeight="1" x14ac:dyDescent="0.15">
      <c r="B5" s="2190"/>
      <c r="C5" s="2191"/>
      <c r="D5" s="3146" t="s">
        <v>1524</v>
      </c>
      <c r="E5" s="3146"/>
      <c r="F5" s="3146"/>
      <c r="G5" s="3146"/>
      <c r="H5" s="3146"/>
      <c r="I5" s="3146"/>
      <c r="J5" s="3146"/>
      <c r="K5" s="3146"/>
      <c r="L5" s="3146"/>
      <c r="M5" s="3146"/>
      <c r="N5" s="2192"/>
      <c r="Q5" s="2184" t="s">
        <v>104</v>
      </c>
      <c r="R5" s="2193" t="s">
        <v>1098</v>
      </c>
      <c r="W5" s="2184">
        <v>220</v>
      </c>
    </row>
    <row r="6" spans="2:23" ht="12.75" customHeight="1" x14ac:dyDescent="0.15">
      <c r="B6" s="2194"/>
      <c r="C6" s="2195"/>
      <c r="D6" s="3147"/>
      <c r="E6" s="3147"/>
      <c r="F6" s="3147"/>
      <c r="G6" s="3147"/>
      <c r="H6" s="3147"/>
      <c r="I6" s="3147"/>
      <c r="J6" s="3147"/>
      <c r="K6" s="3147"/>
      <c r="L6" s="3147"/>
      <c r="M6" s="3147"/>
      <c r="N6" s="2196"/>
      <c r="R6" s="2193" t="s">
        <v>484</v>
      </c>
      <c r="W6" s="2184">
        <v>415</v>
      </c>
    </row>
    <row r="7" spans="2:23" x14ac:dyDescent="0.15">
      <c r="B7" s="2190"/>
      <c r="C7" s="2191"/>
      <c r="D7" s="2191"/>
      <c r="E7" s="2191"/>
      <c r="F7" s="2191"/>
      <c r="G7" s="2191"/>
      <c r="H7" s="2191"/>
      <c r="I7" s="2191"/>
      <c r="J7" s="2191"/>
      <c r="K7" s="2191"/>
      <c r="L7" s="2191"/>
      <c r="M7" s="2191"/>
      <c r="N7" s="2192"/>
      <c r="R7" s="2193" t="s">
        <v>1095</v>
      </c>
      <c r="W7" s="2184">
        <v>425</v>
      </c>
    </row>
    <row r="8" spans="2:23" x14ac:dyDescent="0.15">
      <c r="B8" s="2190"/>
      <c r="C8" s="2191"/>
      <c r="D8" s="2191"/>
      <c r="E8" s="2191"/>
      <c r="F8" s="2191"/>
      <c r="G8" s="2191"/>
      <c r="H8" s="2191"/>
      <c r="I8" s="2191"/>
      <c r="J8" s="2191"/>
      <c r="K8" s="2191"/>
      <c r="L8" s="2191"/>
      <c r="M8" s="2191"/>
      <c r="N8" s="2192"/>
      <c r="P8" s="2184">
        <f>[2]CIIU!A2:A447</f>
        <v>115</v>
      </c>
      <c r="R8" s="2193" t="s">
        <v>483</v>
      </c>
      <c r="W8" s="2184">
        <v>426</v>
      </c>
    </row>
    <row r="9" spans="2:23" x14ac:dyDescent="0.15">
      <c r="B9" s="2197" t="s">
        <v>113</v>
      </c>
      <c r="C9" s="2191"/>
      <c r="D9" s="2191"/>
      <c r="E9" s="2191"/>
      <c r="F9" s="2198" t="s">
        <v>114</v>
      </c>
      <c r="G9" s="2191"/>
      <c r="H9" s="2191"/>
      <c r="I9" s="2191"/>
      <c r="J9" s="2191"/>
      <c r="K9" s="2199" t="s">
        <v>1357</v>
      </c>
      <c r="L9" s="2200"/>
      <c r="M9" s="2191"/>
      <c r="N9" s="2192"/>
      <c r="R9" s="2193" t="s">
        <v>1096</v>
      </c>
      <c r="W9" s="2184">
        <v>131</v>
      </c>
    </row>
    <row r="10" spans="2:23" x14ac:dyDescent="0.2">
      <c r="B10" s="2201" t="s">
        <v>162</v>
      </c>
      <c r="C10" s="2202">
        <f ca="1">TODAY()</f>
        <v>43776</v>
      </c>
      <c r="D10" s="2203"/>
      <c r="E10" s="2204"/>
      <c r="F10" s="2204" t="s">
        <v>115</v>
      </c>
      <c r="G10" s="2205"/>
      <c r="H10" s="2191"/>
      <c r="I10" s="2191"/>
      <c r="J10" s="2191"/>
      <c r="K10" s="2199" t="s">
        <v>627</v>
      </c>
      <c r="L10" s="2200" t="s">
        <v>104</v>
      </c>
      <c r="M10" s="2191"/>
      <c r="N10" s="2192"/>
      <c r="Q10" s="2184" t="s">
        <v>1042</v>
      </c>
      <c r="R10" s="2184">
        <v>9.3000000000000007</v>
      </c>
      <c r="S10" s="2184">
        <v>-2</v>
      </c>
      <c r="T10" s="2206">
        <v>0</v>
      </c>
      <c r="U10" s="2184" t="s">
        <v>953</v>
      </c>
      <c r="W10" s="2184">
        <v>140</v>
      </c>
    </row>
    <row r="11" spans="2:23" x14ac:dyDescent="0.15">
      <c r="B11" s="2207" t="s">
        <v>220</v>
      </c>
      <c r="C11" s="2208"/>
      <c r="D11" s="2209"/>
      <c r="E11" s="2208"/>
      <c r="F11" s="2210"/>
      <c r="G11" s="2210"/>
      <c r="H11" s="2208"/>
      <c r="I11" s="2211"/>
      <c r="J11" s="3029" t="s">
        <v>1819</v>
      </c>
      <c r="K11" s="3029"/>
      <c r="L11" s="3029"/>
      <c r="M11" s="2211"/>
      <c r="N11" s="2212"/>
      <c r="Q11" s="2184" t="s">
        <v>1043</v>
      </c>
      <c r="R11" s="2184">
        <v>9</v>
      </c>
      <c r="S11" s="2184">
        <v>-1</v>
      </c>
      <c r="T11" s="2206">
        <v>0.25</v>
      </c>
      <c r="U11" s="2184" t="s">
        <v>954</v>
      </c>
    </row>
    <row r="12" spans="2:23" x14ac:dyDescent="0.15">
      <c r="B12" s="2190"/>
      <c r="C12" s="2191"/>
      <c r="D12" s="2191"/>
      <c r="E12" s="2191"/>
      <c r="F12" s="2191"/>
      <c r="G12" s="2191"/>
      <c r="H12" s="2191"/>
      <c r="I12" s="2191"/>
      <c r="J12" s="2191"/>
      <c r="K12" s="2191"/>
      <c r="L12" s="2191"/>
      <c r="M12" s="2191"/>
      <c r="N12" s="2192"/>
      <c r="P12" s="2213"/>
      <c r="Q12" s="2184" t="s">
        <v>1044</v>
      </c>
      <c r="R12" s="2184">
        <v>8.5</v>
      </c>
      <c r="S12" s="2184">
        <v>0</v>
      </c>
      <c r="T12" s="2206">
        <v>0.5</v>
      </c>
      <c r="U12" s="2184" t="s">
        <v>1487</v>
      </c>
    </row>
    <row r="13" spans="2:23" x14ac:dyDescent="0.15">
      <c r="B13" s="2190"/>
      <c r="C13" s="2191"/>
      <c r="D13" s="2191"/>
      <c r="E13" s="2191"/>
      <c r="F13" s="2191"/>
      <c r="G13" s="2191"/>
      <c r="H13" s="2191"/>
      <c r="I13" s="2191"/>
      <c r="J13" s="2191"/>
      <c r="K13" s="2191"/>
      <c r="L13" s="2191"/>
      <c r="M13" s="2191"/>
      <c r="N13" s="2192"/>
      <c r="Q13" s="2184" t="s">
        <v>1045</v>
      </c>
      <c r="R13" s="2184">
        <v>8</v>
      </c>
      <c r="T13" s="2206">
        <v>0.75</v>
      </c>
      <c r="U13" s="2184" t="s">
        <v>1488</v>
      </c>
      <c r="W13" s="2214"/>
    </row>
    <row r="14" spans="2:23" ht="15" x14ac:dyDescent="0.15">
      <c r="B14" s="2197" t="s">
        <v>154</v>
      </c>
      <c r="C14" s="2191"/>
      <c r="D14" s="2397">
        <f>General!D6</f>
        <v>0</v>
      </c>
      <c r="E14" s="2395"/>
      <c r="F14" s="2396"/>
      <c r="G14" s="2198" t="s">
        <v>159</v>
      </c>
      <c r="H14" s="2191"/>
      <c r="I14" s="2217"/>
      <c r="J14" s="2191"/>
      <c r="K14" s="2216"/>
      <c r="L14" s="2218"/>
      <c r="M14" s="3148" t="s">
        <v>160</v>
      </c>
      <c r="N14" s="3149"/>
      <c r="R14" s="2184">
        <v>7.5</v>
      </c>
      <c r="T14" s="2206">
        <v>1</v>
      </c>
      <c r="U14" s="2184" t="s">
        <v>1513</v>
      </c>
    </row>
    <row r="15" spans="2:23" x14ac:dyDescent="0.15">
      <c r="B15" s="2197" t="s">
        <v>107</v>
      </c>
      <c r="C15" s="2191"/>
      <c r="D15" s="2215">
        <f>General!D9</f>
        <v>0</v>
      </c>
      <c r="E15" s="2216"/>
      <c r="F15" s="2191"/>
      <c r="G15" s="2204" t="s">
        <v>993</v>
      </c>
      <c r="H15" s="2219">
        <f ca="1">+CodCIIU</f>
        <v>0</v>
      </c>
      <c r="I15" s="2219"/>
      <c r="J15" s="2220"/>
      <c r="K15" s="2221"/>
      <c r="L15" s="2218"/>
      <c r="M15" s="2221"/>
      <c r="N15" s="2222" t="s">
        <v>161</v>
      </c>
      <c r="Q15" s="2184" t="s">
        <v>150</v>
      </c>
      <c r="R15" s="2184">
        <v>7</v>
      </c>
      <c r="U15" s="2184" t="s">
        <v>1514</v>
      </c>
    </row>
    <row r="16" spans="2:23" x14ac:dyDescent="0.15">
      <c r="B16" s="2197" t="s">
        <v>989</v>
      </c>
      <c r="C16" s="2215"/>
      <c r="D16" s="2191"/>
      <c r="E16" s="2216"/>
      <c r="F16" s="2191"/>
      <c r="G16" s="2204" t="s">
        <v>1037</v>
      </c>
      <c r="H16" s="2380">
        <f>+[2]AR!G7</f>
        <v>0</v>
      </c>
      <c r="I16" s="2223"/>
      <c r="J16" s="2224"/>
      <c r="K16" s="2225"/>
      <c r="L16" s="2213"/>
      <c r="M16" s="2213" t="s">
        <v>636</v>
      </c>
      <c r="N16" s="2226">
        <f ca="1">TODAY()</f>
        <v>43776</v>
      </c>
      <c r="Q16" s="2184" t="s">
        <v>151</v>
      </c>
      <c r="R16" s="2184">
        <v>6.5</v>
      </c>
      <c r="U16" s="2184" t="s">
        <v>1342</v>
      </c>
    </row>
    <row r="17" spans="2:22" x14ac:dyDescent="0.2">
      <c r="B17" s="2227" t="s">
        <v>990</v>
      </c>
      <c r="C17" s="2228"/>
      <c r="D17" s="2229"/>
      <c r="E17" s="2229"/>
      <c r="F17" s="2229"/>
      <c r="G17" s="2229"/>
      <c r="H17" s="2229"/>
      <c r="I17" s="2229"/>
      <c r="J17" s="2229"/>
      <c r="K17" s="2229"/>
      <c r="L17" s="2229"/>
      <c r="M17" s="2213" t="s">
        <v>1040</v>
      </c>
      <c r="N17" s="2230">
        <f>N89</f>
        <v>0</v>
      </c>
      <c r="P17" s="2198"/>
      <c r="Q17" s="2184" t="s">
        <v>152</v>
      </c>
      <c r="R17" s="2184">
        <v>6</v>
      </c>
      <c r="U17" s="2184" t="s">
        <v>1343</v>
      </c>
    </row>
    <row r="18" spans="2:22" x14ac:dyDescent="0.2">
      <c r="B18" s="2197" t="s">
        <v>991</v>
      </c>
      <c r="C18" s="2228"/>
      <c r="D18" s="2191"/>
      <c r="E18" s="2191"/>
      <c r="F18" s="2191"/>
      <c r="G18" s="2191"/>
      <c r="H18" s="2191"/>
      <c r="I18" s="2191"/>
      <c r="J18" s="2216"/>
      <c r="K18" s="2213"/>
      <c r="L18" s="2231"/>
      <c r="M18" s="2213" t="s">
        <v>1041</v>
      </c>
      <c r="N18" s="2230">
        <f>N17</f>
        <v>0</v>
      </c>
      <c r="Q18" s="2184" t="s">
        <v>153</v>
      </c>
      <c r="R18" s="2184">
        <v>5.5</v>
      </c>
    </row>
    <row r="19" spans="2:22" x14ac:dyDescent="0.15">
      <c r="B19" s="2197" t="s">
        <v>992</v>
      </c>
      <c r="C19" s="2232"/>
      <c r="D19" s="2198" t="s">
        <v>163</v>
      </c>
      <c r="E19" s="2233"/>
      <c r="F19" s="2191"/>
      <c r="G19" s="2234" t="s">
        <v>155</v>
      </c>
      <c r="H19" s="2235"/>
      <c r="I19" s="2235"/>
      <c r="J19" s="2234" t="s">
        <v>156</v>
      </c>
      <c r="K19" s="2235"/>
      <c r="L19" s="2231"/>
      <c r="M19" s="2216" t="s">
        <v>1042</v>
      </c>
      <c r="N19" s="2236" t="s">
        <v>1429</v>
      </c>
      <c r="R19" s="2184">
        <v>5</v>
      </c>
    </row>
    <row r="20" spans="2:22" x14ac:dyDescent="0.2">
      <c r="B20" s="2237" t="s">
        <v>1525</v>
      </c>
      <c r="C20" s="2238"/>
      <c r="D20" s="2239"/>
      <c r="E20" s="2238"/>
      <c r="F20" s="2240" t="s">
        <v>1526</v>
      </c>
      <c r="G20" s="2241"/>
      <c r="H20" s="2240" t="s">
        <v>1527</v>
      </c>
      <c r="I20" s="2242"/>
      <c r="J20" s="2243"/>
      <c r="K20" s="2191"/>
      <c r="L20" s="3150" t="s">
        <v>1044</v>
      </c>
      <c r="M20" s="3150"/>
      <c r="N20" s="2236" t="s">
        <v>1429</v>
      </c>
      <c r="R20" s="2184">
        <v>4.5</v>
      </c>
    </row>
    <row r="21" spans="2:22" x14ac:dyDescent="0.2">
      <c r="B21" s="2237" t="s">
        <v>1528</v>
      </c>
      <c r="C21" s="2238"/>
      <c r="D21" s="2241"/>
      <c r="E21" s="2238"/>
      <c r="F21" s="2240" t="s">
        <v>1529</v>
      </c>
      <c r="G21" s="2242" t="s">
        <v>1820</v>
      </c>
      <c r="H21" s="2240" t="s">
        <v>1530</v>
      </c>
      <c r="I21" s="2242"/>
      <c r="J21" s="2242" t="s">
        <v>1820</v>
      </c>
      <c r="K21" s="2198"/>
      <c r="L21" s="2215"/>
      <c r="M21" s="2244"/>
      <c r="N21" s="2245"/>
      <c r="R21" s="2184">
        <v>4</v>
      </c>
    </row>
    <row r="22" spans="2:22" x14ac:dyDescent="0.15">
      <c r="B22" s="2246"/>
      <c r="C22" s="2247" t="s">
        <v>189</v>
      </c>
      <c r="D22" s="2248"/>
      <c r="E22" s="2248"/>
      <c r="F22" s="2248"/>
      <c r="G22" s="2248"/>
      <c r="H22" s="2248"/>
      <c r="I22" s="2248" t="s">
        <v>1726</v>
      </c>
      <c r="J22" s="2249"/>
      <c r="K22" s="2249"/>
      <c r="L22" s="2249"/>
      <c r="M22" s="2249"/>
      <c r="N22" s="2250"/>
      <c r="R22" s="2184">
        <v>3.5</v>
      </c>
    </row>
    <row r="23" spans="2:22" ht="12.75" customHeight="1" x14ac:dyDescent="0.15">
      <c r="B23" s="2251" t="s">
        <v>192</v>
      </c>
      <c r="C23" s="2252">
        <f>[2]Cuadros!C2</f>
        <v>42277</v>
      </c>
      <c r="D23" s="2253"/>
      <c r="E23" s="2254"/>
      <c r="F23" s="2255"/>
      <c r="G23" s="2256"/>
      <c r="H23" s="2191"/>
      <c r="I23" s="2191"/>
      <c r="J23" s="2191"/>
      <c r="K23" s="2191"/>
      <c r="L23" s="2191"/>
      <c r="M23" s="2191"/>
      <c r="N23" s="2257"/>
      <c r="P23" s="2184">
        <v>3</v>
      </c>
      <c r="T23" s="2185"/>
      <c r="V23" s="2184"/>
    </row>
    <row r="24" spans="2:22" x14ac:dyDescent="0.15">
      <c r="B24" s="2258" t="s">
        <v>195</v>
      </c>
      <c r="C24" s="2259" t="s">
        <v>421</v>
      </c>
      <c r="D24" s="2259" t="s">
        <v>196</v>
      </c>
      <c r="E24" s="2260" t="s">
        <v>425</v>
      </c>
      <c r="F24" s="2261" t="s">
        <v>590</v>
      </c>
      <c r="G24" s="2256"/>
      <c r="H24" s="2191"/>
      <c r="I24" s="2248" t="s">
        <v>1821</v>
      </c>
      <c r="J24" s="2249"/>
      <c r="K24" s="2249"/>
      <c r="L24" s="2249"/>
      <c r="M24" s="2249"/>
      <c r="N24" s="2250"/>
      <c r="P24" s="2184">
        <v>2.5</v>
      </c>
      <c r="T24" s="2185"/>
      <c r="V24" s="2184"/>
    </row>
    <row r="25" spans="2:22" x14ac:dyDescent="0.15">
      <c r="B25" s="2384" t="str">
        <f>IF(Cuadros!B4&lt;&gt;"",Cuadros!B4,"")</f>
        <v/>
      </c>
      <c r="C25" s="2381" t="str">
        <f>IF(Cuadros!C4&lt;&gt;"",Cuadros!C4,"")</f>
        <v/>
      </c>
      <c r="D25" s="2382">
        <f>IF(Cuadros!G4&lt;&gt;"",Cuadros!G4,"")</f>
        <v>0</v>
      </c>
      <c r="E25" s="2381" t="str">
        <f>IF(Cuadros!I4&lt;&gt;"",Cuadros!I4,"")</f>
        <v/>
      </c>
      <c r="F25" s="2383" t="str">
        <f>IF(Cuadros!J4&lt;&gt;"",Cuadros!J4,"")</f>
        <v/>
      </c>
      <c r="G25" s="2256"/>
      <c r="H25" s="2191"/>
      <c r="I25" s="2256"/>
      <c r="J25" s="2252">
        <f>AR!H13</f>
        <v>43100</v>
      </c>
      <c r="K25" s="2252">
        <f>AR!I13</f>
        <v>43465</v>
      </c>
      <c r="L25" s="2256"/>
      <c r="M25" s="2252">
        <f>AR!L13</f>
        <v>43100</v>
      </c>
      <c r="N25" s="2262">
        <f>AR!M13</f>
        <v>43465</v>
      </c>
      <c r="P25" s="2184">
        <v>2</v>
      </c>
      <c r="T25" s="2185"/>
      <c r="V25" s="2184"/>
    </row>
    <row r="26" spans="2:22" x14ac:dyDescent="0.15">
      <c r="B26" s="2388" t="str">
        <f>IF(Cuadros!B5&lt;&gt;"",Cuadros!B5,"")</f>
        <v/>
      </c>
      <c r="C26" s="2385" t="str">
        <f>IF(Cuadros!C5&lt;&gt;"",Cuadros!C5,"")</f>
        <v/>
      </c>
      <c r="D26" s="2386">
        <f>IF(Cuadros!G5&lt;&gt;"",Cuadros!G5,"")</f>
        <v>0</v>
      </c>
      <c r="E26" s="2386" t="str">
        <f>IF(Cuadros!I5&lt;&gt;"",Cuadros!I5,"")</f>
        <v/>
      </c>
      <c r="F26" s="2387" t="str">
        <f>IF(Cuadros!J5&lt;&gt;"",Cuadros!J5,"")</f>
        <v/>
      </c>
      <c r="G26" s="2256"/>
      <c r="H26" s="2191"/>
      <c r="I26" s="2265" t="s">
        <v>172</v>
      </c>
      <c r="J26" s="2266">
        <f>AR!H14</f>
        <v>0</v>
      </c>
      <c r="K26" s="2266">
        <f>AR!I14</f>
        <v>0</v>
      </c>
      <c r="L26" s="2265" t="s">
        <v>1499</v>
      </c>
      <c r="M26" s="2267" t="str">
        <f>AR!L14</f>
        <v>N.A.</v>
      </c>
      <c r="N26" s="2268" t="str">
        <f>AR!M14</f>
        <v>N.A.</v>
      </c>
      <c r="P26" s="2184">
        <v>1.5</v>
      </c>
      <c r="T26" s="2185"/>
      <c r="V26" s="2184"/>
    </row>
    <row r="27" spans="2:22" x14ac:dyDescent="0.15">
      <c r="B27" s="2388" t="str">
        <f>IF(Cuadros!B6&lt;&gt;"",Cuadros!B6,"")</f>
        <v/>
      </c>
      <c r="C27" s="2385" t="str">
        <f>IF(Cuadros!C6&lt;&gt;"",Cuadros!C6,"")</f>
        <v/>
      </c>
      <c r="D27" s="2386">
        <f>IF(Cuadros!G6&lt;&gt;"",Cuadros!G6,"")</f>
        <v>0</v>
      </c>
      <c r="E27" s="2386" t="str">
        <f>IF(Cuadros!I6&lt;&gt;"",Cuadros!I6,"")</f>
        <v/>
      </c>
      <c r="F27" s="2387" t="str">
        <f>IF(Cuadros!J6&lt;&gt;"",Cuadros!J6,"")</f>
        <v/>
      </c>
      <c r="G27" s="2256"/>
      <c r="H27" s="2191"/>
      <c r="I27" s="2265" t="s">
        <v>175</v>
      </c>
      <c r="J27" s="2266">
        <f>AR!H15</f>
        <v>0</v>
      </c>
      <c r="K27" s="2266">
        <f>AR!I15</f>
        <v>0</v>
      </c>
      <c r="L27" s="2265" t="s">
        <v>188</v>
      </c>
      <c r="M27" s="2269">
        <f>AR!L15</f>
        <v>0</v>
      </c>
      <c r="N27" s="2270">
        <f>AR!M15</f>
        <v>0</v>
      </c>
      <c r="P27" s="2184">
        <v>1</v>
      </c>
      <c r="T27" s="2185"/>
      <c r="V27" s="2184"/>
    </row>
    <row r="28" spans="2:22" x14ac:dyDescent="0.15">
      <c r="B28" s="2388" t="str">
        <f>IF(Cuadros!B7&lt;&gt;"",Cuadros!B7,"")</f>
        <v/>
      </c>
      <c r="C28" s="2385" t="str">
        <f>IF(Cuadros!C7&lt;&gt;"",Cuadros!C7,"")</f>
        <v/>
      </c>
      <c r="D28" s="2386">
        <f>IF(Cuadros!G7&lt;&gt;"",Cuadros!G7,"")</f>
        <v>0</v>
      </c>
      <c r="E28" s="2386" t="str">
        <f>IF(Cuadros!I7&lt;&gt;"",Cuadros!I7,"")</f>
        <v/>
      </c>
      <c r="F28" s="2387" t="str">
        <f>IF(Cuadros!J7&lt;&gt;"",Cuadros!J7,"")</f>
        <v/>
      </c>
      <c r="G28" s="2256"/>
      <c r="H28" s="2191"/>
      <c r="I28" s="2265" t="s">
        <v>178</v>
      </c>
      <c r="J28" s="2266">
        <f>AR!H16</f>
        <v>0</v>
      </c>
      <c r="K28" s="2266">
        <f>AR!I16</f>
        <v>0</v>
      </c>
      <c r="L28" s="2265" t="s">
        <v>1500</v>
      </c>
      <c r="M28" s="2182" t="e">
        <f>AR!L16</f>
        <v>#DIV/0!</v>
      </c>
      <c r="N28" s="2271" t="e">
        <f>AR!M16</f>
        <v>#DIV/0!</v>
      </c>
      <c r="P28" s="2198"/>
      <c r="T28" s="2185"/>
      <c r="V28" s="2184"/>
    </row>
    <row r="29" spans="2:22" x14ac:dyDescent="0.15">
      <c r="B29" s="2388" t="str">
        <f>IF(Cuadros!B8&lt;&gt;"",Cuadros!B8,"")</f>
        <v/>
      </c>
      <c r="C29" s="2385" t="str">
        <f>IF(Cuadros!C8&lt;&gt;"",Cuadros!C8,"")</f>
        <v/>
      </c>
      <c r="D29" s="2386">
        <f>IF(Cuadros!G8&lt;&gt;"",Cuadros!G8,"")</f>
        <v>0</v>
      </c>
      <c r="E29" s="2386" t="str">
        <f>IF(Cuadros!I8&lt;&gt;"",Cuadros!I8,"")</f>
        <v/>
      </c>
      <c r="F29" s="2387" t="str">
        <f>IF(Cuadros!J8&lt;&gt;"",Cuadros!J8,"")</f>
        <v/>
      </c>
      <c r="G29" s="2256"/>
      <c r="H29" s="2191"/>
      <c r="I29" s="2265" t="s">
        <v>181</v>
      </c>
      <c r="J29" s="2266">
        <f>AR!H17</f>
        <v>0</v>
      </c>
      <c r="K29" s="2266">
        <f>AR!I17</f>
        <v>0</v>
      </c>
      <c r="L29" s="2265" t="s">
        <v>697</v>
      </c>
      <c r="M29" s="2182">
        <f>AR!L17</f>
        <v>0</v>
      </c>
      <c r="N29" s="2271">
        <f>AR!M17</f>
        <v>0</v>
      </c>
      <c r="P29" s="2184" t="s">
        <v>597</v>
      </c>
      <c r="T29" s="2185"/>
      <c r="V29" s="2184"/>
    </row>
    <row r="30" spans="2:22" x14ac:dyDescent="0.15">
      <c r="B30" s="2388" t="str">
        <f>IF(Cuadros!B9&lt;&gt;"",Cuadros!B9,"")</f>
        <v/>
      </c>
      <c r="C30" s="2385" t="str">
        <f>IF(Cuadros!C9&lt;&gt;"",Cuadros!C9,"")</f>
        <v/>
      </c>
      <c r="D30" s="2386">
        <f>IF(Cuadros!G9&lt;&gt;"",Cuadros!G9,"")</f>
        <v>0</v>
      </c>
      <c r="E30" s="2386" t="str">
        <f>IF(Cuadros!I9&lt;&gt;"",Cuadros!I9,"")</f>
        <v/>
      </c>
      <c r="F30" s="2387" t="str">
        <f>IF(Cuadros!J9&lt;&gt;"",Cuadros!J9,"")</f>
        <v/>
      </c>
      <c r="G30" s="2256"/>
      <c r="H30" s="2191"/>
      <c r="I30" s="2265" t="s">
        <v>184</v>
      </c>
      <c r="J30" s="2266">
        <f>AR!H18</f>
        <v>0</v>
      </c>
      <c r="K30" s="2266">
        <f>AR!I18</f>
        <v>0</v>
      </c>
      <c r="L30" s="2265" t="s">
        <v>763</v>
      </c>
      <c r="M30" s="2272">
        <f>AR!L18</f>
        <v>0</v>
      </c>
      <c r="N30" s="2273">
        <f>AR!M18</f>
        <v>0</v>
      </c>
      <c r="P30" s="2184" t="s">
        <v>741</v>
      </c>
      <c r="T30" s="2185"/>
      <c r="V30" s="2184"/>
    </row>
    <row r="31" spans="2:22" x14ac:dyDescent="0.15">
      <c r="B31" s="2389" t="str">
        <f>IF(Cuadros!B10&lt;&gt;"",Cuadros!B10,"")</f>
        <v/>
      </c>
      <c r="C31" s="2390" t="str">
        <f>IF(Cuadros!C10&lt;&gt;"",Cuadros!C10,"")</f>
        <v/>
      </c>
      <c r="D31" s="2390">
        <f>IF(Cuadros!G10&lt;&gt;"",Cuadros!G10,"")</f>
        <v>0</v>
      </c>
      <c r="E31" s="2386" t="str">
        <f>IF(Cuadros!I10&lt;&gt;"",Cuadros!I10,"")</f>
        <v/>
      </c>
      <c r="F31" s="2387" t="str">
        <f>IF(Cuadros!J10&lt;&gt;"",Cuadros!J10,"")</f>
        <v/>
      </c>
      <c r="G31" s="2256"/>
      <c r="H31" s="2191"/>
      <c r="I31" s="2265" t="s">
        <v>187</v>
      </c>
      <c r="J31" s="2266">
        <f>AR!H19</f>
        <v>0</v>
      </c>
      <c r="K31" s="2266">
        <f>AR!I19</f>
        <v>0</v>
      </c>
      <c r="L31" s="2265" t="s">
        <v>1501</v>
      </c>
      <c r="M31" s="2275">
        <f>AR!L19</f>
        <v>0</v>
      </c>
      <c r="N31" s="2276">
        <f>AR!M19</f>
        <v>0</v>
      </c>
      <c r="T31" s="2185"/>
      <c r="V31" s="2184"/>
    </row>
    <row r="32" spans="2:22" x14ac:dyDescent="0.15">
      <c r="B32" s="2277" t="str">
        <f>IF(Cuadros!B11&lt;&gt;"",Cuadros!B11,"")</f>
        <v/>
      </c>
      <c r="C32" s="2278" t="str">
        <f>IF(Cuadros!C11&lt;&gt;"",Cuadros!C11,"")</f>
        <v/>
      </c>
      <c r="D32" s="2391">
        <f>IF(Cuadros!G11&lt;&gt;"",Cuadros!G11,"")</f>
        <v>0</v>
      </c>
      <c r="E32" s="2278" t="str">
        <f>IF(Cuadros!I11&lt;&gt;"",Cuadros!I11,"")</f>
        <v/>
      </c>
      <c r="F32" s="2279" t="str">
        <f>IF(Cuadros!J11&lt;&gt;"",Cuadros!J11,"")</f>
        <v/>
      </c>
      <c r="G32" s="2256"/>
      <c r="H32" s="2191"/>
      <c r="I32" s="2265" t="s">
        <v>190</v>
      </c>
      <c r="J32" s="2266">
        <f>AR!H20</f>
        <v>0</v>
      </c>
      <c r="K32" s="2266">
        <f>AR!I20</f>
        <v>0</v>
      </c>
      <c r="L32" s="2265" t="s">
        <v>1505</v>
      </c>
      <c r="M32" s="2280" t="str">
        <f>AR!L20</f>
        <v>n.d.</v>
      </c>
      <c r="N32" s="2281" t="str">
        <f>AR!M20</f>
        <v>n.d.</v>
      </c>
      <c r="T32" s="2185"/>
      <c r="V32" s="2184"/>
    </row>
    <row r="33" spans="2:22" x14ac:dyDescent="0.15">
      <c r="B33" s="2392" t="s">
        <v>1822</v>
      </c>
      <c r="C33" s="2393"/>
      <c r="D33" s="2394">
        <f>SUM(D27:D31)</f>
        <v>0</v>
      </c>
      <c r="E33" s="2282"/>
      <c r="F33" s="2282"/>
      <c r="G33" s="2282"/>
      <c r="H33" s="2191"/>
      <c r="I33" s="2265" t="s">
        <v>193</v>
      </c>
      <c r="J33" s="2266">
        <f>AR!H21</f>
        <v>0</v>
      </c>
      <c r="K33" s="2266">
        <f>AR!I21</f>
        <v>0</v>
      </c>
      <c r="L33" s="2265" t="s">
        <v>1504</v>
      </c>
      <c r="M33" s="2280">
        <f>AR!L21</f>
        <v>0</v>
      </c>
      <c r="N33" s="2281">
        <f>AR!M21</f>
        <v>0</v>
      </c>
      <c r="T33" s="2185"/>
      <c r="V33" s="2184"/>
    </row>
    <row r="34" spans="2:22" x14ac:dyDescent="0.15">
      <c r="B34" s="2274"/>
      <c r="C34" s="2283"/>
      <c r="D34" s="2283"/>
      <c r="E34" s="2284"/>
      <c r="F34" s="2284"/>
      <c r="G34" s="2284"/>
      <c r="H34" s="2191"/>
      <c r="I34" s="2265" t="s">
        <v>197</v>
      </c>
      <c r="J34" s="2266">
        <f>AR!H22</f>
        <v>0</v>
      </c>
      <c r="K34" s="2266">
        <f>AR!I22</f>
        <v>0</v>
      </c>
      <c r="L34" s="2265" t="s">
        <v>1506</v>
      </c>
      <c r="M34" s="2280" t="str">
        <f>AR!L22</f>
        <v>n.d.</v>
      </c>
      <c r="N34" s="2281" t="str">
        <f>AR!M22</f>
        <v>n.d.</v>
      </c>
      <c r="T34" s="2185"/>
      <c r="V34" s="2184"/>
    </row>
    <row r="35" spans="2:22" x14ac:dyDescent="0.15">
      <c r="B35" s="2285" t="s">
        <v>1823</v>
      </c>
      <c r="C35" s="2282"/>
      <c r="D35" s="2282"/>
      <c r="E35" s="2282"/>
      <c r="F35" s="2282"/>
      <c r="G35" s="2282"/>
      <c r="H35" s="2191"/>
      <c r="I35" s="2286" t="s">
        <v>199</v>
      </c>
      <c r="J35" s="2287">
        <f>AR!H23</f>
        <v>0</v>
      </c>
      <c r="K35" s="2287">
        <f>AR!I23</f>
        <v>0</v>
      </c>
      <c r="L35" s="2286" t="s">
        <v>198</v>
      </c>
      <c r="M35" s="2182" t="e">
        <f>AR!L23</f>
        <v>#DIV/0!</v>
      </c>
      <c r="N35" s="2271" t="e">
        <f>AR!M23</f>
        <v>#DIV/0!</v>
      </c>
      <c r="T35" s="2185"/>
      <c r="V35" s="2184"/>
    </row>
    <row r="36" spans="2:22" x14ac:dyDescent="0.15">
      <c r="B36" s="2288" t="s">
        <v>1824</v>
      </c>
      <c r="C36" s="2289" t="s">
        <v>1825</v>
      </c>
      <c r="D36" s="2289" t="s">
        <v>543</v>
      </c>
      <c r="E36" s="2290" t="s">
        <v>1826</v>
      </c>
      <c r="F36" s="2290" t="s">
        <v>1827</v>
      </c>
      <c r="G36" s="2290" t="s">
        <v>1828</v>
      </c>
      <c r="H36" s="2191"/>
      <c r="I36" s="2291" t="s">
        <v>200</v>
      </c>
      <c r="J36" s="2287">
        <f ca="1">AR!H24</f>
        <v>0</v>
      </c>
      <c r="K36" s="2287">
        <f ca="1">AR!I24</f>
        <v>0</v>
      </c>
      <c r="L36" s="2291" t="s">
        <v>1502</v>
      </c>
      <c r="M36" s="2272" t="e">
        <f>AR!L24</f>
        <v>#DIV/0!</v>
      </c>
      <c r="N36" s="2273" t="e">
        <f>AR!M24</f>
        <v>#DIV/0!</v>
      </c>
      <c r="O36" s="2184" t="s">
        <v>1510</v>
      </c>
      <c r="S36" s="2184" t="s">
        <v>521</v>
      </c>
      <c r="T36" s="2185"/>
      <c r="V36" s="2184"/>
    </row>
    <row r="37" spans="2:22" x14ac:dyDescent="0.15">
      <c r="B37" s="2292"/>
      <c r="C37" s="2293"/>
      <c r="D37" s="2294"/>
      <c r="E37" s="2295"/>
      <c r="F37" s="2263"/>
      <c r="G37" s="2264"/>
      <c r="H37" s="2191"/>
      <c r="I37" s="2291" t="s">
        <v>201</v>
      </c>
      <c r="J37" s="2287">
        <f>AR!H25</f>
        <v>0</v>
      </c>
      <c r="K37" s="2287">
        <f>AR!I25</f>
        <v>0</v>
      </c>
      <c r="L37" s="2291" t="s">
        <v>1829</v>
      </c>
      <c r="M37" s="2272" t="e">
        <f>AR!L25</f>
        <v>#DIV/0!</v>
      </c>
      <c r="N37" s="2273" t="e">
        <f>AR!M25</f>
        <v>#DIV/0!</v>
      </c>
      <c r="T37" s="2185"/>
      <c r="V37" s="2184"/>
    </row>
    <row r="38" spans="2:22" x14ac:dyDescent="0.15">
      <c r="B38" s="2292"/>
      <c r="C38" s="2293"/>
      <c r="D38" s="2294"/>
      <c r="E38" s="2295"/>
      <c r="F38" s="2296"/>
      <c r="G38" s="2297"/>
      <c r="H38" s="2191"/>
      <c r="I38" s="2191"/>
      <c r="J38" s="2191"/>
      <c r="K38" s="2191"/>
      <c r="L38" s="2191"/>
      <c r="M38" s="2191"/>
      <c r="N38" s="2257"/>
      <c r="T38" s="2185"/>
      <c r="V38" s="2184"/>
    </row>
    <row r="39" spans="2:22" x14ac:dyDescent="0.15">
      <c r="B39" s="2298"/>
      <c r="C39" s="2255"/>
      <c r="D39" s="2294"/>
      <c r="E39" s="2295"/>
      <c r="F39" s="2299"/>
      <c r="G39" s="2297"/>
      <c r="H39" s="2191"/>
      <c r="I39" s="2191"/>
      <c r="J39" s="2191"/>
      <c r="K39" s="2191"/>
      <c r="L39" s="2191"/>
      <c r="M39" s="2191"/>
      <c r="N39" s="2257"/>
      <c r="T39" s="2185"/>
      <c r="V39" s="2184"/>
    </row>
    <row r="40" spans="2:22" x14ac:dyDescent="0.15">
      <c r="B40" s="2292"/>
      <c r="C40" s="2255"/>
      <c r="D40" s="2300"/>
      <c r="E40" s="2301"/>
      <c r="F40" s="2299"/>
      <c r="G40" s="2297"/>
      <c r="H40" s="2191"/>
      <c r="I40" s="2191"/>
      <c r="J40" s="2191"/>
      <c r="K40" s="2191"/>
      <c r="L40" s="2191"/>
      <c r="M40" s="2191"/>
      <c r="N40" s="2257"/>
      <c r="T40" s="2185"/>
      <c r="V40" s="2184"/>
    </row>
    <row r="41" spans="2:22" x14ac:dyDescent="0.15">
      <c r="B41" s="2302"/>
      <c r="C41" s="2249"/>
      <c r="D41" s="2249"/>
      <c r="E41" s="2247" t="s">
        <v>205</v>
      </c>
      <c r="F41" s="2249"/>
      <c r="G41" s="2249"/>
      <c r="H41" s="2249"/>
      <c r="I41" s="2249"/>
      <c r="J41" s="2249"/>
      <c r="K41" s="2249"/>
      <c r="L41" s="2249"/>
      <c r="M41" s="2249"/>
      <c r="N41" s="2250"/>
      <c r="Q41" s="2184" t="s">
        <v>1344</v>
      </c>
      <c r="U41" s="2184" t="s">
        <v>522</v>
      </c>
    </row>
    <row r="42" spans="2:22" x14ac:dyDescent="0.15">
      <c r="B42" s="2303"/>
      <c r="C42" s="2304" t="s">
        <v>206</v>
      </c>
      <c r="D42" s="2304"/>
      <c r="E42" s="2304" t="s">
        <v>207</v>
      </c>
      <c r="F42" s="2304" t="s">
        <v>208</v>
      </c>
      <c r="G42" s="2304" t="s">
        <v>209</v>
      </c>
      <c r="H42" s="2304"/>
      <c r="I42" s="2304"/>
      <c r="J42" s="2304"/>
      <c r="K42" s="2304" t="s">
        <v>210</v>
      </c>
      <c r="L42" s="2215"/>
      <c r="M42" s="2215"/>
      <c r="N42" s="2305"/>
      <c r="Q42" s="2184" t="s">
        <v>1489</v>
      </c>
      <c r="U42" s="2184" t="s">
        <v>1515</v>
      </c>
    </row>
    <row r="43" spans="2:22" x14ac:dyDescent="0.15">
      <c r="B43" s="2306" t="s">
        <v>211</v>
      </c>
      <c r="C43" s="2215" t="s">
        <v>212</v>
      </c>
      <c r="D43" s="2191"/>
      <c r="E43" s="2307"/>
      <c r="F43" s="2307"/>
      <c r="G43" s="2308"/>
      <c r="H43" s="2309"/>
      <c r="I43" s="2309"/>
      <c r="J43" s="3039"/>
      <c r="K43" s="3039"/>
      <c r="L43" s="3039"/>
      <c r="M43" s="3039"/>
      <c r="N43" s="3040"/>
      <c r="Q43" s="2184" t="s">
        <v>1511</v>
      </c>
      <c r="U43" s="2184" t="s">
        <v>1358</v>
      </c>
    </row>
    <row r="44" spans="2:22" x14ac:dyDescent="0.15">
      <c r="B44" s="2306" t="s">
        <v>213</v>
      </c>
      <c r="C44" s="2215" t="s">
        <v>214</v>
      </c>
      <c r="D44" s="2191"/>
      <c r="E44" s="2307"/>
      <c r="F44" s="2307"/>
      <c r="G44" s="2308"/>
      <c r="H44" s="2309"/>
      <c r="I44" s="2309"/>
      <c r="J44" s="3039"/>
      <c r="K44" s="3039"/>
      <c r="L44" s="3039"/>
      <c r="M44" s="3039"/>
      <c r="N44" s="3040"/>
      <c r="Q44" s="2184" t="s">
        <v>518</v>
      </c>
      <c r="T44" s="2184" t="s">
        <v>523</v>
      </c>
      <c r="U44" s="2184" t="s">
        <v>1359</v>
      </c>
    </row>
    <row r="45" spans="2:22" x14ac:dyDescent="0.15">
      <c r="B45" s="2306" t="s">
        <v>215</v>
      </c>
      <c r="C45" s="2215" t="s">
        <v>216</v>
      </c>
      <c r="D45" s="2191"/>
      <c r="E45" s="2307"/>
      <c r="F45" s="2307"/>
      <c r="G45" s="2308"/>
      <c r="H45" s="2309"/>
      <c r="I45" s="2309"/>
      <c r="J45" s="3039"/>
      <c r="K45" s="3039"/>
      <c r="L45" s="3039"/>
      <c r="M45" s="3039"/>
      <c r="N45" s="3040"/>
      <c r="Q45" s="2184" t="s">
        <v>1512</v>
      </c>
      <c r="T45" s="2184" t="s">
        <v>524</v>
      </c>
      <c r="U45" s="2184" t="s">
        <v>1360</v>
      </c>
    </row>
    <row r="46" spans="2:22" ht="19.5" customHeight="1" x14ac:dyDescent="0.15">
      <c r="B46" s="2306" t="s">
        <v>217</v>
      </c>
      <c r="C46" s="2215" t="s">
        <v>218</v>
      </c>
      <c r="D46" s="2191"/>
      <c r="E46" s="2307"/>
      <c r="F46" s="2307"/>
      <c r="G46" s="2308"/>
      <c r="H46" s="2309"/>
      <c r="I46" s="2309"/>
      <c r="J46" s="3039"/>
      <c r="K46" s="3039"/>
      <c r="L46" s="3039"/>
      <c r="M46" s="3039"/>
      <c r="N46" s="3040"/>
      <c r="Q46" s="2184" t="s">
        <v>520</v>
      </c>
      <c r="T46" s="2184" t="s">
        <v>525</v>
      </c>
      <c r="U46" s="2184" t="s">
        <v>1361</v>
      </c>
    </row>
    <row r="47" spans="2:22" x14ac:dyDescent="0.15">
      <c r="B47" s="2310" t="s">
        <v>1830</v>
      </c>
      <c r="C47" s="2311"/>
      <c r="D47" s="2312">
        <f>D52</f>
        <v>0</v>
      </c>
      <c r="E47" s="2313" t="s">
        <v>221</v>
      </c>
      <c r="F47" s="2314"/>
      <c r="G47" s="2313" t="s">
        <v>222</v>
      </c>
      <c r="H47" s="2312">
        <f>SUM(C35:C40)</f>
        <v>0</v>
      </c>
      <c r="I47" s="2315"/>
      <c r="J47" s="2311"/>
      <c r="K47" s="2316" t="s">
        <v>223</v>
      </c>
      <c r="L47" s="2311"/>
      <c r="M47" s="2317">
        <v>0</v>
      </c>
      <c r="N47" s="2318"/>
      <c r="Q47" s="2184" t="s">
        <v>1362</v>
      </c>
      <c r="T47" s="2184" t="s">
        <v>1490</v>
      </c>
      <c r="U47" s="2184" t="s">
        <v>1491</v>
      </c>
    </row>
    <row r="48" spans="2:22" x14ac:dyDescent="0.15">
      <c r="B48" s="2310" t="s">
        <v>224</v>
      </c>
      <c r="C48" s="2311"/>
      <c r="D48" s="2312">
        <f>D53</f>
        <v>0</v>
      </c>
      <c r="E48" s="2313" t="s">
        <v>221</v>
      </c>
      <c r="F48" s="2314">
        <f>+[2]Posiciones!C10</f>
        <v>0</v>
      </c>
      <c r="G48" s="2313" t="s">
        <v>222</v>
      </c>
      <c r="H48" s="2312">
        <f>SUM(C36:C41)</f>
        <v>0</v>
      </c>
      <c r="I48" s="2315"/>
      <c r="J48" s="2311"/>
      <c r="K48" s="2316" t="s">
        <v>225</v>
      </c>
      <c r="L48" s="2311"/>
      <c r="M48" s="2317">
        <v>0</v>
      </c>
      <c r="N48" s="2318"/>
      <c r="Q48" s="2184" t="s">
        <v>1363</v>
      </c>
      <c r="U48" s="2184" t="s">
        <v>1492</v>
      </c>
    </row>
    <row r="49" spans="2:21" x14ac:dyDescent="0.15">
      <c r="B49" s="2319" t="s">
        <v>497</v>
      </c>
      <c r="C49" s="2311"/>
      <c r="D49" s="2320">
        <f>+D47+D48</f>
        <v>0</v>
      </c>
      <c r="E49" s="2313"/>
      <c r="F49" s="2321"/>
      <c r="G49" s="2313"/>
      <c r="H49" s="2320">
        <f>+H48+H47</f>
        <v>0</v>
      </c>
      <c r="I49" s="2322"/>
      <c r="J49" s="2311"/>
      <c r="K49" s="2311"/>
      <c r="L49" s="2311"/>
      <c r="M49" s="2311"/>
      <c r="N49" s="2318"/>
      <c r="Q49" s="2184" t="s">
        <v>1364</v>
      </c>
      <c r="U49" s="2184" t="s">
        <v>1493</v>
      </c>
    </row>
    <row r="50" spans="2:21" x14ac:dyDescent="0.15">
      <c r="B50" s="2323"/>
      <c r="C50" s="2191"/>
      <c r="D50" s="2324"/>
      <c r="E50" s="2217" t="s">
        <v>226</v>
      </c>
      <c r="F50" s="2191"/>
      <c r="G50" s="2191"/>
      <c r="H50" s="2191"/>
      <c r="I50" s="2191"/>
      <c r="J50" s="2191"/>
      <c r="K50" s="2325"/>
      <c r="L50" s="2191"/>
      <c r="M50" s="2325"/>
      <c r="N50" s="2192"/>
      <c r="Q50" s="2184" t="s">
        <v>1365</v>
      </c>
      <c r="U50" s="2184" t="s">
        <v>1494</v>
      </c>
    </row>
    <row r="51" spans="2:21" x14ac:dyDescent="0.15">
      <c r="B51" s="2303"/>
      <c r="C51" s="2304"/>
      <c r="D51" s="2304" t="s">
        <v>227</v>
      </c>
      <c r="E51" s="2304" t="s">
        <v>228</v>
      </c>
      <c r="F51" s="2304" t="s">
        <v>229</v>
      </c>
      <c r="G51" s="2304" t="s">
        <v>230</v>
      </c>
      <c r="H51" s="2304" t="s">
        <v>231</v>
      </c>
      <c r="I51" s="2304" t="s">
        <v>232</v>
      </c>
      <c r="J51" s="2304" t="s">
        <v>233</v>
      </c>
      <c r="K51" s="2304" t="s">
        <v>234</v>
      </c>
      <c r="L51" s="2304" t="s">
        <v>235</v>
      </c>
      <c r="M51" s="2198" t="s">
        <v>236</v>
      </c>
      <c r="N51" s="2326"/>
      <c r="Q51" s="2184" t="s">
        <v>1366</v>
      </c>
      <c r="U51" s="2184" t="s">
        <v>1495</v>
      </c>
    </row>
    <row r="52" spans="2:21" x14ac:dyDescent="0.15">
      <c r="B52" s="2327" t="s">
        <v>1751</v>
      </c>
      <c r="C52" s="2191"/>
      <c r="D52" s="2308"/>
      <c r="E52" s="2328"/>
      <c r="F52" s="2328"/>
      <c r="G52" s="2307"/>
      <c r="H52" s="2307"/>
      <c r="I52" s="2328"/>
      <c r="J52" s="2329"/>
      <c r="K52" s="2307"/>
      <c r="L52" s="2329"/>
      <c r="M52" s="2307"/>
      <c r="N52" s="2330"/>
      <c r="Q52" s="2184" t="s">
        <v>1367</v>
      </c>
      <c r="U52" s="2184" t="s">
        <v>1496</v>
      </c>
    </row>
    <row r="53" spans="2:21" x14ac:dyDescent="0.15">
      <c r="B53" s="2327" t="s">
        <v>975</v>
      </c>
      <c r="C53" s="2191"/>
      <c r="D53" s="2308"/>
      <c r="E53" s="2328"/>
      <c r="F53" s="2328"/>
      <c r="G53" s="2307"/>
      <c r="H53" s="2307"/>
      <c r="I53" s="2328"/>
      <c r="J53" s="2329"/>
      <c r="K53" s="2307"/>
      <c r="L53" s="2329"/>
      <c r="M53" s="2307"/>
      <c r="N53" s="2330"/>
      <c r="Q53" s="2184" t="s">
        <v>1368</v>
      </c>
      <c r="U53" s="2184" t="s">
        <v>1497</v>
      </c>
    </row>
    <row r="54" spans="2:21" x14ac:dyDescent="0.15">
      <c r="B54" s="2327" t="s">
        <v>976</v>
      </c>
      <c r="C54" s="2191"/>
      <c r="D54" s="2308"/>
      <c r="E54" s="2328"/>
      <c r="F54" s="2328"/>
      <c r="G54" s="2307"/>
      <c r="H54" s="2307"/>
      <c r="I54" s="2328"/>
      <c r="J54" s="2329"/>
      <c r="K54" s="2329"/>
      <c r="L54" s="2329"/>
      <c r="M54" s="2307"/>
      <c r="N54" s="2330"/>
      <c r="Q54" s="2184" t="s">
        <v>1369</v>
      </c>
    </row>
    <row r="55" spans="2:21" x14ac:dyDescent="0.15">
      <c r="B55" s="2327" t="s">
        <v>237</v>
      </c>
      <c r="C55" s="2191"/>
      <c r="D55" s="2308"/>
      <c r="E55" s="2328"/>
      <c r="F55" s="2328"/>
      <c r="G55" s="2307"/>
      <c r="H55" s="2307"/>
      <c r="I55" s="2328"/>
      <c r="J55" s="2329"/>
      <c r="K55" s="2307"/>
      <c r="L55" s="2329"/>
      <c r="M55" s="2307"/>
      <c r="N55" s="2330"/>
      <c r="Q55" s="2184" t="s">
        <v>1370</v>
      </c>
    </row>
    <row r="56" spans="2:21" x14ac:dyDescent="0.15">
      <c r="B56" s="2327" t="s">
        <v>239</v>
      </c>
      <c r="C56" s="2191"/>
      <c r="D56" s="2308"/>
      <c r="E56" s="2328"/>
      <c r="F56" s="2328"/>
      <c r="G56" s="2307"/>
      <c r="H56" s="2307"/>
      <c r="I56" s="2328"/>
      <c r="J56" s="2329"/>
      <c r="K56" s="2307"/>
      <c r="L56" s="2329"/>
      <c r="M56" s="2307"/>
      <c r="N56" s="2330"/>
      <c r="Q56" s="2184" t="s">
        <v>1371</v>
      </c>
    </row>
    <row r="57" spans="2:21" x14ac:dyDescent="0.15">
      <c r="B57" s="2327" t="s">
        <v>240</v>
      </c>
      <c r="C57" s="2191"/>
      <c r="D57" s="2308"/>
      <c r="E57" s="2328"/>
      <c r="F57" s="2328"/>
      <c r="G57" s="2307"/>
      <c r="H57" s="2307"/>
      <c r="I57" s="2328"/>
      <c r="J57" s="2329"/>
      <c r="K57" s="2307"/>
      <c r="L57" s="2329"/>
      <c r="M57" s="2307"/>
      <c r="N57" s="2330"/>
      <c r="Q57" s="2184" t="s">
        <v>1372</v>
      </c>
    </row>
    <row r="58" spans="2:21" x14ac:dyDescent="0.15">
      <c r="B58" s="2327" t="s">
        <v>238</v>
      </c>
      <c r="C58" s="2191"/>
      <c r="D58" s="2308"/>
      <c r="E58" s="2307"/>
      <c r="F58" s="2328"/>
      <c r="G58" s="2307"/>
      <c r="H58" s="2307"/>
      <c r="I58" s="2328"/>
      <c r="J58" s="2329"/>
      <c r="K58" s="2307"/>
      <c r="L58" s="2329"/>
      <c r="M58" s="2307"/>
      <c r="N58" s="2330"/>
      <c r="Q58" s="2184" t="s">
        <v>1373</v>
      </c>
    </row>
    <row r="59" spans="2:21" hidden="1" x14ac:dyDescent="0.15">
      <c r="B59" s="2323"/>
      <c r="C59" s="2191"/>
      <c r="D59" s="2324"/>
      <c r="E59" s="2217" t="s">
        <v>241</v>
      </c>
      <c r="F59" s="2191"/>
      <c r="G59" s="2191"/>
      <c r="H59" s="2191"/>
      <c r="I59" s="2191"/>
      <c r="J59" s="2325"/>
      <c r="K59" s="2191"/>
      <c r="L59" s="2325"/>
      <c r="M59" s="2191"/>
      <c r="N59" s="2192"/>
    </row>
    <row r="60" spans="2:21" hidden="1" x14ac:dyDescent="0.15">
      <c r="B60" s="2331" t="s">
        <v>242</v>
      </c>
      <c r="C60" s="2332"/>
      <c r="D60" s="2333">
        <f>SUM(D62:D68)</f>
        <v>0</v>
      </c>
      <c r="E60" s="2334" t="s">
        <v>634</v>
      </c>
      <c r="F60" s="2332" t="s">
        <v>977</v>
      </c>
      <c r="G60" s="2332"/>
      <c r="H60" s="2335" t="s">
        <v>635</v>
      </c>
      <c r="I60" s="2335"/>
      <c r="J60" s="2332"/>
      <c r="K60" s="2332"/>
      <c r="L60" s="2332"/>
      <c r="M60" s="2332"/>
      <c r="N60" s="2336"/>
    </row>
    <row r="61" spans="2:21" hidden="1" x14ac:dyDescent="0.15">
      <c r="B61" s="2337"/>
      <c r="C61" s="2304"/>
      <c r="D61" s="2304" t="s">
        <v>227</v>
      </c>
      <c r="E61" s="2304" t="s">
        <v>228</v>
      </c>
      <c r="F61" s="2304" t="s">
        <v>229</v>
      </c>
      <c r="G61" s="2304" t="s">
        <v>232</v>
      </c>
      <c r="H61" s="2304" t="s">
        <v>233</v>
      </c>
      <c r="I61" s="2304" t="s">
        <v>234</v>
      </c>
      <c r="J61" s="2304" t="s">
        <v>235</v>
      </c>
      <c r="K61" s="2304" t="s">
        <v>243</v>
      </c>
      <c r="L61" s="3041" t="s">
        <v>244</v>
      </c>
      <c r="M61" s="3041"/>
      <c r="N61" s="3042"/>
    </row>
    <row r="62" spans="2:21" hidden="1" x14ac:dyDescent="0.15">
      <c r="B62" s="2327" t="s">
        <v>974</v>
      </c>
      <c r="C62" s="2191"/>
      <c r="D62" s="2338"/>
      <c r="E62" s="2328"/>
      <c r="F62" s="2328"/>
      <c r="G62" s="2328"/>
      <c r="H62" s="2339"/>
      <c r="I62" s="2328"/>
      <c r="J62" s="2339"/>
      <c r="K62" s="2328"/>
      <c r="L62" s="3035"/>
      <c r="M62" s="3035"/>
      <c r="N62" s="3036"/>
      <c r="Q62" s="2184" t="s">
        <v>526</v>
      </c>
      <c r="S62" s="2184" t="s">
        <v>532</v>
      </c>
      <c r="U62" s="2184" t="s">
        <v>536</v>
      </c>
    </row>
    <row r="63" spans="2:21" hidden="1" x14ac:dyDescent="0.15">
      <c r="B63" s="2327" t="s">
        <v>975</v>
      </c>
      <c r="C63" s="2191"/>
      <c r="D63" s="2338"/>
      <c r="E63" s="2328"/>
      <c r="F63" s="2328"/>
      <c r="G63" s="2328"/>
      <c r="H63" s="2339"/>
      <c r="I63" s="2328"/>
      <c r="J63" s="2339"/>
      <c r="K63" s="2340"/>
      <c r="L63" s="3035"/>
      <c r="M63" s="3035"/>
      <c r="N63" s="3036"/>
      <c r="Q63" s="2184" t="s">
        <v>527</v>
      </c>
      <c r="S63" s="2184" t="s">
        <v>533</v>
      </c>
      <c r="U63" s="2184">
        <v>1</v>
      </c>
    </row>
    <row r="64" spans="2:21" hidden="1" x14ac:dyDescent="0.15">
      <c r="B64" s="2327" t="s">
        <v>976</v>
      </c>
      <c r="C64" s="2191"/>
      <c r="D64" s="2338"/>
      <c r="E64" s="2328"/>
      <c r="F64" s="2328"/>
      <c r="G64" s="2328"/>
      <c r="H64" s="2339"/>
      <c r="I64" s="2339"/>
      <c r="J64" s="2341"/>
      <c r="K64" s="2340"/>
      <c r="L64" s="3035"/>
      <c r="M64" s="3035"/>
      <c r="N64" s="3036"/>
      <c r="Q64" s="2184" t="s">
        <v>977</v>
      </c>
      <c r="S64" s="2184" t="s">
        <v>850</v>
      </c>
      <c r="U64" s="2184">
        <v>2</v>
      </c>
    </row>
    <row r="65" spans="2:21" hidden="1" x14ac:dyDescent="0.15">
      <c r="B65" s="2327" t="s">
        <v>237</v>
      </c>
      <c r="C65" s="2191"/>
      <c r="D65" s="2338"/>
      <c r="E65" s="2328"/>
      <c r="F65" s="2328"/>
      <c r="G65" s="2328"/>
      <c r="H65" s="2339"/>
      <c r="I65" s="2328"/>
      <c r="J65" s="2341"/>
      <c r="K65" s="2340"/>
      <c r="L65" s="3035"/>
      <c r="M65" s="3035"/>
      <c r="N65" s="3036"/>
      <c r="Q65" s="2184" t="s">
        <v>528</v>
      </c>
      <c r="S65" s="2184" t="s">
        <v>851</v>
      </c>
      <c r="U65" s="2184">
        <v>3</v>
      </c>
    </row>
    <row r="66" spans="2:21" hidden="1" x14ac:dyDescent="0.15">
      <c r="B66" s="2327" t="s">
        <v>239</v>
      </c>
      <c r="C66" s="2191"/>
      <c r="D66" s="2232"/>
      <c r="E66" s="2328"/>
      <c r="F66" s="2328"/>
      <c r="G66" s="2328"/>
      <c r="H66" s="2329"/>
      <c r="I66" s="2307"/>
      <c r="J66" s="2329"/>
      <c r="K66" s="2342"/>
      <c r="L66" s="3035"/>
      <c r="M66" s="3035"/>
      <c r="N66" s="3036"/>
      <c r="Q66" s="2184" t="s">
        <v>529</v>
      </c>
      <c r="S66" s="2184" t="s">
        <v>534</v>
      </c>
      <c r="U66" s="2184">
        <v>4</v>
      </c>
    </row>
    <row r="67" spans="2:21" hidden="1" x14ac:dyDescent="0.15">
      <c r="B67" s="2327" t="s">
        <v>240</v>
      </c>
      <c r="C67" s="2191"/>
      <c r="D67" s="2232"/>
      <c r="E67" s="2307"/>
      <c r="F67" s="2328"/>
      <c r="G67" s="2328"/>
      <c r="H67" s="2329"/>
      <c r="I67" s="2307"/>
      <c r="J67" s="2329"/>
      <c r="K67" s="2307"/>
      <c r="L67" s="3035"/>
      <c r="M67" s="3035"/>
      <c r="N67" s="3036"/>
      <c r="Q67" s="2184" t="s">
        <v>530</v>
      </c>
      <c r="S67" s="2184" t="s">
        <v>535</v>
      </c>
    </row>
    <row r="68" spans="2:21" hidden="1" x14ac:dyDescent="0.15">
      <c r="B68" s="2327" t="s">
        <v>238</v>
      </c>
      <c r="C68" s="2191"/>
      <c r="D68" s="2232"/>
      <c r="E68" s="2307"/>
      <c r="F68" s="2307"/>
      <c r="G68" s="2307"/>
      <c r="H68" s="2329"/>
      <c r="I68" s="2307"/>
      <c r="J68" s="2329"/>
      <c r="K68" s="2307"/>
      <c r="L68" s="3035"/>
      <c r="M68" s="3035"/>
      <c r="N68" s="3036"/>
      <c r="Q68" s="2184" t="s">
        <v>531</v>
      </c>
      <c r="S68" s="2184" t="s">
        <v>849</v>
      </c>
    </row>
    <row r="69" spans="2:21" hidden="1" x14ac:dyDescent="0.15">
      <c r="B69" s="2343" t="s">
        <v>1831</v>
      </c>
      <c r="C69" s="2191"/>
      <c r="D69" s="2232"/>
      <c r="E69" s="2307"/>
      <c r="F69" s="2307"/>
      <c r="G69" s="2307"/>
      <c r="H69" s="2329"/>
      <c r="I69" s="2307"/>
      <c r="J69" s="2329"/>
      <c r="K69" s="2307"/>
      <c r="L69" s="3035"/>
      <c r="M69" s="3035"/>
      <c r="N69" s="3036"/>
    </row>
    <row r="70" spans="2:21" hidden="1" x14ac:dyDescent="0.15">
      <c r="B70" s="2344" t="s">
        <v>245</v>
      </c>
      <c r="C70" s="2345"/>
      <c r="D70" s="2345" t="s">
        <v>246</v>
      </c>
      <c r="E70" s="2345" t="s">
        <v>247</v>
      </c>
      <c r="F70" s="2345" t="s">
        <v>228</v>
      </c>
      <c r="G70" s="2345" t="s">
        <v>229</v>
      </c>
      <c r="H70" s="2345" t="s">
        <v>232</v>
      </c>
      <c r="I70" s="2345" t="s">
        <v>233</v>
      </c>
      <c r="J70" s="2345" t="s">
        <v>234</v>
      </c>
      <c r="K70" s="2345" t="s">
        <v>235</v>
      </c>
      <c r="L70" s="2345" t="s">
        <v>236</v>
      </c>
      <c r="M70" s="3044" t="s">
        <v>244</v>
      </c>
      <c r="N70" s="3045"/>
    </row>
    <row r="71" spans="2:21" hidden="1" x14ac:dyDescent="0.15">
      <c r="B71" s="2190"/>
      <c r="C71" s="2191"/>
      <c r="D71" s="2307"/>
      <c r="E71" s="2232"/>
      <c r="F71" s="2307"/>
      <c r="G71" s="2328"/>
      <c r="H71" s="2328"/>
      <c r="I71" s="2329"/>
      <c r="J71" s="2307"/>
      <c r="K71" s="2329"/>
      <c r="L71" s="2307"/>
      <c r="M71" s="3046"/>
      <c r="N71" s="3047"/>
    </row>
    <row r="72" spans="2:21" hidden="1" x14ac:dyDescent="0.15">
      <c r="B72" s="2190"/>
      <c r="C72" s="2191"/>
      <c r="D72" s="2307"/>
      <c r="E72" s="2232"/>
      <c r="F72" s="2307"/>
      <c r="G72" s="2307"/>
      <c r="H72" s="2307"/>
      <c r="I72" s="2329"/>
      <c r="J72" s="2307"/>
      <c r="K72" s="2329"/>
      <c r="L72" s="2307"/>
      <c r="M72" s="3035"/>
      <c r="N72" s="3036"/>
    </row>
    <row r="73" spans="2:21" hidden="1" x14ac:dyDescent="0.15">
      <c r="B73" s="2190"/>
      <c r="C73" s="2191"/>
      <c r="D73" s="2307"/>
      <c r="E73" s="2232"/>
      <c r="F73" s="2307"/>
      <c r="G73" s="2307"/>
      <c r="H73" s="2307"/>
      <c r="I73" s="2329"/>
      <c r="J73" s="2307"/>
      <c r="K73" s="2329"/>
      <c r="L73" s="2307"/>
      <c r="M73" s="3048"/>
      <c r="N73" s="3049"/>
    </row>
    <row r="74" spans="2:21" x14ac:dyDescent="0.15">
      <c r="B74" s="2190"/>
      <c r="C74" s="2191"/>
      <c r="D74" s="2307"/>
      <c r="E74" s="2232"/>
      <c r="F74" s="2307"/>
      <c r="G74" s="2307"/>
      <c r="H74" s="2307"/>
      <c r="I74" s="2329"/>
      <c r="J74" s="2307"/>
      <c r="K74" s="2329"/>
      <c r="L74" s="2307"/>
      <c r="M74" s="2307"/>
      <c r="N74" s="2330"/>
    </row>
    <row r="75" spans="2:21" x14ac:dyDescent="0.15">
      <c r="B75" s="3050" t="s">
        <v>1532</v>
      </c>
      <c r="C75" s="3051"/>
      <c r="D75" s="3051"/>
      <c r="E75" s="2346"/>
      <c r="F75" s="2346"/>
      <c r="G75" s="2346"/>
      <c r="H75" s="2346"/>
      <c r="I75" s="2346"/>
      <c r="J75" s="2346"/>
      <c r="K75" s="2346"/>
      <c r="L75" s="2346"/>
      <c r="M75" s="2346"/>
      <c r="N75" s="2347"/>
    </row>
    <row r="76" spans="2:21" x14ac:dyDescent="0.15">
      <c r="B76" s="2197"/>
      <c r="C76" s="2229"/>
      <c r="D76" s="2229"/>
      <c r="E76" s="2215"/>
      <c r="F76" s="2215"/>
      <c r="G76" s="2215"/>
      <c r="H76" s="2215"/>
      <c r="I76" s="2215"/>
      <c r="J76" s="2215"/>
      <c r="K76" s="2215"/>
      <c r="L76" s="2215"/>
      <c r="M76" s="2215"/>
      <c r="N76" s="2305"/>
    </row>
    <row r="77" spans="2:21" x14ac:dyDescent="0.15">
      <c r="B77" s="2303"/>
      <c r="C77" s="2215"/>
      <c r="D77" s="2215"/>
      <c r="E77" s="2215"/>
      <c r="F77" s="2215"/>
      <c r="G77" s="2215"/>
      <c r="H77" s="2215"/>
      <c r="I77" s="2215"/>
      <c r="J77" s="2215"/>
      <c r="K77" s="2215"/>
      <c r="L77" s="2215"/>
      <c r="M77" s="2215"/>
      <c r="N77" s="2305"/>
    </row>
    <row r="78" spans="2:21" x14ac:dyDescent="0.15">
      <c r="B78" s="2303"/>
      <c r="C78" s="2215"/>
      <c r="D78" s="2215"/>
      <c r="E78" s="2215"/>
      <c r="F78" s="2215"/>
      <c r="G78" s="2215"/>
      <c r="H78" s="2215"/>
      <c r="I78" s="2215"/>
      <c r="J78" s="2215"/>
      <c r="K78" s="2215"/>
      <c r="L78" s="2215"/>
      <c r="M78" s="2215"/>
      <c r="N78" s="2305"/>
    </row>
    <row r="79" spans="2:21" x14ac:dyDescent="0.15">
      <c r="B79" s="2303"/>
      <c r="C79" s="2215"/>
      <c r="D79" s="2215"/>
      <c r="E79" s="2215"/>
      <c r="F79" s="2215"/>
      <c r="G79" s="2215"/>
      <c r="H79" s="2215"/>
      <c r="I79" s="2215"/>
      <c r="J79" s="2215"/>
      <c r="K79" s="2215"/>
      <c r="L79" s="2215"/>
      <c r="M79" s="2215"/>
      <c r="N79" s="2305"/>
    </row>
    <row r="80" spans="2:21" x14ac:dyDescent="0.15">
      <c r="B80" s="2303"/>
      <c r="C80" s="2215"/>
      <c r="D80" s="2215"/>
      <c r="E80" s="2215"/>
      <c r="F80" s="2215"/>
      <c r="G80" s="2215"/>
      <c r="H80" s="2215"/>
      <c r="I80" s="2215"/>
      <c r="J80" s="2215"/>
      <c r="K80" s="2215"/>
      <c r="L80" s="2215"/>
      <c r="M80" s="2215"/>
      <c r="N80" s="2305"/>
    </row>
    <row r="81" spans="2:19" x14ac:dyDescent="0.15">
      <c r="B81" s="2303"/>
      <c r="C81" s="2215"/>
      <c r="D81" s="2215"/>
      <c r="E81" s="2215"/>
      <c r="F81" s="2215"/>
      <c r="G81" s="2215"/>
      <c r="H81" s="2215"/>
      <c r="I81" s="2215"/>
      <c r="J81" s="2215"/>
      <c r="K81" s="2215"/>
      <c r="L81" s="2215"/>
      <c r="M81" s="2215"/>
      <c r="N81" s="2305"/>
    </row>
    <row r="82" spans="2:19" x14ac:dyDescent="0.15">
      <c r="B82" s="2327"/>
      <c r="C82" s="2198"/>
      <c r="D82" s="2198"/>
      <c r="E82" s="2198"/>
      <c r="F82" s="2304"/>
      <c r="G82" s="2198"/>
      <c r="H82" s="2198"/>
      <c r="I82" s="2198"/>
      <c r="J82" s="2198"/>
      <c r="K82" s="2304"/>
      <c r="L82" s="2198"/>
      <c r="M82" s="2198"/>
      <c r="N82" s="2326"/>
    </row>
    <row r="83" spans="2:19" ht="12.75" customHeight="1" thickBot="1" x14ac:dyDescent="0.2">
      <c r="B83" s="2303"/>
      <c r="C83" s="2215"/>
      <c r="D83" s="2215"/>
      <c r="E83" s="2215"/>
      <c r="F83" s="2215"/>
      <c r="G83" s="2215"/>
      <c r="H83" s="2215"/>
      <c r="I83" s="2215"/>
      <c r="J83" s="2215"/>
      <c r="K83" s="2215"/>
      <c r="L83" s="2215"/>
      <c r="M83" s="2215"/>
      <c r="N83" s="2305"/>
      <c r="Q83" s="2348"/>
      <c r="R83" s="2348"/>
      <c r="S83" s="2348"/>
    </row>
    <row r="84" spans="2:19" ht="13.5" thickBot="1" x14ac:dyDescent="0.2">
      <c r="B84" s="3052" t="str">
        <f>IF(L10="SI","Rating Automatizado","Valoración anterior")</f>
        <v>Valoración anterior</v>
      </c>
      <c r="C84" s="3061" t="s">
        <v>248</v>
      </c>
      <c r="D84" s="3062"/>
      <c r="E84" s="3062"/>
      <c r="F84" s="3062"/>
      <c r="G84" s="3062"/>
      <c r="H84" s="3063"/>
      <c r="I84" s="3064" t="s">
        <v>1089</v>
      </c>
      <c r="J84" s="3065"/>
      <c r="K84" s="3052" t="s">
        <v>1091</v>
      </c>
      <c r="L84" s="3052" t="s">
        <v>1093</v>
      </c>
      <c r="M84" s="3052" t="s">
        <v>626</v>
      </c>
      <c r="N84" s="3052" t="s">
        <v>203</v>
      </c>
      <c r="Q84" s="2348"/>
      <c r="R84" s="2348"/>
      <c r="S84" s="2348"/>
    </row>
    <row r="85" spans="2:19" ht="13.5" customHeight="1" thickBot="1" x14ac:dyDescent="0.2">
      <c r="B85" s="3053"/>
      <c r="C85" s="2349" t="s">
        <v>250</v>
      </c>
      <c r="D85" s="2350" t="s">
        <v>251</v>
      </c>
      <c r="E85" s="2351" t="s">
        <v>252</v>
      </c>
      <c r="F85" s="2350" t="s">
        <v>253</v>
      </c>
      <c r="G85" s="2351" t="s">
        <v>254</v>
      </c>
      <c r="H85" s="2350" t="s">
        <v>255</v>
      </c>
      <c r="I85" s="3066"/>
      <c r="J85" s="3067"/>
      <c r="K85" s="3053"/>
      <c r="L85" s="3053"/>
      <c r="M85" s="3053"/>
      <c r="N85" s="3053"/>
      <c r="Q85" s="2348"/>
      <c r="R85" s="2348"/>
      <c r="S85" s="2348"/>
    </row>
    <row r="86" spans="2:19" ht="13.5" thickBot="1" x14ac:dyDescent="0.2">
      <c r="B86" s="2352"/>
      <c r="C86" s="2352"/>
      <c r="D86" s="2353"/>
      <c r="E86" s="2354"/>
      <c r="F86" s="2353"/>
      <c r="G86" s="2354"/>
      <c r="H86" s="2355"/>
      <c r="I86" s="3054">
        <f>IF(L10="NO",(C86*0.2)+(D86*0.15)+(E86*0.1)+(F86*0.15)+(G86*0.25)+(H86*0.15),"digitar rating combinado")</f>
        <v>0</v>
      </c>
      <c r="J86" s="3055"/>
      <c r="K86" s="2356">
        <v>0</v>
      </c>
      <c r="L86" s="2354">
        <v>0</v>
      </c>
      <c r="M86" s="2357">
        <v>0</v>
      </c>
      <c r="N86" s="2353">
        <f>IF(I86&gt;L86,I86,((L86-I86)*K86)+I86)</f>
        <v>0</v>
      </c>
      <c r="Q86" s="2348"/>
      <c r="R86" s="2348"/>
      <c r="S86" s="2348"/>
    </row>
    <row r="87" spans="2:19" x14ac:dyDescent="0.15">
      <c r="B87" s="2358"/>
      <c r="C87" s="2359"/>
      <c r="D87" s="2359"/>
      <c r="E87" s="2359"/>
      <c r="F87" s="2359"/>
      <c r="G87" s="2360"/>
      <c r="H87" s="2359"/>
      <c r="I87" s="2359"/>
      <c r="J87" s="2360"/>
      <c r="K87" s="2361"/>
      <c r="L87" s="2360"/>
      <c r="M87" s="2362" t="s">
        <v>256</v>
      </c>
      <c r="N87" s="2363">
        <v>0</v>
      </c>
      <c r="Q87" s="2348"/>
      <c r="R87" s="2348"/>
      <c r="S87" s="2348"/>
    </row>
    <row r="88" spans="2:19" x14ac:dyDescent="0.2">
      <c r="B88" s="2364"/>
      <c r="C88" s="2359"/>
      <c r="D88" s="2359"/>
      <c r="E88" s="2359"/>
      <c r="F88" s="2359"/>
      <c r="G88" s="2365"/>
      <c r="H88" s="2365"/>
      <c r="I88" s="2365"/>
      <c r="J88" s="2365"/>
      <c r="K88" s="2365"/>
      <c r="L88" s="2360"/>
      <c r="M88" s="2366" t="s">
        <v>257</v>
      </c>
      <c r="N88" s="2367">
        <v>0</v>
      </c>
      <c r="Q88" s="2348"/>
      <c r="R88" s="2348"/>
      <c r="S88" s="2348"/>
    </row>
    <row r="89" spans="2:19" ht="13.5" thickBot="1" x14ac:dyDescent="0.25">
      <c r="B89" s="2358"/>
      <c r="C89" s="2359"/>
      <c r="D89" s="2359"/>
      <c r="E89" s="2359"/>
      <c r="F89" s="2359"/>
      <c r="G89" s="2365"/>
      <c r="H89" s="2365"/>
      <c r="I89" s="2365"/>
      <c r="J89" s="2365"/>
      <c r="K89" s="2365"/>
      <c r="L89" s="2360"/>
      <c r="M89" s="2368" t="s">
        <v>258</v>
      </c>
      <c r="N89" s="2369">
        <f>+N86+N87-N88</f>
        <v>0</v>
      </c>
      <c r="Q89" s="2348"/>
      <c r="R89" s="2348"/>
      <c r="S89" s="2348"/>
    </row>
    <row r="90" spans="2:19" x14ac:dyDescent="0.2">
      <c r="B90" s="2303"/>
      <c r="C90" s="2215"/>
      <c r="D90" s="2215"/>
      <c r="E90" s="2215"/>
      <c r="F90" s="2215"/>
      <c r="G90" s="2205"/>
      <c r="H90" s="2205"/>
      <c r="I90" s="2205"/>
      <c r="J90" s="2205"/>
      <c r="K90" s="2205"/>
      <c r="L90" s="2191"/>
      <c r="M90" s="2198"/>
      <c r="N90" s="2370"/>
      <c r="Q90" s="2348"/>
      <c r="R90" s="2348"/>
      <c r="S90" s="2348"/>
    </row>
    <row r="91" spans="2:19" x14ac:dyDescent="0.2">
      <c r="B91" s="2303"/>
      <c r="C91" s="2215"/>
      <c r="D91" s="2215"/>
      <c r="E91" s="2215"/>
      <c r="F91" s="2215"/>
      <c r="G91" s="2205"/>
      <c r="H91" s="2205"/>
      <c r="I91" s="2205"/>
      <c r="J91" s="2205"/>
      <c r="K91" s="2205"/>
      <c r="L91" s="2191"/>
      <c r="M91" s="2198"/>
      <c r="N91" s="2370"/>
      <c r="Q91" s="2348"/>
      <c r="R91" s="2348"/>
      <c r="S91" s="2348"/>
    </row>
    <row r="92" spans="2:19" x14ac:dyDescent="0.2">
      <c r="B92" s="2303"/>
      <c r="C92" s="2215"/>
      <c r="D92" s="2215"/>
      <c r="E92" s="2215"/>
      <c r="F92" s="2215"/>
      <c r="G92" s="2205"/>
      <c r="H92" s="2205"/>
      <c r="I92" s="2205"/>
      <c r="J92" s="2205"/>
      <c r="K92" s="2205"/>
      <c r="L92" s="2215"/>
      <c r="M92" s="2215"/>
      <c r="N92" s="2305"/>
      <c r="Q92" s="2348"/>
      <c r="R92" s="2348"/>
      <c r="S92" s="2348"/>
    </row>
    <row r="93" spans="2:19" x14ac:dyDescent="0.2">
      <c r="B93" s="2303"/>
      <c r="C93" s="2215"/>
      <c r="D93" s="2215"/>
      <c r="E93" s="2215"/>
      <c r="F93" s="2215"/>
      <c r="G93" s="2205"/>
      <c r="H93" s="2205"/>
      <c r="I93" s="2205"/>
      <c r="J93" s="2205"/>
      <c r="K93" s="2205"/>
      <c r="L93" s="2215"/>
      <c r="M93" s="2215"/>
      <c r="N93" s="2305"/>
    </row>
    <row r="94" spans="2:19" ht="13.5" thickBot="1" x14ac:dyDescent="0.2">
      <c r="B94" s="2371"/>
      <c r="C94" s="2372"/>
      <c r="D94" s="2372"/>
      <c r="E94" s="2372"/>
      <c r="F94" s="2372"/>
      <c r="G94" s="2372"/>
      <c r="H94" s="2372"/>
      <c r="I94" s="2372"/>
      <c r="J94" s="2372"/>
      <c r="K94" s="2372"/>
      <c r="L94" s="2372"/>
      <c r="M94" s="2372"/>
      <c r="N94" s="2373"/>
    </row>
    <row r="95" spans="2:19" x14ac:dyDescent="0.15">
      <c r="B95" s="2190"/>
      <c r="C95" s="2191"/>
      <c r="D95" s="2191"/>
      <c r="E95" s="2191"/>
      <c r="F95" s="2191"/>
      <c r="G95" s="2191"/>
      <c r="H95" s="2191"/>
      <c r="I95" s="2191"/>
      <c r="J95" s="2191"/>
      <c r="K95" s="2191"/>
      <c r="L95" s="2191"/>
      <c r="M95" s="2191"/>
      <c r="N95" s="2192"/>
    </row>
    <row r="96" spans="2:19" ht="13.5" thickBot="1" x14ac:dyDescent="0.2">
      <c r="B96" s="2190"/>
      <c r="C96" s="2191"/>
      <c r="D96" s="2191"/>
      <c r="E96" s="2191"/>
      <c r="F96" s="2191"/>
      <c r="G96" s="2191"/>
      <c r="H96" s="2191"/>
      <c r="I96" s="2191"/>
      <c r="J96" s="2191"/>
      <c r="K96" s="2191"/>
      <c r="L96" s="2191"/>
      <c r="M96" s="2191"/>
      <c r="N96" s="2192"/>
    </row>
    <row r="97" spans="2:14" ht="13.5" thickBot="1" x14ac:dyDescent="0.2">
      <c r="B97" s="2374" t="s">
        <v>1533</v>
      </c>
      <c r="C97" s="2375"/>
      <c r="D97" s="2375"/>
      <c r="E97" s="2375"/>
      <c r="F97" s="2375"/>
      <c r="G97" s="2375"/>
      <c r="H97" s="2375"/>
      <c r="I97" s="2375"/>
      <c r="J97" s="2375"/>
      <c r="K97" s="2375"/>
      <c r="L97" s="2375"/>
      <c r="M97" s="2375"/>
      <c r="N97" s="2376"/>
    </row>
    <row r="98" spans="2:14" x14ac:dyDescent="0.15">
      <c r="B98" s="2190"/>
      <c r="C98" s="2191"/>
      <c r="D98" s="2191"/>
      <c r="E98" s="2191"/>
      <c r="F98" s="2191"/>
      <c r="G98" s="2191"/>
      <c r="H98" s="2191"/>
      <c r="I98" s="2191"/>
      <c r="J98" s="2191"/>
      <c r="K98" s="2191"/>
      <c r="L98" s="2191"/>
      <c r="M98" s="2191"/>
      <c r="N98" s="2192"/>
    </row>
    <row r="99" spans="2:14" x14ac:dyDescent="0.15">
      <c r="B99" s="2190"/>
      <c r="C99" s="2191"/>
      <c r="D99" s="2191"/>
      <c r="E99" s="2191"/>
      <c r="F99" s="2191"/>
      <c r="G99" s="2191"/>
      <c r="H99" s="2191"/>
      <c r="I99" s="2191"/>
      <c r="J99" s="2191"/>
      <c r="K99" s="2191"/>
      <c r="L99" s="2191"/>
      <c r="M99" s="2191"/>
      <c r="N99" s="2192"/>
    </row>
    <row r="100" spans="2:14" x14ac:dyDescent="0.15">
      <c r="B100" s="2190"/>
      <c r="C100" s="2191"/>
      <c r="D100" s="2191"/>
      <c r="E100" s="2191"/>
      <c r="F100" s="2191"/>
      <c r="G100" s="2191"/>
      <c r="H100" s="2191"/>
      <c r="I100" s="2191"/>
      <c r="J100" s="2191"/>
      <c r="K100" s="2191"/>
      <c r="L100" s="2191"/>
      <c r="M100" s="2191"/>
      <c r="N100" s="2192"/>
    </row>
    <row r="101" spans="2:14" x14ac:dyDescent="0.15">
      <c r="B101" s="2190"/>
      <c r="C101" s="2191"/>
      <c r="D101" s="2191"/>
      <c r="E101" s="2191"/>
      <c r="F101" s="2191"/>
      <c r="G101" s="2191"/>
      <c r="H101" s="2191"/>
      <c r="I101" s="2191"/>
      <c r="J101" s="2191"/>
      <c r="K101" s="2191"/>
      <c r="L101" s="2191"/>
      <c r="M101" s="2191"/>
      <c r="N101" s="2192"/>
    </row>
    <row r="102" spans="2:14" x14ac:dyDescent="0.15">
      <c r="B102" s="2190"/>
      <c r="C102" s="2191"/>
      <c r="D102" s="2191"/>
      <c r="E102" s="2191"/>
      <c r="F102" s="2191"/>
      <c r="G102" s="2191"/>
      <c r="H102" s="2191"/>
      <c r="I102" s="2191"/>
      <c r="J102" s="2191"/>
      <c r="K102" s="2191"/>
      <c r="L102" s="2191"/>
      <c r="M102" s="2191"/>
      <c r="N102" s="2192"/>
    </row>
    <row r="103" spans="2:14" x14ac:dyDescent="0.15">
      <c r="B103" s="2190"/>
      <c r="C103" s="2191"/>
      <c r="D103" s="2191"/>
      <c r="E103" s="2191"/>
      <c r="F103" s="2191"/>
      <c r="G103" s="2191"/>
      <c r="H103" s="2191"/>
      <c r="I103" s="2191"/>
      <c r="J103" s="2191"/>
      <c r="K103" s="2191"/>
      <c r="L103" s="2191"/>
      <c r="M103" s="2191"/>
      <c r="N103" s="2192"/>
    </row>
    <row r="104" spans="2:14" x14ac:dyDescent="0.15">
      <c r="B104" s="2190"/>
      <c r="C104" s="2191"/>
      <c r="D104" s="2191"/>
      <c r="E104" s="2191"/>
      <c r="F104" s="2191"/>
      <c r="G104" s="2191"/>
      <c r="H104" s="2191"/>
      <c r="I104" s="2191"/>
      <c r="J104" s="2191"/>
      <c r="K104" s="2191"/>
      <c r="L104" s="2191"/>
      <c r="M104" s="2191"/>
      <c r="N104" s="2192"/>
    </row>
    <row r="105" spans="2:14" ht="0.75" customHeight="1" x14ac:dyDescent="0.15">
      <c r="B105" s="2190"/>
      <c r="C105" s="2191"/>
      <c r="D105" s="2191"/>
      <c r="E105" s="2191"/>
      <c r="F105" s="2191"/>
      <c r="G105" s="2191"/>
      <c r="H105" s="2191"/>
      <c r="I105" s="2191"/>
      <c r="J105" s="2191"/>
      <c r="K105" s="2191"/>
      <c r="L105" s="2191"/>
      <c r="M105" s="2191"/>
      <c r="N105" s="2192"/>
    </row>
    <row r="106" spans="2:14" x14ac:dyDescent="0.15">
      <c r="B106" s="2190"/>
      <c r="C106" s="2191"/>
      <c r="D106" s="2191"/>
      <c r="E106" s="2191"/>
      <c r="F106" s="2191"/>
      <c r="G106" s="2191"/>
      <c r="H106" s="2191"/>
      <c r="I106" s="2191"/>
      <c r="J106" s="2191"/>
      <c r="K106" s="2191"/>
      <c r="L106" s="2191"/>
      <c r="M106" s="2191"/>
      <c r="N106" s="2192"/>
    </row>
    <row r="107" spans="2:14" x14ac:dyDescent="0.15">
      <c r="B107" s="2190"/>
      <c r="C107" s="2191"/>
      <c r="D107" s="2191"/>
      <c r="E107" s="2191"/>
      <c r="F107" s="2191"/>
      <c r="G107" s="2191"/>
      <c r="H107" s="2191"/>
      <c r="I107" s="2191"/>
      <c r="J107" s="2191"/>
      <c r="K107" s="2191"/>
      <c r="L107" s="2191"/>
      <c r="M107" s="2191"/>
      <c r="N107" s="2192"/>
    </row>
    <row r="108" spans="2:14" x14ac:dyDescent="0.15">
      <c r="B108" s="2190"/>
      <c r="C108" s="2191"/>
      <c r="D108" s="2191"/>
      <c r="E108" s="2191"/>
      <c r="F108" s="2191"/>
      <c r="G108" s="2191"/>
      <c r="H108" s="2191"/>
      <c r="I108" s="2191"/>
      <c r="J108" s="2191"/>
      <c r="K108" s="2191"/>
      <c r="L108" s="2191"/>
      <c r="M108" s="2191"/>
      <c r="N108" s="2192"/>
    </row>
    <row r="109" spans="2:14" x14ac:dyDescent="0.15">
      <c r="B109" s="2190"/>
      <c r="C109" s="2191"/>
      <c r="D109" s="2191"/>
      <c r="E109" s="2191"/>
      <c r="F109" s="2191"/>
      <c r="G109" s="2191"/>
      <c r="H109" s="2191"/>
      <c r="I109" s="2191"/>
      <c r="J109" s="2191"/>
      <c r="K109" s="2191"/>
      <c r="L109" s="2191"/>
      <c r="M109" s="2191"/>
      <c r="N109" s="2192"/>
    </row>
    <row r="110" spans="2:14" x14ac:dyDescent="0.15">
      <c r="B110" s="2190"/>
      <c r="C110" s="2191"/>
      <c r="D110" s="2191"/>
      <c r="E110" s="2191"/>
      <c r="F110" s="2191"/>
      <c r="G110" s="2191"/>
      <c r="H110" s="2191"/>
      <c r="I110" s="2191"/>
      <c r="J110" s="2191"/>
      <c r="K110" s="2191"/>
      <c r="L110" s="2191"/>
      <c r="M110" s="2191"/>
      <c r="N110" s="2192"/>
    </row>
    <row r="111" spans="2:14" x14ac:dyDescent="0.15">
      <c r="B111" s="2190"/>
      <c r="C111" s="2191"/>
      <c r="D111" s="2191"/>
      <c r="E111" s="2191"/>
      <c r="F111" s="2191"/>
      <c r="G111" s="2191"/>
      <c r="H111" s="2191"/>
      <c r="I111" s="2191"/>
      <c r="J111" s="2191"/>
      <c r="K111" s="2191"/>
      <c r="L111" s="2191"/>
      <c r="M111" s="2191"/>
      <c r="N111" s="2192"/>
    </row>
    <row r="112" spans="2:14" x14ac:dyDescent="0.15">
      <c r="B112" s="2190"/>
      <c r="C112" s="2191"/>
      <c r="D112" s="2191"/>
      <c r="E112" s="2191"/>
      <c r="F112" s="2191"/>
      <c r="G112" s="2191"/>
      <c r="H112" s="2191"/>
      <c r="I112" s="2191"/>
      <c r="J112" s="2191"/>
      <c r="K112" s="2191"/>
      <c r="L112" s="2191"/>
      <c r="M112" s="2191"/>
      <c r="N112" s="2192"/>
    </row>
    <row r="113" spans="2:14" x14ac:dyDescent="0.15">
      <c r="B113" s="2190"/>
      <c r="C113" s="2191"/>
      <c r="D113" s="2191"/>
      <c r="E113" s="2191"/>
      <c r="F113" s="2191"/>
      <c r="G113" s="2191"/>
      <c r="H113" s="2191"/>
      <c r="I113" s="2191"/>
      <c r="J113" s="2191"/>
      <c r="K113" s="2191"/>
      <c r="L113" s="2191"/>
      <c r="M113" s="2191"/>
      <c r="N113" s="2192"/>
    </row>
    <row r="114" spans="2:14" x14ac:dyDescent="0.15">
      <c r="B114" s="2190"/>
      <c r="C114" s="2191"/>
      <c r="D114" s="2191"/>
      <c r="E114" s="2191"/>
      <c r="F114" s="2191"/>
      <c r="G114" s="2191"/>
      <c r="H114" s="2191"/>
      <c r="I114" s="2191"/>
      <c r="J114" s="2191"/>
      <c r="K114" s="2191"/>
      <c r="L114" s="2191"/>
      <c r="M114" s="2191"/>
      <c r="N114" s="2192"/>
    </row>
    <row r="115" spans="2:14" x14ac:dyDescent="0.15">
      <c r="B115" s="2190"/>
      <c r="C115" s="2191"/>
      <c r="D115" s="2191"/>
      <c r="E115" s="2191"/>
      <c r="F115" s="2191"/>
      <c r="G115" s="2191"/>
      <c r="H115" s="2191"/>
      <c r="I115" s="2191"/>
      <c r="J115" s="2191"/>
      <c r="K115" s="2191"/>
      <c r="L115" s="2191"/>
      <c r="M115" s="2191"/>
      <c r="N115" s="2192"/>
    </row>
    <row r="116" spans="2:14" x14ac:dyDescent="0.15">
      <c r="B116" s="2190"/>
      <c r="C116" s="2191"/>
      <c r="D116" s="2191"/>
      <c r="E116" s="2191"/>
      <c r="F116" s="2191"/>
      <c r="G116" s="2191"/>
      <c r="H116" s="2191"/>
      <c r="I116" s="2191"/>
      <c r="J116" s="2191"/>
      <c r="K116" s="2191"/>
      <c r="L116" s="2191"/>
      <c r="M116" s="2191"/>
      <c r="N116" s="2192"/>
    </row>
    <row r="117" spans="2:14" x14ac:dyDescent="0.15">
      <c r="B117" s="2190"/>
      <c r="C117" s="2191"/>
      <c r="D117" s="2191"/>
      <c r="E117" s="2191"/>
      <c r="F117" s="2191"/>
      <c r="G117" s="2191"/>
      <c r="H117" s="2191"/>
      <c r="I117" s="2191"/>
      <c r="J117" s="2191"/>
      <c r="K117" s="2191"/>
      <c r="L117" s="2191"/>
      <c r="M117" s="2191"/>
      <c r="N117" s="2192"/>
    </row>
    <row r="118" spans="2:14" ht="13.5" thickBot="1" x14ac:dyDescent="0.2">
      <c r="B118" s="2190"/>
      <c r="C118" s="2191"/>
      <c r="D118" s="2191"/>
      <c r="E118" s="2191"/>
      <c r="F118" s="2191"/>
      <c r="G118" s="2191"/>
      <c r="H118" s="2191"/>
      <c r="I118" s="2191"/>
      <c r="J118" s="2191"/>
      <c r="K118" s="2191"/>
      <c r="L118" s="2191"/>
      <c r="M118" s="2191"/>
      <c r="N118" s="2192"/>
    </row>
    <row r="119" spans="2:14" ht="13.5" thickBot="1" x14ac:dyDescent="0.2">
      <c r="B119" s="2374" t="s">
        <v>1534</v>
      </c>
      <c r="C119" s="2375"/>
      <c r="D119" s="2375"/>
      <c r="E119" s="2375"/>
      <c r="F119" s="2375"/>
      <c r="G119" s="2375"/>
      <c r="H119" s="2375"/>
      <c r="I119" s="2375"/>
      <c r="J119" s="2375"/>
      <c r="K119" s="2375"/>
      <c r="L119" s="2375"/>
      <c r="M119" s="2375"/>
      <c r="N119" s="2376"/>
    </row>
    <row r="120" spans="2:14" x14ac:dyDescent="0.15">
      <c r="B120" s="2190"/>
      <c r="C120" s="2191"/>
      <c r="D120" s="2191"/>
      <c r="E120" s="2191"/>
      <c r="F120" s="2191"/>
      <c r="G120" s="2191"/>
      <c r="H120" s="2191"/>
      <c r="I120" s="2191"/>
      <c r="J120" s="2191"/>
      <c r="K120" s="2191"/>
      <c r="L120" s="2191"/>
      <c r="M120" s="2191"/>
      <c r="N120" s="2192"/>
    </row>
    <row r="121" spans="2:14" x14ac:dyDescent="0.15">
      <c r="B121" s="2190"/>
      <c r="C121" s="2191"/>
      <c r="D121" s="2191"/>
      <c r="E121" s="2191"/>
      <c r="F121" s="2191"/>
      <c r="G121" s="2191"/>
      <c r="H121" s="2191"/>
      <c r="I121" s="2191"/>
      <c r="J121" s="2191"/>
      <c r="K121" s="2191"/>
      <c r="L121" s="2191"/>
      <c r="M121" s="2191"/>
      <c r="N121" s="2192"/>
    </row>
    <row r="122" spans="2:14" x14ac:dyDescent="0.15">
      <c r="B122" s="2190"/>
      <c r="C122" s="2191"/>
      <c r="D122" s="2191"/>
      <c r="E122" s="2191"/>
      <c r="F122" s="2191"/>
      <c r="G122" s="2191"/>
      <c r="H122" s="2191"/>
      <c r="I122" s="2191"/>
      <c r="J122" s="2191"/>
      <c r="K122" s="2191"/>
      <c r="L122" s="2191"/>
      <c r="M122" s="2191"/>
      <c r="N122" s="2192"/>
    </row>
    <row r="123" spans="2:14" x14ac:dyDescent="0.15">
      <c r="B123" s="2190"/>
      <c r="C123" s="2191"/>
      <c r="D123" s="2191"/>
      <c r="E123" s="2191"/>
      <c r="F123" s="2191"/>
      <c r="G123" s="2191"/>
      <c r="H123" s="2191"/>
      <c r="I123" s="2191"/>
      <c r="J123" s="2191"/>
      <c r="K123" s="2191"/>
      <c r="L123" s="2191"/>
      <c r="M123" s="2191"/>
      <c r="N123" s="2192"/>
    </row>
    <row r="124" spans="2:14" x14ac:dyDescent="0.15">
      <c r="B124" s="2190"/>
      <c r="C124" s="2191"/>
      <c r="D124" s="2191"/>
      <c r="E124" s="2191"/>
      <c r="F124" s="2191"/>
      <c r="G124" s="2191"/>
      <c r="H124" s="2191"/>
      <c r="I124" s="2191"/>
      <c r="J124" s="2191"/>
      <c r="K124" s="2191"/>
      <c r="L124" s="2191"/>
      <c r="M124" s="2191"/>
      <c r="N124" s="2192"/>
    </row>
    <row r="125" spans="2:14" x14ac:dyDescent="0.15">
      <c r="B125" s="2190"/>
      <c r="C125" s="2191"/>
      <c r="D125" s="2191"/>
      <c r="E125" s="2191"/>
      <c r="F125" s="2191"/>
      <c r="G125" s="2191"/>
      <c r="H125" s="2191"/>
      <c r="I125" s="2191"/>
      <c r="J125" s="2191"/>
      <c r="K125" s="2191"/>
      <c r="L125" s="2191"/>
      <c r="M125" s="2191"/>
      <c r="N125" s="2192"/>
    </row>
    <row r="126" spans="2:14" x14ac:dyDescent="0.15">
      <c r="B126" s="2190"/>
      <c r="C126" s="2191"/>
      <c r="D126" s="2191"/>
      <c r="E126" s="2191"/>
      <c r="F126" s="2191"/>
      <c r="G126" s="2191"/>
      <c r="H126" s="2191"/>
      <c r="I126" s="2191"/>
      <c r="J126" s="2191"/>
      <c r="K126" s="2191"/>
      <c r="L126" s="2191"/>
      <c r="M126" s="2191"/>
      <c r="N126" s="2192"/>
    </row>
    <row r="127" spans="2:14" x14ac:dyDescent="0.15">
      <c r="B127" s="2190"/>
      <c r="C127" s="2191"/>
      <c r="D127" s="2191"/>
      <c r="E127" s="2191"/>
      <c r="F127" s="2191"/>
      <c r="G127" s="2191"/>
      <c r="H127" s="2191"/>
      <c r="I127" s="2191"/>
      <c r="J127" s="2191"/>
      <c r="K127" s="2191"/>
      <c r="L127" s="2191"/>
      <c r="M127" s="2191"/>
      <c r="N127" s="2192"/>
    </row>
    <row r="128" spans="2:14" x14ac:dyDescent="0.15">
      <c r="B128" s="2190"/>
      <c r="C128" s="2191"/>
      <c r="D128" s="2191"/>
      <c r="E128" s="2191"/>
      <c r="F128" s="2191"/>
      <c r="G128" s="2191"/>
      <c r="H128" s="2191"/>
      <c r="I128" s="2191"/>
      <c r="J128" s="2191"/>
      <c r="K128" s="2191"/>
      <c r="L128" s="2191"/>
      <c r="M128" s="2191"/>
      <c r="N128" s="2192"/>
    </row>
    <row r="129" spans="2:14" x14ac:dyDescent="0.15">
      <c r="B129" s="2190"/>
      <c r="C129" s="2191"/>
      <c r="D129" s="2191"/>
      <c r="E129" s="2191"/>
      <c r="F129" s="2191"/>
      <c r="G129" s="2191"/>
      <c r="H129" s="2191"/>
      <c r="I129" s="2191"/>
      <c r="J129" s="2191"/>
      <c r="K129" s="2191"/>
      <c r="L129" s="2191"/>
      <c r="M129" s="2191"/>
      <c r="N129" s="2192"/>
    </row>
    <row r="130" spans="2:14" ht="13.5" thickBot="1" x14ac:dyDescent="0.2">
      <c r="B130" s="2190"/>
      <c r="C130" s="2191"/>
      <c r="D130" s="2191"/>
      <c r="E130" s="2191"/>
      <c r="F130" s="2191"/>
      <c r="G130" s="2191"/>
      <c r="H130" s="2191"/>
      <c r="I130" s="2191"/>
      <c r="J130" s="2191"/>
      <c r="K130" s="2191"/>
      <c r="L130" s="2191"/>
      <c r="M130" s="2191"/>
      <c r="N130" s="2192"/>
    </row>
    <row r="131" spans="2:14" ht="13.5" thickBot="1" x14ac:dyDescent="0.2">
      <c r="B131" s="2374" t="s">
        <v>1535</v>
      </c>
      <c r="C131" s="2375"/>
      <c r="D131" s="2375"/>
      <c r="E131" s="2375"/>
      <c r="F131" s="2375"/>
      <c r="G131" s="2375"/>
      <c r="H131" s="2375"/>
      <c r="I131" s="2375"/>
      <c r="J131" s="2375"/>
      <c r="K131" s="2375"/>
      <c r="L131" s="2375"/>
      <c r="M131" s="2375"/>
      <c r="N131" s="2376"/>
    </row>
    <row r="132" spans="2:14" x14ac:dyDescent="0.15">
      <c r="B132" s="2190"/>
      <c r="C132" s="2191"/>
      <c r="D132" s="2191"/>
      <c r="E132" s="2191"/>
      <c r="F132" s="2191"/>
      <c r="G132" s="2191"/>
      <c r="H132" s="2191"/>
      <c r="I132" s="2191"/>
      <c r="J132" s="2191"/>
      <c r="K132" s="2191"/>
      <c r="L132" s="2191"/>
      <c r="M132" s="2191"/>
      <c r="N132" s="2192"/>
    </row>
    <row r="133" spans="2:14" x14ac:dyDescent="0.15">
      <c r="B133" s="2190"/>
      <c r="C133" s="2191"/>
      <c r="D133" s="2191"/>
      <c r="E133" s="2191"/>
      <c r="F133" s="2191"/>
      <c r="G133" s="2191"/>
      <c r="H133" s="2191"/>
      <c r="I133" s="2191"/>
      <c r="J133" s="2191"/>
      <c r="K133" s="2191"/>
      <c r="L133" s="2191"/>
      <c r="M133" s="2191"/>
      <c r="N133" s="2192"/>
    </row>
    <row r="134" spans="2:14" x14ac:dyDescent="0.15">
      <c r="B134" s="2190"/>
      <c r="C134" s="2191"/>
      <c r="D134" s="2191"/>
      <c r="E134" s="2191"/>
      <c r="F134" s="2191"/>
      <c r="G134" s="2191"/>
      <c r="H134" s="2191"/>
      <c r="I134" s="2191"/>
      <c r="J134" s="2191"/>
      <c r="K134" s="2191"/>
      <c r="L134" s="2191"/>
      <c r="M134" s="2191"/>
      <c r="N134" s="2192"/>
    </row>
    <row r="135" spans="2:14" x14ac:dyDescent="0.15">
      <c r="B135" s="2190"/>
      <c r="C135" s="2191"/>
      <c r="D135" s="2191"/>
      <c r="E135" s="2191"/>
      <c r="F135" s="2191"/>
      <c r="G135" s="2191"/>
      <c r="H135" s="2191"/>
      <c r="I135" s="2191"/>
      <c r="J135" s="2191"/>
      <c r="K135" s="2191"/>
      <c r="L135" s="2191"/>
      <c r="M135" s="2191"/>
      <c r="N135" s="2192"/>
    </row>
    <row r="136" spans="2:14" x14ac:dyDescent="0.15">
      <c r="B136" s="2190"/>
      <c r="C136" s="2191"/>
      <c r="D136" s="2191"/>
      <c r="E136" s="2191"/>
      <c r="F136" s="2191"/>
      <c r="G136" s="2191"/>
      <c r="H136" s="2191"/>
      <c r="I136" s="2191"/>
      <c r="J136" s="2191"/>
      <c r="K136" s="2191"/>
      <c r="L136" s="2191"/>
      <c r="M136" s="2191"/>
      <c r="N136" s="2192"/>
    </row>
    <row r="137" spans="2:14" x14ac:dyDescent="0.15">
      <c r="B137" s="2190"/>
      <c r="C137" s="2191"/>
      <c r="D137" s="2191"/>
      <c r="E137" s="2191"/>
      <c r="F137" s="2191"/>
      <c r="G137" s="2191"/>
      <c r="H137" s="2191"/>
      <c r="I137" s="2191"/>
      <c r="J137" s="2191"/>
      <c r="K137" s="2191"/>
      <c r="L137" s="2191"/>
      <c r="M137" s="2191"/>
      <c r="N137" s="2192"/>
    </row>
    <row r="138" spans="2:14" x14ac:dyDescent="0.15">
      <c r="B138" s="2190"/>
      <c r="C138" s="2191"/>
      <c r="D138" s="2191"/>
      <c r="E138" s="2191"/>
      <c r="F138" s="2191"/>
      <c r="G138" s="2191"/>
      <c r="H138" s="2191"/>
      <c r="I138" s="2191"/>
      <c r="J138" s="2191"/>
      <c r="K138" s="2191"/>
      <c r="L138" s="2191"/>
      <c r="M138" s="2191"/>
      <c r="N138" s="2192"/>
    </row>
    <row r="139" spans="2:14" x14ac:dyDescent="0.15">
      <c r="B139" s="2190"/>
      <c r="C139" s="2191"/>
      <c r="D139" s="2191"/>
      <c r="E139" s="2191"/>
      <c r="F139" s="2191"/>
      <c r="G139" s="2191"/>
      <c r="H139" s="2191"/>
      <c r="I139" s="2191"/>
      <c r="J139" s="2191"/>
      <c r="K139" s="2191"/>
      <c r="L139" s="2191"/>
      <c r="M139" s="2191"/>
      <c r="N139" s="2192"/>
    </row>
    <row r="140" spans="2:14" x14ac:dyDescent="0.15">
      <c r="B140" s="2190"/>
      <c r="C140" s="2191"/>
      <c r="D140" s="2191"/>
      <c r="E140" s="2191"/>
      <c r="F140" s="2191"/>
      <c r="G140" s="2191"/>
      <c r="H140" s="2191"/>
      <c r="I140" s="2191"/>
      <c r="J140" s="2191"/>
      <c r="K140" s="2191"/>
      <c r="L140" s="2191"/>
      <c r="M140" s="2191"/>
      <c r="N140" s="2192"/>
    </row>
    <row r="141" spans="2:14" x14ac:dyDescent="0.15">
      <c r="B141" s="2190"/>
      <c r="C141" s="2191"/>
      <c r="D141" s="2191"/>
      <c r="E141" s="2191"/>
      <c r="F141" s="2191"/>
      <c r="G141" s="2191"/>
      <c r="H141" s="2191"/>
      <c r="I141" s="2191"/>
      <c r="J141" s="2191"/>
      <c r="K141" s="2191"/>
      <c r="L141" s="2191"/>
      <c r="M141" s="2191"/>
      <c r="N141" s="2192"/>
    </row>
    <row r="142" spans="2:14" x14ac:dyDescent="0.15">
      <c r="B142" s="2190"/>
      <c r="C142" s="2191"/>
      <c r="D142" s="2191"/>
      <c r="E142" s="2191"/>
      <c r="F142" s="2191"/>
      <c r="G142" s="2191"/>
      <c r="H142" s="2191"/>
      <c r="I142" s="2191"/>
      <c r="J142" s="2191"/>
      <c r="K142" s="2191"/>
      <c r="L142" s="2191"/>
      <c r="M142" s="2191"/>
      <c r="N142" s="2192"/>
    </row>
    <row r="143" spans="2:14" ht="11.25" customHeight="1" x14ac:dyDescent="0.15">
      <c r="B143" s="2190"/>
      <c r="C143" s="2191"/>
      <c r="D143" s="2191"/>
      <c r="E143" s="2191"/>
      <c r="F143" s="2191"/>
      <c r="G143" s="2191"/>
      <c r="H143" s="2191"/>
      <c r="I143" s="2191"/>
      <c r="J143" s="2191"/>
      <c r="K143" s="2191"/>
      <c r="L143" s="2191"/>
      <c r="M143" s="2191"/>
      <c r="N143" s="2192"/>
    </row>
    <row r="144" spans="2:14" ht="12" customHeight="1" x14ac:dyDescent="0.15">
      <c r="B144" s="2377"/>
      <c r="C144" s="2195"/>
      <c r="D144" s="2195"/>
      <c r="E144" s="2195"/>
      <c r="F144" s="2195"/>
      <c r="G144" s="2195"/>
      <c r="H144" s="2195"/>
      <c r="I144" s="2195"/>
      <c r="J144" s="2195"/>
      <c r="K144" s="2195"/>
      <c r="L144" s="2195"/>
      <c r="M144" s="2195"/>
      <c r="N144" s="2196"/>
    </row>
    <row r="145" spans="2:14" x14ac:dyDescent="0.15">
      <c r="B145" s="2190"/>
      <c r="C145" s="2191"/>
      <c r="D145" s="2191"/>
      <c r="E145" s="2191"/>
      <c r="F145" s="2191"/>
      <c r="G145" s="2191"/>
      <c r="H145" s="2191"/>
      <c r="I145" s="2191"/>
      <c r="J145" s="2191"/>
      <c r="K145" s="2191"/>
      <c r="L145" s="2191"/>
      <c r="M145" s="2191"/>
      <c r="N145" s="2192"/>
    </row>
    <row r="146" spans="2:14" x14ac:dyDescent="0.15">
      <c r="B146" s="2190"/>
      <c r="C146" s="2191"/>
      <c r="D146" s="2191"/>
      <c r="E146" s="2191"/>
      <c r="F146" s="2191"/>
      <c r="G146" s="2191"/>
      <c r="H146" s="2191"/>
      <c r="I146" s="2191"/>
      <c r="J146" s="2191"/>
      <c r="K146" s="2191"/>
      <c r="L146" s="2191"/>
      <c r="M146" s="2191"/>
      <c r="N146" s="2192"/>
    </row>
    <row r="147" spans="2:14" x14ac:dyDescent="0.15">
      <c r="B147" s="2190"/>
      <c r="C147" s="2191"/>
      <c r="D147" s="2191"/>
      <c r="E147" s="2191"/>
      <c r="F147" s="2191"/>
      <c r="G147" s="2191"/>
      <c r="H147" s="2191"/>
      <c r="I147" s="2191"/>
      <c r="J147" s="2191"/>
      <c r="K147" s="2191"/>
      <c r="L147" s="2191"/>
      <c r="M147" s="2191"/>
      <c r="N147" s="2192"/>
    </row>
    <row r="148" spans="2:14" x14ac:dyDescent="0.15">
      <c r="B148" s="2190"/>
      <c r="C148" s="2191"/>
      <c r="D148" s="2191"/>
      <c r="E148" s="2191"/>
      <c r="F148" s="2191"/>
      <c r="G148" s="2191"/>
      <c r="H148" s="2191"/>
      <c r="I148" s="2191"/>
      <c r="J148" s="2191"/>
      <c r="K148" s="2191"/>
      <c r="L148" s="2191"/>
      <c r="M148" s="2191"/>
      <c r="N148" s="2192"/>
    </row>
    <row r="149" spans="2:14" x14ac:dyDescent="0.15">
      <c r="B149" s="2190"/>
      <c r="C149" s="2191"/>
      <c r="D149" s="2191"/>
      <c r="E149" s="2191"/>
      <c r="F149" s="2191"/>
      <c r="G149" s="2191"/>
      <c r="H149" s="2191"/>
      <c r="I149" s="2191"/>
      <c r="J149" s="2191"/>
      <c r="K149" s="2191"/>
      <c r="L149" s="2191"/>
      <c r="M149" s="2191"/>
      <c r="N149" s="2192"/>
    </row>
    <row r="150" spans="2:14" x14ac:dyDescent="0.15">
      <c r="B150" s="2190"/>
      <c r="C150" s="2191"/>
      <c r="D150" s="2191"/>
      <c r="E150" s="2191"/>
      <c r="F150" s="2191"/>
      <c r="G150" s="2191"/>
      <c r="H150" s="2191"/>
      <c r="I150" s="2191"/>
      <c r="J150" s="2191"/>
      <c r="K150" s="2191"/>
      <c r="L150" s="2191"/>
      <c r="M150" s="2191"/>
      <c r="N150" s="2192"/>
    </row>
    <row r="151" spans="2:14" x14ac:dyDescent="0.15">
      <c r="B151" s="2190"/>
      <c r="C151" s="2191"/>
      <c r="D151" s="2191"/>
      <c r="E151" s="2191"/>
      <c r="F151" s="2191"/>
      <c r="G151" s="2191"/>
      <c r="H151" s="2191"/>
      <c r="I151" s="2191"/>
      <c r="J151" s="2191"/>
      <c r="K151" s="2191"/>
      <c r="L151" s="2191"/>
      <c r="M151" s="2191"/>
      <c r="N151" s="2192"/>
    </row>
    <row r="152" spans="2:14" x14ac:dyDescent="0.15">
      <c r="B152" s="2190"/>
      <c r="C152" s="2191"/>
      <c r="D152" s="2191"/>
      <c r="E152" s="2191"/>
      <c r="F152" s="2191"/>
      <c r="G152" s="2191"/>
      <c r="H152" s="2191"/>
      <c r="I152" s="2191"/>
      <c r="J152" s="2191"/>
      <c r="K152" s="2191"/>
      <c r="L152" s="2191"/>
      <c r="M152" s="2191"/>
      <c r="N152" s="2192"/>
    </row>
    <row r="153" spans="2:14" x14ac:dyDescent="0.15">
      <c r="B153" s="2190"/>
      <c r="C153" s="2191"/>
      <c r="D153" s="2191"/>
      <c r="E153" s="2191"/>
      <c r="F153" s="2191"/>
      <c r="G153" s="2191"/>
      <c r="H153" s="2191"/>
      <c r="I153" s="2191"/>
      <c r="J153" s="2191"/>
      <c r="K153" s="2191"/>
      <c r="L153" s="2191"/>
      <c r="M153" s="2191"/>
      <c r="N153" s="2192"/>
    </row>
    <row r="154" spans="2:14" x14ac:dyDescent="0.15">
      <c r="B154" s="2190"/>
      <c r="C154" s="2191"/>
      <c r="D154" s="2191"/>
      <c r="E154" s="2191"/>
      <c r="F154" s="2191"/>
      <c r="G154" s="2191"/>
      <c r="H154" s="2191"/>
      <c r="I154" s="2191"/>
      <c r="J154" s="2191"/>
      <c r="K154" s="2191"/>
      <c r="L154" s="2191"/>
      <c r="M154" s="2191"/>
      <c r="N154" s="2192"/>
    </row>
    <row r="155" spans="2:14" x14ac:dyDescent="0.15">
      <c r="B155" s="2190"/>
      <c r="C155" s="2191"/>
      <c r="D155" s="2191"/>
      <c r="E155" s="2191"/>
      <c r="F155" s="2191"/>
      <c r="G155" s="2191"/>
      <c r="H155" s="2191"/>
      <c r="I155" s="2191"/>
      <c r="J155" s="2191"/>
      <c r="K155" s="2191"/>
      <c r="L155" s="2191"/>
      <c r="M155" s="2191"/>
      <c r="N155" s="2192"/>
    </row>
    <row r="156" spans="2:14" x14ac:dyDescent="0.15">
      <c r="B156" s="2190"/>
      <c r="C156" s="2191"/>
      <c r="D156" s="2191"/>
      <c r="E156" s="2191"/>
      <c r="F156" s="2191"/>
      <c r="G156" s="2191"/>
      <c r="H156" s="2191"/>
      <c r="I156" s="2191"/>
      <c r="J156" s="2191"/>
      <c r="K156" s="2191"/>
      <c r="L156" s="2191"/>
      <c r="M156" s="2191"/>
      <c r="N156" s="2192"/>
    </row>
    <row r="157" spans="2:14" x14ac:dyDescent="0.15">
      <c r="B157" s="2190"/>
      <c r="C157" s="2191"/>
      <c r="D157" s="2191"/>
      <c r="E157" s="2191"/>
      <c r="F157" s="2191"/>
      <c r="G157" s="2191"/>
      <c r="H157" s="2191"/>
      <c r="I157" s="2191"/>
      <c r="J157" s="2191"/>
      <c r="K157" s="2191"/>
      <c r="L157" s="2191"/>
      <c r="M157" s="2191"/>
      <c r="N157" s="2192"/>
    </row>
    <row r="158" spans="2:14" x14ac:dyDescent="0.15">
      <c r="B158" s="2190"/>
      <c r="C158" s="2191"/>
      <c r="D158" s="2191"/>
      <c r="E158" s="2191"/>
      <c r="F158" s="2191"/>
      <c r="G158" s="2191"/>
      <c r="H158" s="2191"/>
      <c r="I158" s="2191"/>
      <c r="J158" s="2191"/>
      <c r="K158" s="2191"/>
      <c r="L158" s="2191"/>
      <c r="M158" s="2191"/>
      <c r="N158" s="2192"/>
    </row>
    <row r="159" spans="2:14" ht="13.5" thickBot="1" x14ac:dyDescent="0.2">
      <c r="B159" s="2190"/>
      <c r="C159" s="2191"/>
      <c r="D159" s="2191"/>
      <c r="E159" s="2191"/>
      <c r="F159" s="2191"/>
      <c r="G159" s="2191"/>
      <c r="H159" s="2191"/>
      <c r="I159" s="2191"/>
      <c r="J159" s="2191"/>
      <c r="K159" s="2191"/>
      <c r="L159" s="2191"/>
      <c r="M159" s="2191"/>
      <c r="N159" s="2192"/>
    </row>
    <row r="160" spans="2:14" ht="13.5" thickBot="1" x14ac:dyDescent="0.2">
      <c r="B160" s="2374"/>
      <c r="C160" s="2378"/>
      <c r="D160" s="2378"/>
      <c r="E160" s="2378"/>
      <c r="F160" s="2378"/>
      <c r="G160" s="2378"/>
      <c r="H160" s="2378"/>
      <c r="I160" s="2378"/>
      <c r="J160" s="2378"/>
      <c r="K160" s="2378"/>
      <c r="L160" s="2378"/>
      <c r="M160" s="2378"/>
      <c r="N160" s="2379"/>
    </row>
    <row r="161" spans="2:14" x14ac:dyDescent="0.15">
      <c r="B161" s="2191"/>
      <c r="C161" s="2191"/>
      <c r="D161" s="2191"/>
      <c r="E161" s="2191"/>
      <c r="F161" s="2191"/>
      <c r="G161" s="2191"/>
      <c r="H161" s="2191"/>
      <c r="I161" s="2191"/>
      <c r="J161" s="2191"/>
      <c r="K161" s="2191"/>
      <c r="L161" s="2191"/>
      <c r="M161" s="2191"/>
      <c r="N161" s="2191"/>
    </row>
    <row r="162" spans="2:14" x14ac:dyDescent="0.15">
      <c r="B162" s="2191"/>
      <c r="C162" s="2191"/>
      <c r="D162" s="2191"/>
      <c r="E162" s="2191"/>
      <c r="F162" s="2191"/>
      <c r="G162" s="2191"/>
      <c r="H162" s="2191"/>
      <c r="I162" s="2191"/>
      <c r="J162" s="2191"/>
      <c r="K162" s="2191"/>
      <c r="L162" s="2191"/>
      <c r="M162" s="2191"/>
      <c r="N162" s="2191"/>
    </row>
    <row r="163" spans="2:14" x14ac:dyDescent="0.15">
      <c r="B163" s="2191"/>
      <c r="C163" s="2191"/>
      <c r="D163" s="2191"/>
      <c r="E163" s="2191"/>
      <c r="F163" s="2191"/>
      <c r="G163" s="2191"/>
      <c r="H163" s="2191"/>
      <c r="I163" s="2191"/>
      <c r="J163" s="2191"/>
      <c r="K163" s="2191"/>
      <c r="L163" s="2191"/>
      <c r="M163" s="2191"/>
      <c r="N163" s="2191"/>
    </row>
    <row r="164" spans="2:14" x14ac:dyDescent="0.15">
      <c r="B164" s="2191"/>
      <c r="C164" s="2191"/>
      <c r="D164" s="2191"/>
      <c r="E164" s="2191"/>
      <c r="F164" s="2191"/>
      <c r="G164" s="2191"/>
      <c r="H164" s="2191"/>
      <c r="I164" s="2191"/>
      <c r="J164" s="2191"/>
      <c r="K164" s="2191"/>
      <c r="L164" s="2191"/>
      <c r="M164" s="2191"/>
      <c r="N164" s="2191"/>
    </row>
    <row r="165" spans="2:14" x14ac:dyDescent="0.15">
      <c r="B165" s="2191"/>
      <c r="C165" s="2191"/>
      <c r="D165" s="2191"/>
      <c r="E165" s="2191"/>
      <c r="F165" s="2191"/>
      <c r="G165" s="2191"/>
      <c r="H165" s="2191"/>
      <c r="I165" s="2191"/>
      <c r="J165" s="2191"/>
      <c r="K165" s="2191"/>
      <c r="L165" s="2191"/>
      <c r="M165" s="2191"/>
      <c r="N165" s="2191"/>
    </row>
  </sheetData>
  <mergeCells count="30">
    <mergeCell ref="J44:N44"/>
    <mergeCell ref="D5:M6"/>
    <mergeCell ref="J11:L11"/>
    <mergeCell ref="M14:N14"/>
    <mergeCell ref="L20:M20"/>
    <mergeCell ref="J43:N43"/>
    <mergeCell ref="M70:N70"/>
    <mergeCell ref="J45:N45"/>
    <mergeCell ref="J46:N46"/>
    <mergeCell ref="L61:N61"/>
    <mergeCell ref="L62:N62"/>
    <mergeCell ref="L63:N63"/>
    <mergeCell ref="L64:N64"/>
    <mergeCell ref="L65:N65"/>
    <mergeCell ref="L66:N66"/>
    <mergeCell ref="L67:N67"/>
    <mergeCell ref="L68:N68"/>
    <mergeCell ref="L69:N69"/>
    <mergeCell ref="B75:D75"/>
    <mergeCell ref="B84:B85"/>
    <mergeCell ref="C84:H84"/>
    <mergeCell ref="I84:J85"/>
    <mergeCell ref="K84:K85"/>
    <mergeCell ref="N84:N85"/>
    <mergeCell ref="I86:J86"/>
    <mergeCell ref="M71:N71"/>
    <mergeCell ref="M72:N72"/>
    <mergeCell ref="M73:N73"/>
    <mergeCell ref="L84:L85"/>
    <mergeCell ref="M84:M85"/>
  </mergeCells>
  <dataValidations count="14">
    <dataValidation type="list" allowBlank="1" showInputMessage="1" showErrorMessage="1" sqref="C86:H86">
      <formula1>$R$5:$R$27</formula1>
    </dataValidation>
    <dataValidation type="list" allowBlank="1" showInputMessage="1" showErrorMessage="1" sqref="I52:I58 H71 G62:G67">
      <formula1>$U$63:$U$67</formula1>
    </dataValidation>
    <dataValidation type="list" allowBlank="1" showInputMessage="1" showErrorMessage="1" sqref="W13">
      <formula1>FEVE</formula1>
    </dataValidation>
    <dataValidation type="list" allowBlank="1" showInputMessage="1" showErrorMessage="1" sqref="P12">
      <formula1>rorac</formula1>
    </dataValidation>
    <dataValidation type="list" showInputMessage="1" showErrorMessage="1" sqref="E62:E66 E52:E57">
      <formula1>$Q$63:$Q$69</formula1>
    </dataValidation>
    <dataValidation type="list" allowBlank="1" showInputMessage="1" showErrorMessage="1" sqref="F62:F67 G71 F52:F58">
      <formula1>$S$63:$S$69</formula1>
    </dataValidation>
    <dataValidation type="list" allowBlank="1" showInputMessage="1" showErrorMessage="1" sqref="I15">
      <formula1>NCiiu</formula1>
    </dataValidation>
    <dataValidation type="list" allowBlank="1" showInputMessage="1" showErrorMessage="1" sqref="K16">
      <formula1>$U$10:$U$19</formula1>
    </dataValidation>
    <dataValidation type="list" showInputMessage="1" showErrorMessage="1" sqref="G9">
      <formula1>$T$43:$T$47</formula1>
    </dataValidation>
    <dataValidation showInputMessage="1" showErrorMessage="1" sqref="C9"/>
    <dataValidation type="list" allowBlank="1" showInputMessage="1" showErrorMessage="1" sqref="L9">
      <formula1>$W$4:$W$11</formula1>
    </dataValidation>
    <dataValidation type="list" allowBlank="1" showInputMessage="1" showErrorMessage="1" sqref="L10 H19:I19 K19">
      <formula1>SiNo</formula1>
    </dataValidation>
    <dataValidation type="list" allowBlank="1" showInputMessage="1" showErrorMessage="1" sqref="M86">
      <formula1>$S$10:$S$12</formula1>
    </dataValidation>
    <dataValidation type="list" allowBlank="1" showInputMessage="1" showErrorMessage="1" sqref="K86">
      <formula1>$T$10:$T$14</formula1>
    </dataValidation>
  </dataValidations>
  <printOptions horizontalCentered="1"/>
  <pageMargins left="0.25" right="0.25" top="0.75" bottom="0.75" header="0.3" footer="0.3"/>
  <pageSetup scale="65" fitToHeight="2" orientation="portrait" r:id="rId1"/>
  <headerFooter alignWithMargins="0"/>
  <rowBreaks count="1" manualBreakCount="1">
    <brk id="95" min="1" max="12" man="1"/>
  </rowBreak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9" tint="-0.249977111117893"/>
  </sheetPr>
  <dimension ref="A1:V162"/>
  <sheetViews>
    <sheetView showGridLines="0" topLeftCell="A76" zoomScaleNormal="100" workbookViewId="0">
      <selection activeCell="M80" sqref="M80"/>
    </sheetView>
  </sheetViews>
  <sheetFormatPr baseColWidth="10" defaultRowHeight="11.25" x14ac:dyDescent="0.15"/>
  <cols>
    <col min="1" max="1" width="16.28515625" style="1832" customWidth="1"/>
    <col min="2" max="2" width="11.7109375" style="1832" customWidth="1"/>
    <col min="3" max="3" width="15.5703125" style="1832" customWidth="1"/>
    <col min="4" max="4" width="14" style="1832" customWidth="1"/>
    <col min="5" max="5" width="16.85546875" style="1832" customWidth="1"/>
    <col min="6" max="6" width="15.42578125" style="1832" customWidth="1"/>
    <col min="7" max="10" width="11" style="1832" customWidth="1"/>
    <col min="11" max="11" width="14.85546875" style="1832" customWidth="1"/>
    <col min="12" max="13" width="11" style="1832" customWidth="1"/>
    <col min="14" max="14" width="11.42578125" style="1832"/>
    <col min="15" max="15" width="11.5703125" style="1832" customWidth="1"/>
    <col min="16" max="16" width="11.42578125" style="1832" customWidth="1"/>
    <col min="17" max="19" width="11.5703125" style="1832" customWidth="1"/>
    <col min="20" max="20" width="11.42578125" style="1832" customWidth="1"/>
    <col min="21" max="21" width="11.42578125" style="1907" customWidth="1"/>
    <col min="22" max="24" width="11.42578125" style="1832" customWidth="1"/>
    <col min="25" max="16384" width="11.42578125" style="1832"/>
  </cols>
  <sheetData>
    <row r="1" spans="1:22" hidden="1" x14ac:dyDescent="0.15">
      <c r="A1" s="1960"/>
      <c r="B1" s="1961"/>
      <c r="C1" s="1961"/>
      <c r="D1" s="1961"/>
      <c r="E1" s="1961"/>
      <c r="F1" s="1961"/>
      <c r="G1" s="1961"/>
      <c r="H1" s="1961"/>
      <c r="I1" s="1961"/>
      <c r="J1" s="1961"/>
      <c r="K1" s="1961"/>
      <c r="L1" s="1961"/>
      <c r="M1" s="1962"/>
    </row>
    <row r="2" spans="1:22" ht="12.75" hidden="1" customHeight="1" x14ac:dyDescent="0.15">
      <c r="A2" s="1788"/>
      <c r="B2" s="1785"/>
      <c r="C2" s="1784" t="s">
        <v>113</v>
      </c>
      <c r="D2" s="1785"/>
      <c r="E2" s="1785"/>
      <c r="F2" s="1785"/>
      <c r="G2" s="1784" t="s">
        <v>114</v>
      </c>
      <c r="H2" s="1785" t="s">
        <v>524</v>
      </c>
      <c r="J2" s="1785"/>
      <c r="K2" s="1785"/>
      <c r="L2" s="1786" t="s">
        <v>1357</v>
      </c>
      <c r="M2" s="1787"/>
      <c r="P2" s="1832" t="s">
        <v>103</v>
      </c>
      <c r="V2" s="1832">
        <v>210</v>
      </c>
    </row>
    <row r="3" spans="1:22" ht="12.75" hidden="1" customHeight="1" x14ac:dyDescent="0.15">
      <c r="A3" s="1788"/>
      <c r="B3" s="1785"/>
      <c r="C3" s="1789" t="s">
        <v>162</v>
      </c>
      <c r="D3" s="1790"/>
      <c r="E3" s="1791"/>
      <c r="F3" s="1792"/>
      <c r="G3" s="1792" t="s">
        <v>115</v>
      </c>
      <c r="H3" s="1793" t="s">
        <v>1744</v>
      </c>
      <c r="J3" s="1785"/>
      <c r="K3" s="1785"/>
      <c r="L3" s="1786" t="s">
        <v>627</v>
      </c>
      <c r="M3" s="1787" t="s">
        <v>104</v>
      </c>
      <c r="P3" s="1832" t="s">
        <v>104</v>
      </c>
      <c r="Q3" s="1963" t="s">
        <v>1098</v>
      </c>
      <c r="V3" s="1832">
        <v>220</v>
      </c>
    </row>
    <row r="4" spans="1:22" ht="12.75" hidden="1" customHeight="1" x14ac:dyDescent="0.15">
      <c r="A4" s="1794"/>
      <c r="B4" s="1795"/>
      <c r="C4" s="1796" t="s">
        <v>220</v>
      </c>
      <c r="D4" s="1796"/>
      <c r="E4" s="1797" t="str">
        <f>IF(CodCIIU="","",VLOOKUP(CodCIIU,CIIU,2,0))</f>
        <v/>
      </c>
      <c r="F4" s="1796"/>
      <c r="G4" s="1798"/>
      <c r="H4" s="1798"/>
      <c r="I4" s="1796"/>
      <c r="J4" s="1799"/>
      <c r="K4" s="3186" t="s">
        <v>116</v>
      </c>
      <c r="L4" s="3186"/>
      <c r="M4" s="3187"/>
      <c r="Q4" s="1963" t="s">
        <v>484</v>
      </c>
      <c r="V4" s="1832">
        <v>415</v>
      </c>
    </row>
    <row r="5" spans="1:22" hidden="1" x14ac:dyDescent="0.15">
      <c r="A5" s="1800" t="s">
        <v>154</v>
      </c>
      <c r="B5" s="1801">
        <f>General!D6</f>
        <v>0</v>
      </c>
      <c r="C5" s="1785"/>
      <c r="D5" s="1802"/>
      <c r="E5" s="1785"/>
      <c r="F5" s="1784" t="s">
        <v>159</v>
      </c>
      <c r="G5" s="1785"/>
      <c r="H5" s="1803" t="str">
        <f>IF(General!D7="","",General!D7)</f>
        <v/>
      </c>
      <c r="J5" s="1802"/>
      <c r="K5" s="1804"/>
      <c r="L5" s="3167" t="s">
        <v>160</v>
      </c>
      <c r="M5" s="3168"/>
      <c r="Q5" s="1963" t="s">
        <v>1095</v>
      </c>
      <c r="V5" s="1832">
        <v>425</v>
      </c>
    </row>
    <row r="6" spans="1:22" hidden="1" x14ac:dyDescent="0.15">
      <c r="A6" s="1800" t="s">
        <v>107</v>
      </c>
      <c r="B6" s="1801">
        <f>General!D9</f>
        <v>0</v>
      </c>
      <c r="C6" s="1785"/>
      <c r="D6" s="1802"/>
      <c r="E6" s="1785"/>
      <c r="F6" s="1792" t="s">
        <v>993</v>
      </c>
      <c r="G6" s="1805"/>
      <c r="H6" s="1805"/>
      <c r="I6" s="1806"/>
      <c r="J6" s="1807"/>
      <c r="K6" s="1808"/>
      <c r="L6" s="1807"/>
      <c r="M6" s="1809" t="s">
        <v>161</v>
      </c>
      <c r="O6" s="1832">
        <f>CIIU!A2:A447</f>
        <v>113</v>
      </c>
      <c r="Q6" s="1963" t="s">
        <v>483</v>
      </c>
      <c r="V6" s="1832">
        <v>426</v>
      </c>
    </row>
    <row r="7" spans="1:22" hidden="1" x14ac:dyDescent="0.15">
      <c r="A7" s="1800" t="s">
        <v>989</v>
      </c>
      <c r="B7" s="1801"/>
      <c r="C7" s="1785"/>
      <c r="D7" s="1802"/>
      <c r="E7" s="1785"/>
      <c r="F7" s="1792" t="s">
        <v>1037</v>
      </c>
      <c r="G7" s="1810"/>
      <c r="H7" s="1810"/>
      <c r="I7" s="1811" t="s">
        <v>950</v>
      </c>
      <c r="J7" s="1812" t="s">
        <v>1513</v>
      </c>
      <c r="K7" s="1808"/>
      <c r="L7" s="1808" t="s">
        <v>636</v>
      </c>
      <c r="M7" s="1813" t="str">
        <f ca="1">TEXT(TODAY(),"DD-mmm-yyyy")</f>
        <v>07-nov-2019</v>
      </c>
      <c r="Q7" s="1963" t="s">
        <v>1096</v>
      </c>
      <c r="V7" s="1832">
        <v>131</v>
      </c>
    </row>
    <row r="8" spans="1:22" hidden="1" x14ac:dyDescent="0.2">
      <c r="A8" s="1814" t="s">
        <v>990</v>
      </c>
      <c r="B8" s="1815" t="e">
        <f>+Cuadros!F41</f>
        <v>#DIV/0!</v>
      </c>
      <c r="C8" s="1699"/>
      <c r="D8" s="1699"/>
      <c r="E8" s="1699"/>
      <c r="F8" s="1699"/>
      <c r="G8" s="1699"/>
      <c r="H8" s="1699"/>
      <c r="I8" s="1699"/>
      <c r="J8" s="1699"/>
      <c r="K8" s="1699"/>
      <c r="L8" s="1808" t="s">
        <v>1040</v>
      </c>
      <c r="M8" s="1816">
        <f>+M78</f>
        <v>3.9000000000000004</v>
      </c>
      <c r="P8" s="1832" t="s">
        <v>1042</v>
      </c>
      <c r="Q8" s="1832">
        <v>9.3000000000000007</v>
      </c>
      <c r="R8" s="1832">
        <v>-2</v>
      </c>
      <c r="S8" s="1964">
        <v>0</v>
      </c>
      <c r="T8" s="1832" t="s">
        <v>953</v>
      </c>
      <c r="V8" s="1832">
        <v>140</v>
      </c>
    </row>
    <row r="9" spans="1:22" hidden="1" x14ac:dyDescent="0.2">
      <c r="A9" s="1800" t="s">
        <v>991</v>
      </c>
      <c r="B9" s="1815"/>
      <c r="C9" s="1785"/>
      <c r="D9" s="1785"/>
      <c r="E9" s="1785"/>
      <c r="F9" s="1785"/>
      <c r="G9" s="1785"/>
      <c r="H9" s="1785"/>
      <c r="I9" s="1802"/>
      <c r="J9" s="1808"/>
      <c r="K9" s="1817"/>
      <c r="L9" s="1808" t="s">
        <v>1041</v>
      </c>
      <c r="M9" s="1816">
        <f>+M81</f>
        <v>3.9000000000000004</v>
      </c>
      <c r="P9" s="1832" t="s">
        <v>1043</v>
      </c>
      <c r="Q9" s="1832">
        <v>9</v>
      </c>
      <c r="R9" s="1832">
        <v>-1</v>
      </c>
      <c r="S9" s="1964">
        <v>0.25</v>
      </c>
      <c r="T9" s="1832" t="s">
        <v>954</v>
      </c>
    </row>
    <row r="10" spans="1:22" hidden="1" x14ac:dyDescent="0.15">
      <c r="A10" s="1800" t="s">
        <v>992</v>
      </c>
      <c r="B10" s="1818"/>
      <c r="C10" s="1784" t="s">
        <v>163</v>
      </c>
      <c r="D10" s="1818"/>
      <c r="E10" s="1785"/>
      <c r="F10" s="1802"/>
      <c r="G10" s="1785"/>
      <c r="H10" s="1785"/>
      <c r="I10" s="1802"/>
      <c r="J10" s="1785"/>
      <c r="K10" s="1819"/>
      <c r="L10" s="1819" t="s">
        <v>1734</v>
      </c>
      <c r="M10" s="1820">
        <f>+M156</f>
        <v>0</v>
      </c>
      <c r="O10" s="1808"/>
      <c r="P10" s="1832" t="s">
        <v>1044</v>
      </c>
      <c r="Q10" s="1832">
        <v>8.5</v>
      </c>
      <c r="R10" s="1832">
        <v>0</v>
      </c>
      <c r="S10" s="1964">
        <v>0.5</v>
      </c>
      <c r="T10" s="1832" t="s">
        <v>1487</v>
      </c>
    </row>
    <row r="11" spans="1:22" hidden="1" x14ac:dyDescent="0.15">
      <c r="A11" s="1821" t="s">
        <v>164</v>
      </c>
      <c r="B11" s="1785"/>
      <c r="C11" s="1822"/>
      <c r="D11" s="1785"/>
      <c r="E11" s="1803" t="s">
        <v>165</v>
      </c>
      <c r="F11" s="1822"/>
      <c r="G11" s="1803" t="s">
        <v>166</v>
      </c>
      <c r="H11" s="1803"/>
      <c r="I11" s="1822"/>
      <c r="K11" s="1823"/>
      <c r="L11" s="1823" t="s">
        <v>1735</v>
      </c>
      <c r="M11" s="1824">
        <f>+M158</f>
        <v>0</v>
      </c>
      <c r="P11" s="1832" t="s">
        <v>1045</v>
      </c>
      <c r="Q11" s="1832">
        <v>8</v>
      </c>
      <c r="S11" s="1964">
        <v>0.75</v>
      </c>
      <c r="T11" s="1832" t="s">
        <v>1488</v>
      </c>
      <c r="V11" s="1825"/>
    </row>
    <row r="12" spans="1:22" hidden="1" x14ac:dyDescent="0.15">
      <c r="A12" s="1826"/>
      <c r="B12" s="1827" t="s">
        <v>167</v>
      </c>
      <c r="C12" s="1828"/>
      <c r="D12" s="1828"/>
      <c r="E12" s="1828"/>
      <c r="F12" s="1827" t="s">
        <v>168</v>
      </c>
      <c r="G12" s="1828"/>
      <c r="H12" s="1828"/>
      <c r="I12" s="1828"/>
      <c r="J12" s="1828"/>
      <c r="K12" s="1875"/>
      <c r="L12" s="1875"/>
      <c r="M12" s="1881"/>
      <c r="Q12" s="1832">
        <v>7.5</v>
      </c>
      <c r="S12" s="1964">
        <v>1</v>
      </c>
      <c r="T12" s="1832" t="s">
        <v>1513</v>
      </c>
    </row>
    <row r="13" spans="1:22" hidden="1" x14ac:dyDescent="0.15">
      <c r="A13" s="1829"/>
      <c r="B13" s="1830"/>
      <c r="C13" s="1830" t="s">
        <v>169</v>
      </c>
      <c r="D13" s="1830" t="s">
        <v>170</v>
      </c>
      <c r="E13" s="1784"/>
      <c r="F13" s="1801"/>
      <c r="G13" s="1801"/>
      <c r="H13" s="1831">
        <f>IF(General!$D$24="NO",'Info Entrada'!D1,'Info Entrada'!E1)</f>
        <v>43100</v>
      </c>
      <c r="I13" s="1831">
        <f>IF(General!$D$24="NO",'Info Entrada'!E1,'Info Entrada'!G1)</f>
        <v>43465</v>
      </c>
      <c r="K13" s="1833"/>
      <c r="L13" s="1831">
        <f>+H13</f>
        <v>43100</v>
      </c>
      <c r="M13" s="1834">
        <f>I13</f>
        <v>43465</v>
      </c>
      <c r="P13" s="1832" t="s">
        <v>150</v>
      </c>
      <c r="Q13" s="1832">
        <v>7</v>
      </c>
      <c r="T13" s="1832" t="s">
        <v>1514</v>
      </c>
    </row>
    <row r="14" spans="1:22" hidden="1" x14ac:dyDescent="0.15">
      <c r="A14" s="1829" t="s">
        <v>171</v>
      </c>
      <c r="B14" s="1801"/>
      <c r="C14" s="1835">
        <f>+Posiciones!F72</f>
        <v>0</v>
      </c>
      <c r="D14" s="1835">
        <f>+Posiciones!G72</f>
        <v>0</v>
      </c>
      <c r="E14" s="1836"/>
      <c r="F14" s="1784" t="s">
        <v>172</v>
      </c>
      <c r="G14" s="1801"/>
      <c r="H14" s="1837">
        <f>IF(General!$D$24="NO",'Info Entrada'!D210,'Info Entrada'!E210)</f>
        <v>0</v>
      </c>
      <c r="I14" s="1837">
        <f>IF(General!$D$24="NO",'Info Entrada'!E210,'Info Entrada'!G210)</f>
        <v>0</v>
      </c>
      <c r="J14" s="1784" t="s">
        <v>1499</v>
      </c>
      <c r="K14" s="1801"/>
      <c r="L14" s="1838" t="str">
        <f>IF(General!$D$24="NO",'Resumen Cuadros'!C15,'Resumen Cuadros'!D15)</f>
        <v>N.A.</v>
      </c>
      <c r="M14" s="1839" t="str">
        <f>IF(General!$D$24="NO",'Resumen Cuadros'!D15,'Resumen Cuadros'!F15)</f>
        <v>N.A.</v>
      </c>
      <c r="P14" s="1832" t="s">
        <v>151</v>
      </c>
      <c r="Q14" s="1832">
        <v>6.5</v>
      </c>
      <c r="T14" s="1832" t="s">
        <v>1342</v>
      </c>
    </row>
    <row r="15" spans="1:22" hidden="1" x14ac:dyDescent="0.15">
      <c r="A15" s="1829" t="s">
        <v>174</v>
      </c>
      <c r="B15" s="1801"/>
      <c r="C15" s="1835">
        <f>+Posiciones!F71</f>
        <v>0</v>
      </c>
      <c r="D15" s="1835">
        <f>+Posiciones!G71</f>
        <v>0</v>
      </c>
      <c r="E15" s="1836"/>
      <c r="F15" s="1784" t="s">
        <v>175</v>
      </c>
      <c r="G15" s="1801"/>
      <c r="H15" s="1837">
        <f>IF(General!$D$24="NO",'Info Entrada'!D193,'Info Entrada'!E193)</f>
        <v>0</v>
      </c>
      <c r="I15" s="1837">
        <f>IF(General!$D$24="NO",'Info Entrada'!E193,'Info Entrada'!G193)</f>
        <v>0</v>
      </c>
      <c r="J15" s="1784" t="s">
        <v>188</v>
      </c>
      <c r="K15" s="1801"/>
      <c r="L15" s="1840">
        <f>+IF(General!$D$24="NO",'Resumen Cuadros'!L25,'Resumen Cuadros'!M25)</f>
        <v>0</v>
      </c>
      <c r="M15" s="1841">
        <f>+IF(General!$D$24="NO",'Resumen Cuadros'!M25,'Resumen Cuadros'!N25)</f>
        <v>0</v>
      </c>
      <c r="O15" s="1784"/>
      <c r="P15" s="1832" t="s">
        <v>152</v>
      </c>
      <c r="Q15" s="1832">
        <v>6</v>
      </c>
      <c r="T15" s="1832" t="s">
        <v>1343</v>
      </c>
    </row>
    <row r="16" spans="1:22" hidden="1" x14ac:dyDescent="0.15">
      <c r="A16" s="1829" t="s">
        <v>177</v>
      </c>
      <c r="B16" s="1801"/>
      <c r="C16" s="1835">
        <f>+Posiciones!F73</f>
        <v>0</v>
      </c>
      <c r="D16" s="1835">
        <f>+Posiciones!G73</f>
        <v>0</v>
      </c>
      <c r="E16" s="1836"/>
      <c r="F16" s="1784" t="s">
        <v>178</v>
      </c>
      <c r="G16" s="1801"/>
      <c r="H16" s="1837">
        <f>H14+H15</f>
        <v>0</v>
      </c>
      <c r="I16" s="1837">
        <f>I14+I15</f>
        <v>0</v>
      </c>
      <c r="J16" s="1784" t="s">
        <v>1500</v>
      </c>
      <c r="K16" s="1801"/>
      <c r="L16" s="1842" t="e">
        <f>+L15/H21</f>
        <v>#DIV/0!</v>
      </c>
      <c r="M16" s="1839" t="e">
        <f>+M15/I21</f>
        <v>#DIV/0!</v>
      </c>
      <c r="P16" s="1832" t="s">
        <v>153</v>
      </c>
      <c r="Q16" s="1832">
        <v>5.5</v>
      </c>
    </row>
    <row r="17" spans="1:17" hidden="1" x14ac:dyDescent="0.15">
      <c r="A17" s="1800" t="s">
        <v>180</v>
      </c>
      <c r="B17" s="1801"/>
      <c r="C17" s="1835">
        <f>SUM(C14:C16)</f>
        <v>0</v>
      </c>
      <c r="D17" s="1835">
        <f>SUM(D14:D16)</f>
        <v>0</v>
      </c>
      <c r="E17" s="1836"/>
      <c r="F17" s="1784" t="s">
        <v>181</v>
      </c>
      <c r="G17" s="1801"/>
      <c r="H17" s="1837">
        <f>H16-H18-H19</f>
        <v>0</v>
      </c>
      <c r="I17" s="1837">
        <f>I16-I18-I19</f>
        <v>0</v>
      </c>
      <c r="J17" s="1784" t="s">
        <v>697</v>
      </c>
      <c r="K17" s="1801"/>
      <c r="L17" s="1842">
        <f>+IF(General!$D$24="NO",'Resumen Cuadros'!C25,'Resumen Cuadros'!D25)</f>
        <v>0</v>
      </c>
      <c r="M17" s="1839">
        <f>+IF(General!$D$24="NO",'Resumen Cuadros'!D25,'Resumen Cuadros'!F25)</f>
        <v>0</v>
      </c>
      <c r="Q17" s="1832">
        <v>5</v>
      </c>
    </row>
    <row r="18" spans="1:17" hidden="1" x14ac:dyDescent="0.15">
      <c r="A18" s="1829" t="s">
        <v>183</v>
      </c>
      <c r="B18" s="1801"/>
      <c r="C18" s="1835">
        <f>+Posiciones!F112-Posiciones!F74</f>
        <v>0</v>
      </c>
      <c r="D18" s="1835">
        <f>+Posiciones!G112-Posiciones!G74</f>
        <v>0</v>
      </c>
      <c r="E18" s="1836"/>
      <c r="F18" s="1784" t="s">
        <v>184</v>
      </c>
      <c r="G18" s="1801"/>
      <c r="H18" s="1837">
        <f>IF(General!$D$24="NO",'Info Entrada'!D236,'Info Entrada'!E236)</f>
        <v>0</v>
      </c>
      <c r="I18" s="1837">
        <f>IF(General!$D$24="NO",'Info Entrada'!E236,'Info Entrada'!G236)</f>
        <v>0</v>
      </c>
      <c r="J18" s="1784" t="s">
        <v>763</v>
      </c>
      <c r="K18" s="1801"/>
      <c r="L18" s="1843">
        <f>+IF(General!$D$24="NO",'Resumen EEFF'!C113,'Resumen EEFF'!D113)</f>
        <v>0</v>
      </c>
      <c r="M18" s="1844">
        <f>+IF(General!$D$24="NO",'Resumen EEFF'!D113,'Resumen EEFF'!V113)</f>
        <v>0</v>
      </c>
      <c r="Q18" s="1832">
        <v>4.5</v>
      </c>
    </row>
    <row r="19" spans="1:17" hidden="1" x14ac:dyDescent="0.15">
      <c r="A19" s="1800" t="s">
        <v>186</v>
      </c>
      <c r="B19" s="1801"/>
      <c r="C19" s="1835">
        <f>+C18+C17</f>
        <v>0</v>
      </c>
      <c r="D19" s="1835">
        <f>+D18+D17</f>
        <v>0</v>
      </c>
      <c r="E19" s="1836"/>
      <c r="F19" s="1784" t="s">
        <v>187</v>
      </c>
      <c r="G19" s="1801"/>
      <c r="H19" s="1837">
        <f>IF(General!$D$24="NO",'Info Entrada'!D227,'Info Entrada'!E227)</f>
        <v>0</v>
      </c>
      <c r="I19" s="1837">
        <f>IF(General!$D$24="NO",'Info Entrada'!E227,'Info Entrada'!G227)</f>
        <v>0</v>
      </c>
      <c r="J19" s="1784" t="s">
        <v>1501</v>
      </c>
      <c r="K19" s="1801"/>
      <c r="L19" s="1845">
        <f>-IF(General!$D$24="NO",'Resumen EEFF'!C120,'Resumen EEFF'!D120)</f>
        <v>0</v>
      </c>
      <c r="M19" s="1844">
        <f>-IF(General!$D$24="NO",'Resumen EEFF'!D120,'Resumen EEFF'!V120)</f>
        <v>0</v>
      </c>
      <c r="Q19" s="1832">
        <v>4</v>
      </c>
    </row>
    <row r="20" spans="1:17" hidden="1" x14ac:dyDescent="0.15">
      <c r="A20" s="1846"/>
      <c r="B20" s="1827" t="s">
        <v>189</v>
      </c>
      <c r="C20" s="1847"/>
      <c r="D20" s="1847"/>
      <c r="E20" s="1847"/>
      <c r="F20" s="1784" t="s">
        <v>190</v>
      </c>
      <c r="G20" s="1801"/>
      <c r="H20" s="1837">
        <f>H15-H19</f>
        <v>0</v>
      </c>
      <c r="I20" s="1837">
        <f>I15-I19</f>
        <v>0</v>
      </c>
      <c r="J20" s="1784" t="s">
        <v>1505</v>
      </c>
      <c r="K20" s="1801"/>
      <c r="L20" s="1848" t="str">
        <f>+IF(General!$D$24="NO",'Resumen Cuadros'!L16,'Resumen Cuadros'!M16)</f>
        <v>n.d.</v>
      </c>
      <c r="M20" s="1841" t="str">
        <f>+IF(General!$D$24="NO",'Resumen Cuadros'!M16,'Resumen Cuadros'!P16)</f>
        <v>n.d.</v>
      </c>
      <c r="Q20" s="1832">
        <v>3.5</v>
      </c>
    </row>
    <row r="21" spans="1:17" hidden="1" x14ac:dyDescent="0.15">
      <c r="A21" s="1800" t="s">
        <v>192</v>
      </c>
      <c r="B21" s="1849" t="str">
        <f ca="1">TEXT(TODAY(),"dd-mmm-yyyy")</f>
        <v>07-nov-2019</v>
      </c>
      <c r="C21" s="1850" t="s">
        <v>1747</v>
      </c>
      <c r="D21" s="1851">
        <f>+Cuadros!C2</f>
        <v>40908</v>
      </c>
      <c r="E21" s="1852"/>
      <c r="F21" s="1784" t="s">
        <v>193</v>
      </c>
      <c r="G21" s="1801"/>
      <c r="H21" s="1837">
        <f>IF(General!$D$24="NO",'Info Entrada'!D77,'Info Entrada'!E77)</f>
        <v>0</v>
      </c>
      <c r="I21" s="1837">
        <f>IF(General!$D$24="NO",'Info Entrada'!E77,'Info Entrada'!G77)</f>
        <v>0</v>
      </c>
      <c r="J21" s="1784" t="s">
        <v>1504</v>
      </c>
      <c r="K21" s="1801"/>
      <c r="L21" s="1848">
        <f>+IF(General!$D$24="NO",'Resumen Cuadros'!L18,'Resumen Cuadros'!M18)</f>
        <v>0</v>
      </c>
      <c r="M21" s="1841">
        <f>+IF(General!$D$24="NO",'Resumen Cuadros'!M18,'Resumen Cuadros'!P18)</f>
        <v>0</v>
      </c>
      <c r="Q21" s="1832">
        <v>3</v>
      </c>
    </row>
    <row r="22" spans="1:17" hidden="1" x14ac:dyDescent="0.15">
      <c r="A22" s="1853" t="s">
        <v>195</v>
      </c>
      <c r="B22" s="1854" t="s">
        <v>421</v>
      </c>
      <c r="C22" s="1854" t="s">
        <v>196</v>
      </c>
      <c r="D22" s="1855" t="s">
        <v>425</v>
      </c>
      <c r="E22" s="1855" t="s">
        <v>590</v>
      </c>
      <c r="F22" s="1784" t="s">
        <v>197</v>
      </c>
      <c r="G22" s="1801"/>
      <c r="H22" s="1837">
        <f>IF(General!$D$24="NO",'Info Entrada'!D119,'Info Entrada'!E119)</f>
        <v>0</v>
      </c>
      <c r="I22" s="1837">
        <f>IF(General!$D$24="NO",'Info Entrada'!E119,'Info Entrada'!G119)</f>
        <v>0</v>
      </c>
      <c r="J22" s="1784" t="s">
        <v>1506</v>
      </c>
      <c r="K22" s="1801"/>
      <c r="L22" s="1848" t="str">
        <f>+IF(General!$D$24="NO",'Resumen Cuadros'!L19,'Resumen Cuadros'!M19)</f>
        <v>n.d.</v>
      </c>
      <c r="M22" s="1841" t="str">
        <f>+IF(General!$D$24="NO",'Resumen Cuadros'!M19,'Resumen Cuadros'!P19)</f>
        <v>n.d.</v>
      </c>
      <c r="Q22" s="1832">
        <v>2.5</v>
      </c>
    </row>
    <row r="23" spans="1:17" hidden="1" x14ac:dyDescent="0.15">
      <c r="A23" s="1856" t="str">
        <f>IF(Cuadros!B4="","",Cuadros!B4)</f>
        <v/>
      </c>
      <c r="B23" s="1857"/>
      <c r="C23" s="1857">
        <f>IF(Cuadros!G4="","",Cuadros!G4)</f>
        <v>0</v>
      </c>
      <c r="D23" s="1857" t="str">
        <f>IF(Cuadros!I4="","",Cuadros!I4)</f>
        <v/>
      </c>
      <c r="E23" s="1857" t="str">
        <f>IF(Cuadros!J4="","",Cuadros!J4)</f>
        <v/>
      </c>
      <c r="F23" s="1784" t="s">
        <v>199</v>
      </c>
      <c r="G23" s="1801"/>
      <c r="H23" s="1837">
        <f>IF(General!$D$24="NO",'Info Entrada'!D165,'Info Entrada'!E165)</f>
        <v>0</v>
      </c>
      <c r="I23" s="1837">
        <f>IF(General!$D$24="NO",'Info Entrada'!E165,'Info Entrada'!G165)</f>
        <v>0</v>
      </c>
      <c r="J23" s="1789" t="s">
        <v>198</v>
      </c>
      <c r="K23" s="1801"/>
      <c r="L23" s="1842" t="e">
        <f>+IF(General!$D$24="NO",'Resumen Cuadros'!C43,'Resumen Cuadros'!D43)</f>
        <v>#DIV/0!</v>
      </c>
      <c r="M23" s="1839" t="e">
        <f>+IF(General!$D$24="NO",'Resumen Cuadros'!D43,'Resumen Cuadros'!F43)</f>
        <v>#DIV/0!</v>
      </c>
      <c r="Q23" s="1832">
        <v>2</v>
      </c>
    </row>
    <row r="24" spans="1:17" hidden="1" x14ac:dyDescent="0.15">
      <c r="A24" s="1856" t="str">
        <f>IF(Cuadros!B5="","",Cuadros!B5)</f>
        <v/>
      </c>
      <c r="B24" s="1857" t="str">
        <f>IF(Cuadros!C5="","",Cuadros!C5)</f>
        <v/>
      </c>
      <c r="C24" s="1857">
        <f>IF(Cuadros!G5="","",Cuadros!G5)</f>
        <v>0</v>
      </c>
      <c r="D24" s="1857" t="str">
        <f>IF(Cuadros!I5="","",Cuadros!I5)</f>
        <v/>
      </c>
      <c r="E24" s="1857" t="str">
        <f>IF(Cuadros!J5="","",Cuadros!J5)</f>
        <v/>
      </c>
      <c r="F24" s="1784" t="s">
        <v>200</v>
      </c>
      <c r="G24" s="1801"/>
      <c r="H24" s="1858">
        <f ca="1">IF(General!$D$24="NO",Cuadros!N34,Cuadros!O34)</f>
        <v>0</v>
      </c>
      <c r="I24" s="1858">
        <f ca="1">IF(General!$D$24="NO",Cuadros!O34,Cuadros!AH34)</f>
        <v>0</v>
      </c>
      <c r="J24" s="1819" t="s">
        <v>1502</v>
      </c>
      <c r="K24" s="1801"/>
      <c r="L24" s="1845" t="e">
        <f>+IF(General!$D$24="NO",'Resumen Cuadros'!C45,'Resumen Cuadros'!D45)</f>
        <v>#DIV/0!</v>
      </c>
      <c r="M24" s="1844" t="e">
        <f>+IF(General!$D$24="NO",'Resumen Cuadros'!D45,'Resumen Cuadros'!F45)</f>
        <v>#DIV/0!</v>
      </c>
      <c r="Q24" s="1832">
        <v>1.5</v>
      </c>
    </row>
    <row r="25" spans="1:17" hidden="1" x14ac:dyDescent="0.15">
      <c r="A25" s="1856" t="str">
        <f>IF(Cuadros!B6="","",Cuadros!B6)</f>
        <v/>
      </c>
      <c r="B25" s="1857" t="str">
        <f>IF(Cuadros!C6="","",Cuadros!C6)</f>
        <v/>
      </c>
      <c r="C25" s="1857">
        <f>IF(Cuadros!G6="","",Cuadros!G6)</f>
        <v>0</v>
      </c>
      <c r="D25" s="1857" t="str">
        <f>IF(Cuadros!I6="","",Cuadros!I6)</f>
        <v/>
      </c>
      <c r="E25" s="1857" t="str">
        <f>IF(Cuadros!J6="","",Cuadros!J6)</f>
        <v/>
      </c>
      <c r="F25" s="1784" t="s">
        <v>201</v>
      </c>
      <c r="G25" s="1801"/>
      <c r="H25" s="1858">
        <f>IF(General!$D$24="NO",Cuadros!N48,Cuadros!O48)</f>
        <v>0</v>
      </c>
      <c r="I25" s="1858">
        <f>IF(General!$D$24="NO",Cuadros!O48,Cuadros!AH48)</f>
        <v>0</v>
      </c>
      <c r="J25" s="1819" t="s">
        <v>1503</v>
      </c>
      <c r="K25" s="1801"/>
      <c r="L25" s="1845" t="e">
        <f>+IF(General!$D$24="NO",'Resumen EEFF'!C107/'Resumen EEFF'!C13,'Resumen EEFF'!D107/'Resumen EEFF'!D13)</f>
        <v>#DIV/0!</v>
      </c>
      <c r="M25" s="1844" t="e">
        <f>+IF(General!$D$24="NO",'Resumen EEFF'!D107/'Resumen EEFF'!D13,'Resumen EEFF'!V107/'Resumen EEFF'!V13)</f>
        <v>#DIV/0!</v>
      </c>
      <c r="Q25" s="1832">
        <v>1</v>
      </c>
    </row>
    <row r="26" spans="1:17" hidden="1" x14ac:dyDescent="0.15">
      <c r="A26" s="1856" t="str">
        <f>IF(Cuadros!B7="","",Cuadros!B7)</f>
        <v/>
      </c>
      <c r="B26" s="1857" t="str">
        <f>IF(Cuadros!C7="","",Cuadros!C7)</f>
        <v/>
      </c>
      <c r="C26" s="1857">
        <f>IF(Cuadros!G7="","",Cuadros!G7)</f>
        <v>0</v>
      </c>
      <c r="D26" s="1857" t="str">
        <f>IF(Cuadros!I7="","",Cuadros!I7)</f>
        <v/>
      </c>
      <c r="E26" s="1857" t="str">
        <f>IF(Cuadros!J7="","",Cuadros!J7)</f>
        <v/>
      </c>
      <c r="F26" s="1847"/>
      <c r="G26" s="1827" t="s">
        <v>628</v>
      </c>
      <c r="H26" s="1827"/>
      <c r="I26" s="1847"/>
      <c r="J26" s="1847"/>
      <c r="K26" s="1847"/>
      <c r="L26" s="1847"/>
      <c r="M26" s="1965"/>
    </row>
    <row r="27" spans="1:17" hidden="1" x14ac:dyDescent="0.15">
      <c r="A27" s="1856" t="str">
        <f>IF(Cuadros!B8="","",Cuadros!B8)</f>
        <v/>
      </c>
      <c r="B27" s="1857" t="str">
        <f>IF(Cuadros!C8="","",Cuadros!C8)</f>
        <v/>
      </c>
      <c r="C27" s="1857">
        <f>IF(Cuadros!G8="","",Cuadros!G8)</f>
        <v>0</v>
      </c>
      <c r="D27" s="1857" t="str">
        <f>IF(Cuadros!I8="","",Cuadros!I8)</f>
        <v/>
      </c>
      <c r="E27" s="1857" t="str">
        <f>IF(Cuadros!J8="","",Cuadros!J8)</f>
        <v/>
      </c>
      <c r="F27" s="1801" t="s">
        <v>202</v>
      </c>
      <c r="G27" s="1859" t="s">
        <v>1486</v>
      </c>
      <c r="H27" s="1859" t="s">
        <v>1508</v>
      </c>
      <c r="I27" s="1860" t="s">
        <v>1498</v>
      </c>
      <c r="J27" s="1859" t="s">
        <v>1509</v>
      </c>
      <c r="K27" s="1852" t="s">
        <v>1507</v>
      </c>
      <c r="L27" s="1859"/>
      <c r="M27" s="1861"/>
      <c r="Q27" s="1832" t="s">
        <v>597</v>
      </c>
    </row>
    <row r="28" spans="1:17" hidden="1" x14ac:dyDescent="0.15">
      <c r="A28" s="1856" t="str">
        <f>IF(Cuadros!B9="","",Cuadros!B9)</f>
        <v/>
      </c>
      <c r="B28" s="1857" t="str">
        <f>IF(Cuadros!C9="","",Cuadros!C9)</f>
        <v/>
      </c>
      <c r="C28" s="1857">
        <f>IF(Cuadros!G9="","",Cuadros!G9)</f>
        <v>0</v>
      </c>
      <c r="D28" s="1857" t="str">
        <f>IF(Cuadros!I9="","",Cuadros!I9)</f>
        <v/>
      </c>
      <c r="E28" s="1857" t="str">
        <f>IF(Cuadros!J9="","",Cuadros!J9)</f>
        <v/>
      </c>
      <c r="F28" s="1801" t="s">
        <v>629</v>
      </c>
      <c r="G28" s="1862"/>
      <c r="H28" s="1862">
        <v>0</v>
      </c>
      <c r="I28" s="1863" t="str">
        <f>+IFERROR(H28/G28,"")</f>
        <v/>
      </c>
      <c r="J28" s="1862"/>
      <c r="K28" s="1862"/>
      <c r="L28" s="1862"/>
      <c r="M28" s="1864"/>
      <c r="Q28" s="1832" t="s">
        <v>741</v>
      </c>
    </row>
    <row r="29" spans="1:17" hidden="1" x14ac:dyDescent="0.15">
      <c r="A29" s="1856" t="str">
        <f>IF(Cuadros!B10="","",Cuadros!B10)</f>
        <v/>
      </c>
      <c r="B29" s="1857" t="str">
        <f>IF(Cuadros!C10="","",Cuadros!C10)</f>
        <v/>
      </c>
      <c r="C29" s="1857">
        <f>IF(Cuadros!G10="","",Cuadros!G10)</f>
        <v>0</v>
      </c>
      <c r="D29" s="1857" t="str">
        <f>IF(Cuadros!I10="","",Cuadros!I10)</f>
        <v/>
      </c>
      <c r="E29" s="1857" t="str">
        <f>IF(Cuadros!J10="","",Cuadros!J10)</f>
        <v/>
      </c>
      <c r="F29" s="1801" t="s">
        <v>562</v>
      </c>
      <c r="G29" s="1862"/>
      <c r="H29" s="1862">
        <v>0</v>
      </c>
      <c r="I29" s="1863" t="str">
        <f t="shared" ref="I29:I33" si="0">+IFERROR(H29/G29,"")</f>
        <v/>
      </c>
      <c r="J29" s="1862"/>
      <c r="K29" s="1862"/>
      <c r="L29" s="1862"/>
      <c r="M29" s="1864"/>
      <c r="Q29" s="1832" t="s">
        <v>1783</v>
      </c>
    </row>
    <row r="30" spans="1:17" hidden="1" x14ac:dyDescent="0.15">
      <c r="A30" s="1856" t="str">
        <f>IF(Cuadros!B11="","",Cuadros!B11)</f>
        <v/>
      </c>
      <c r="B30" s="1857" t="str">
        <f>IF(Cuadros!C11="","",Cuadros!C11)</f>
        <v/>
      </c>
      <c r="C30" s="1857"/>
      <c r="D30" s="1857" t="str">
        <f>IF(Cuadros!I11="","",Cuadros!I11)</f>
        <v/>
      </c>
      <c r="E30" s="1857" t="str">
        <f>IF(Cuadros!J11="","",Cuadros!J11)</f>
        <v/>
      </c>
      <c r="F30" s="1801" t="s">
        <v>630</v>
      </c>
      <c r="G30" s="1862"/>
      <c r="H30" s="1862">
        <v>0</v>
      </c>
      <c r="I30" s="1863" t="str">
        <f t="shared" si="0"/>
        <v/>
      </c>
      <c r="J30" s="1862"/>
      <c r="K30" s="1865" t="str">
        <f t="shared" ref="K30:K33" si="1">+IFERROR((J30/H30)-1,"")</f>
        <v/>
      </c>
      <c r="L30" s="1862"/>
      <c r="M30" s="1864"/>
    </row>
    <row r="31" spans="1:17" hidden="1" x14ac:dyDescent="0.15">
      <c r="A31" s="1856" t="str">
        <f>IF(Cuadros!B12="","",Cuadros!B12)</f>
        <v/>
      </c>
      <c r="B31" s="1857" t="str">
        <f>IF(Cuadros!C12="","",Cuadros!C12)</f>
        <v/>
      </c>
      <c r="C31" s="1857"/>
      <c r="D31" s="1857" t="str">
        <f>IF(Cuadros!I12="","",Cuadros!I12)</f>
        <v/>
      </c>
      <c r="E31" s="1857" t="str">
        <f>IF(Cuadros!J12="","",Cuadros!J12)</f>
        <v/>
      </c>
      <c r="F31" s="1801" t="s">
        <v>632</v>
      </c>
      <c r="G31" s="1862"/>
      <c r="H31" s="1862">
        <v>0</v>
      </c>
      <c r="I31" s="1863" t="str">
        <f t="shared" si="0"/>
        <v/>
      </c>
      <c r="J31" s="1862"/>
      <c r="K31" s="1865" t="str">
        <f t="shared" si="1"/>
        <v/>
      </c>
      <c r="L31" s="1862"/>
      <c r="M31" s="1864"/>
    </row>
    <row r="32" spans="1:17" hidden="1" x14ac:dyDescent="0.15">
      <c r="A32" s="1856" t="str">
        <f>IF(Cuadros!B13="","",Cuadros!B13)</f>
        <v/>
      </c>
      <c r="B32" s="1857" t="str">
        <f>IF(Cuadros!C13="","",Cuadros!C13)</f>
        <v/>
      </c>
      <c r="C32" s="1857"/>
      <c r="D32" s="1857" t="str">
        <f>IF(Cuadros!I13="","",Cuadros!I13)</f>
        <v/>
      </c>
      <c r="E32" s="1857" t="str">
        <f>IF(Cuadros!J13="","",Cuadros!J13)</f>
        <v/>
      </c>
      <c r="F32" s="1801" t="s">
        <v>633</v>
      </c>
      <c r="G32" s="1862"/>
      <c r="H32" s="1862">
        <v>0</v>
      </c>
      <c r="I32" s="1863" t="str">
        <f t="shared" si="0"/>
        <v/>
      </c>
      <c r="J32" s="1862"/>
      <c r="K32" s="1865" t="str">
        <f t="shared" si="1"/>
        <v/>
      </c>
      <c r="L32" s="1862"/>
      <c r="M32" s="1864"/>
    </row>
    <row r="33" spans="1:20" hidden="1" x14ac:dyDescent="0.15">
      <c r="A33" s="1856" t="str">
        <f>IF(Cuadros!B14="","","Otros")</f>
        <v/>
      </c>
      <c r="B33" s="1857" t="str">
        <f>IF(Cuadros!C14="","",SUM(Cuadros!C14:C27))</f>
        <v/>
      </c>
      <c r="C33" s="1857"/>
      <c r="D33" s="1857" t="str">
        <f>IF(Cuadros!I14="","",Cuadros!I14)</f>
        <v/>
      </c>
      <c r="E33" s="1857" t="str">
        <f>IF(Cuadros!J14="","",Cuadros!J14)</f>
        <v/>
      </c>
      <c r="F33" s="1784" t="s">
        <v>203</v>
      </c>
      <c r="G33" s="1866">
        <f>SUM(G28:G32)</f>
        <v>0</v>
      </c>
      <c r="H33" s="1866">
        <f>SUM(H28:H32)</f>
        <v>0</v>
      </c>
      <c r="I33" s="1867" t="str">
        <f t="shared" si="0"/>
        <v/>
      </c>
      <c r="J33" s="1866">
        <f>SUM(J28:J32)</f>
        <v>0</v>
      </c>
      <c r="K33" s="1868" t="str">
        <f t="shared" si="1"/>
        <v/>
      </c>
      <c r="L33" s="1866"/>
      <c r="M33" s="1869"/>
    </row>
    <row r="34" spans="1:20" hidden="1" x14ac:dyDescent="0.15">
      <c r="A34" s="1800" t="s">
        <v>204</v>
      </c>
      <c r="B34" s="1870">
        <f>SUM(B23:B33)</f>
        <v>0</v>
      </c>
      <c r="C34" s="1870">
        <f>SUM(C23:C33)</f>
        <v>0</v>
      </c>
      <c r="D34" s="1871"/>
      <c r="E34" s="1871"/>
      <c r="F34" s="1785"/>
      <c r="G34" s="1857"/>
      <c r="H34" s="1857"/>
      <c r="I34" s="1857"/>
      <c r="J34" s="1857"/>
      <c r="K34" s="1857"/>
      <c r="L34" s="1871"/>
      <c r="M34" s="1893"/>
      <c r="P34" s="1832" t="s">
        <v>1510</v>
      </c>
      <c r="T34" s="1832" t="s">
        <v>521</v>
      </c>
    </row>
    <row r="35" spans="1:20" hidden="1" x14ac:dyDescent="0.15">
      <c r="A35" s="1846"/>
      <c r="B35" s="1847"/>
      <c r="C35" s="1847"/>
      <c r="D35" s="1827" t="s">
        <v>205</v>
      </c>
      <c r="E35" s="1847"/>
      <c r="F35" s="1847"/>
      <c r="G35" s="1847"/>
      <c r="H35" s="1847"/>
      <c r="I35" s="1847"/>
      <c r="J35" s="1847"/>
      <c r="K35" s="1847"/>
      <c r="L35" s="1847"/>
      <c r="M35" s="1965"/>
      <c r="P35" s="1832" t="s">
        <v>1344</v>
      </c>
      <c r="T35" s="1832" t="s">
        <v>522</v>
      </c>
    </row>
    <row r="36" spans="1:20" hidden="1" x14ac:dyDescent="0.15">
      <c r="A36" s="1829"/>
      <c r="B36" s="1830" t="s">
        <v>206</v>
      </c>
      <c r="C36" s="1830"/>
      <c r="D36" s="1830" t="s">
        <v>207</v>
      </c>
      <c r="E36" s="1830" t="s">
        <v>208</v>
      </c>
      <c r="F36" s="1830" t="s">
        <v>209</v>
      </c>
      <c r="G36" s="1830"/>
      <c r="H36" s="1830"/>
      <c r="I36" s="1830"/>
      <c r="J36" s="1830" t="s">
        <v>210</v>
      </c>
      <c r="K36" s="1801"/>
      <c r="L36" s="1801"/>
      <c r="M36" s="1966"/>
      <c r="P36" s="1832" t="s">
        <v>1489</v>
      </c>
      <c r="T36" s="1832" t="s">
        <v>1515</v>
      </c>
    </row>
    <row r="37" spans="1:20" hidden="1" x14ac:dyDescent="0.15">
      <c r="A37" s="1872" t="s">
        <v>211</v>
      </c>
      <c r="B37" s="1801" t="s">
        <v>212</v>
      </c>
      <c r="C37" s="1785"/>
      <c r="D37" s="1871"/>
      <c r="E37" s="1871"/>
      <c r="F37" s="1871"/>
      <c r="G37" s="1873"/>
      <c r="H37" s="1873"/>
      <c r="I37" s="3169"/>
      <c r="J37" s="3169"/>
      <c r="K37" s="3169"/>
      <c r="L37" s="3169"/>
      <c r="M37" s="3170"/>
      <c r="P37" s="1832" t="s">
        <v>1511</v>
      </c>
      <c r="T37" s="1832" t="s">
        <v>1358</v>
      </c>
    </row>
    <row r="38" spans="1:20" hidden="1" x14ac:dyDescent="0.15">
      <c r="A38" s="1872" t="s">
        <v>213</v>
      </c>
      <c r="B38" s="1801" t="s">
        <v>214</v>
      </c>
      <c r="C38" s="1785"/>
      <c r="D38" s="1871"/>
      <c r="E38" s="1871"/>
      <c r="F38" s="1871"/>
      <c r="G38" s="1873"/>
      <c r="H38" s="1873"/>
      <c r="I38" s="3169"/>
      <c r="J38" s="3169"/>
      <c r="K38" s="3169"/>
      <c r="L38" s="3169"/>
      <c r="M38" s="3170"/>
      <c r="P38" s="1832" t="s">
        <v>518</v>
      </c>
      <c r="S38" s="1832" t="s">
        <v>523</v>
      </c>
      <c r="T38" s="1832" t="s">
        <v>1359</v>
      </c>
    </row>
    <row r="39" spans="1:20" hidden="1" x14ac:dyDescent="0.15">
      <c r="A39" s="1872" t="s">
        <v>215</v>
      </c>
      <c r="B39" s="1801" t="s">
        <v>216</v>
      </c>
      <c r="C39" s="1785"/>
      <c r="D39" s="1871"/>
      <c r="E39" s="1871"/>
      <c r="F39" s="1871"/>
      <c r="G39" s="1873"/>
      <c r="H39" s="1873"/>
      <c r="I39" s="3169"/>
      <c r="J39" s="3169"/>
      <c r="K39" s="3169"/>
      <c r="L39" s="3169"/>
      <c r="M39" s="3170"/>
      <c r="P39" s="1832" t="s">
        <v>1512</v>
      </c>
      <c r="S39" s="1832" t="s">
        <v>524</v>
      </c>
      <c r="T39" s="1832" t="s">
        <v>1360</v>
      </c>
    </row>
    <row r="40" spans="1:20" hidden="1" x14ac:dyDescent="0.15">
      <c r="A40" s="1872" t="s">
        <v>217</v>
      </c>
      <c r="B40" s="1801" t="s">
        <v>218</v>
      </c>
      <c r="C40" s="1785"/>
      <c r="D40" s="1871"/>
      <c r="E40" s="1871"/>
      <c r="F40" s="1871"/>
      <c r="G40" s="1873"/>
      <c r="H40" s="1873"/>
      <c r="I40" s="3169"/>
      <c r="J40" s="3169"/>
      <c r="K40" s="3169"/>
      <c r="L40" s="3169"/>
      <c r="M40" s="3170"/>
      <c r="P40" s="1832" t="s">
        <v>520</v>
      </c>
      <c r="S40" s="1832" t="s">
        <v>525</v>
      </c>
      <c r="T40" s="1832" t="s">
        <v>1361</v>
      </c>
    </row>
    <row r="41" spans="1:20" hidden="1" x14ac:dyDescent="0.15">
      <c r="A41" s="1874" t="s">
        <v>219</v>
      </c>
      <c r="B41" s="1875"/>
      <c r="C41" s="1876">
        <f>+Posiciones!F25+Posiciones!F31+Posiciones!F37+Posiciones!F43+Posiciones!F49+Posiciones!F55+Posiciones!F61</f>
        <v>0</v>
      </c>
      <c r="D41" s="1877" t="s">
        <v>221</v>
      </c>
      <c r="E41" s="1878"/>
      <c r="F41" s="1877" t="s">
        <v>222</v>
      </c>
      <c r="G41" s="1876">
        <f>+Posiciones!G25+Posiciones!G31+Posiciones!G37+Posiciones!G43+Posiciones!G49+Posiciones!G55+Posiciones!G61</f>
        <v>0</v>
      </c>
      <c r="H41" s="1876"/>
      <c r="I41" s="1875"/>
      <c r="J41" s="1879" t="s">
        <v>223</v>
      </c>
      <c r="K41" s="1875"/>
      <c r="L41" s="1880">
        <v>0</v>
      </c>
      <c r="M41" s="1881"/>
      <c r="P41" s="1832" t="s">
        <v>1362</v>
      </c>
      <c r="S41" s="1832" t="s">
        <v>1490</v>
      </c>
      <c r="T41" s="1832" t="s">
        <v>1491</v>
      </c>
    </row>
    <row r="42" spans="1:20" hidden="1" x14ac:dyDescent="0.15">
      <c r="A42" s="1874" t="s">
        <v>224</v>
      </c>
      <c r="B42" s="1875"/>
      <c r="C42" s="1876">
        <f>+Posiciones!F18</f>
        <v>0</v>
      </c>
      <c r="D42" s="1877" t="s">
        <v>221</v>
      </c>
      <c r="E42" s="1878">
        <f>+Posiciones!C10</f>
        <v>0</v>
      </c>
      <c r="F42" s="1877" t="s">
        <v>222</v>
      </c>
      <c r="G42" s="1876">
        <f>+Posiciones!G18</f>
        <v>0</v>
      </c>
      <c r="H42" s="1876"/>
      <c r="I42" s="1875"/>
      <c r="J42" s="1879" t="s">
        <v>225</v>
      </c>
      <c r="K42" s="1875"/>
      <c r="L42" s="1880">
        <v>0</v>
      </c>
      <c r="M42" s="1881"/>
      <c r="P42" s="1832" t="s">
        <v>1363</v>
      </c>
      <c r="T42" s="1832" t="s">
        <v>1492</v>
      </c>
    </row>
    <row r="43" spans="1:20" hidden="1" x14ac:dyDescent="0.15">
      <c r="A43" s="1882" t="s">
        <v>497</v>
      </c>
      <c r="B43" s="1875"/>
      <c r="C43" s="1883">
        <f>+C41+C42</f>
        <v>0</v>
      </c>
      <c r="D43" s="1877"/>
      <c r="E43" s="1884"/>
      <c r="F43" s="1877"/>
      <c r="G43" s="1883">
        <f>+G42+G41</f>
        <v>0</v>
      </c>
      <c r="H43" s="1883"/>
      <c r="I43" s="1875"/>
      <c r="J43" s="1875"/>
      <c r="K43" s="1875"/>
      <c r="L43" s="1875"/>
      <c r="M43" s="1881"/>
      <c r="P43" s="1832" t="s">
        <v>1364</v>
      </c>
      <c r="T43" s="1832" t="s">
        <v>1493</v>
      </c>
    </row>
    <row r="44" spans="1:20" hidden="1" x14ac:dyDescent="0.15">
      <c r="A44" s="1885"/>
      <c r="B44" s="1785"/>
      <c r="C44" s="1886"/>
      <c r="D44" s="1803" t="s">
        <v>1782</v>
      </c>
      <c r="E44" s="1785"/>
      <c r="F44" s="1785"/>
      <c r="G44" s="1785"/>
      <c r="H44" s="1785"/>
      <c r="I44" s="1785"/>
      <c r="J44" s="1887"/>
      <c r="K44" s="1785"/>
      <c r="L44" s="1887"/>
      <c r="M44" s="1888"/>
      <c r="P44" s="1832" t="s">
        <v>1365</v>
      </c>
      <c r="T44" s="1832" t="s">
        <v>1494</v>
      </c>
    </row>
    <row r="45" spans="1:20" hidden="1" x14ac:dyDescent="0.15">
      <c r="A45" s="1829"/>
      <c r="B45" s="1830"/>
      <c r="C45" s="1830" t="s">
        <v>227</v>
      </c>
      <c r="D45" s="1830" t="s">
        <v>228</v>
      </c>
      <c r="E45" s="1830" t="s">
        <v>229</v>
      </c>
      <c r="F45" s="1830" t="s">
        <v>230</v>
      </c>
      <c r="G45" s="1830" t="s">
        <v>231</v>
      </c>
      <c r="H45" s="1830" t="s">
        <v>232</v>
      </c>
      <c r="I45" s="1830" t="s">
        <v>233</v>
      </c>
      <c r="J45" s="1830" t="s">
        <v>234</v>
      </c>
      <c r="K45" s="1830" t="s">
        <v>235</v>
      </c>
      <c r="L45" s="1784" t="s">
        <v>236</v>
      </c>
      <c r="M45" s="1889"/>
      <c r="P45" s="1832" t="s">
        <v>1366</v>
      </c>
      <c r="T45" s="1832" t="s">
        <v>1495</v>
      </c>
    </row>
    <row r="46" spans="1:20" hidden="1" x14ac:dyDescent="0.15">
      <c r="A46" s="1890" t="s">
        <v>974</v>
      </c>
      <c r="B46" s="1785"/>
      <c r="C46" s="3202"/>
      <c r="D46" s="1891" t="s">
        <v>977</v>
      </c>
      <c r="E46" s="1891"/>
      <c r="F46" s="1871"/>
      <c r="G46" s="1871"/>
      <c r="H46" s="3200"/>
      <c r="I46" s="1892"/>
      <c r="J46" s="1871"/>
      <c r="K46" s="3206"/>
      <c r="L46" s="3205"/>
      <c r="M46" s="1893"/>
      <c r="P46" s="1832" t="s">
        <v>1367</v>
      </c>
      <c r="T46" s="1832" t="s">
        <v>1496</v>
      </c>
    </row>
    <row r="47" spans="1:20" hidden="1" x14ac:dyDescent="0.15">
      <c r="A47" s="1890" t="s">
        <v>975</v>
      </c>
      <c r="B47" s="1785"/>
      <c r="C47" s="3202"/>
      <c r="D47" s="1891" t="s">
        <v>528</v>
      </c>
      <c r="E47" s="1891"/>
      <c r="F47" s="1871"/>
      <c r="G47" s="1871"/>
      <c r="H47" s="3200"/>
      <c r="I47" s="1892"/>
      <c r="J47" s="1871"/>
      <c r="K47" s="3206"/>
      <c r="L47" s="3205"/>
      <c r="M47" s="1893"/>
      <c r="P47" s="1832" t="s">
        <v>1368</v>
      </c>
      <c r="T47" s="1832" t="s">
        <v>1497</v>
      </c>
    </row>
    <row r="48" spans="1:20" hidden="1" x14ac:dyDescent="0.15">
      <c r="A48" s="1890" t="s">
        <v>976</v>
      </c>
      <c r="B48" s="1785"/>
      <c r="C48" s="3202"/>
      <c r="D48" s="1891" t="s">
        <v>528</v>
      </c>
      <c r="E48" s="1891"/>
      <c r="F48" s="1871"/>
      <c r="G48" s="1871"/>
      <c r="H48" s="3200"/>
      <c r="I48" s="1892"/>
      <c r="J48" s="1892"/>
      <c r="K48" s="3206"/>
      <c r="L48" s="3205"/>
      <c r="M48" s="1893"/>
      <c r="P48" s="1832" t="s">
        <v>1369</v>
      </c>
    </row>
    <row r="49" spans="1:20" hidden="1" x14ac:dyDescent="0.15">
      <c r="A49" s="1890" t="s">
        <v>237</v>
      </c>
      <c r="B49" s="1785"/>
      <c r="C49" s="3202"/>
      <c r="D49" s="1891" t="s">
        <v>530</v>
      </c>
      <c r="E49" s="1891"/>
      <c r="F49" s="1871"/>
      <c r="G49" s="1871"/>
      <c r="H49" s="3200"/>
      <c r="I49" s="1892"/>
      <c r="J49" s="1871"/>
      <c r="K49" s="3206"/>
      <c r="L49" s="3205"/>
      <c r="M49" s="1893"/>
      <c r="P49" s="1832" t="s">
        <v>1370</v>
      </c>
    </row>
    <row r="50" spans="1:20" ht="12.75" hidden="1" customHeight="1" x14ac:dyDescent="0.15">
      <c r="A50" s="1890" t="s">
        <v>239</v>
      </c>
      <c r="B50" s="1785"/>
      <c r="C50" s="1857"/>
      <c r="D50" s="1891"/>
      <c r="E50" s="1891"/>
      <c r="F50" s="1871"/>
      <c r="G50" s="1871"/>
      <c r="H50" s="3200"/>
      <c r="I50" s="1892"/>
      <c r="J50" s="1871"/>
      <c r="K50" s="3206"/>
      <c r="L50" s="3205"/>
      <c r="M50" s="1893"/>
      <c r="P50" s="1832" t="s">
        <v>1371</v>
      </c>
    </row>
    <row r="51" spans="1:20" hidden="1" x14ac:dyDescent="0.15">
      <c r="A51" s="1890" t="s">
        <v>240</v>
      </c>
      <c r="B51" s="1785"/>
      <c r="C51" s="1857"/>
      <c r="D51" s="1891" t="s">
        <v>528</v>
      </c>
      <c r="E51" s="1891"/>
      <c r="F51" s="1871"/>
      <c r="G51" s="1871"/>
      <c r="H51" s="3200"/>
      <c r="I51" s="1892"/>
      <c r="J51" s="1871"/>
      <c r="K51" s="3206"/>
      <c r="L51" s="3205"/>
      <c r="M51" s="1893"/>
      <c r="P51" s="1832" t="s">
        <v>1372</v>
      </c>
    </row>
    <row r="52" spans="1:20" hidden="1" x14ac:dyDescent="0.15">
      <c r="A52" s="1890" t="s">
        <v>238</v>
      </c>
      <c r="B52" s="1785"/>
      <c r="C52" s="1857"/>
      <c r="D52" s="1871" t="s">
        <v>1748</v>
      </c>
      <c r="E52" s="1891"/>
      <c r="F52" s="1871"/>
      <c r="G52" s="1871"/>
      <c r="H52" s="3200"/>
      <c r="I52" s="1892"/>
      <c r="J52" s="1871"/>
      <c r="K52" s="3206"/>
      <c r="L52" s="3205"/>
      <c r="M52" s="1893"/>
      <c r="P52" s="1832" t="s">
        <v>1373</v>
      </c>
    </row>
    <row r="53" spans="1:20" hidden="1" x14ac:dyDescent="0.15">
      <c r="A53" s="1885"/>
      <c r="B53" s="1785"/>
      <c r="C53" s="1886"/>
      <c r="D53" s="1803" t="s">
        <v>241</v>
      </c>
      <c r="E53" s="1785"/>
      <c r="F53" s="1785"/>
      <c r="G53" s="1785"/>
      <c r="H53" s="1785"/>
      <c r="I53" s="1887"/>
      <c r="J53" s="1785"/>
      <c r="K53" s="1887"/>
      <c r="L53" s="1785"/>
      <c r="M53" s="1888"/>
    </row>
    <row r="54" spans="1:20" hidden="1" x14ac:dyDescent="0.15">
      <c r="A54" s="1894" t="s">
        <v>242</v>
      </c>
      <c r="B54" s="1875"/>
      <c r="C54" s="1895">
        <f>SUM(C56:C62)</f>
        <v>0</v>
      </c>
      <c r="D54" s="1877" t="s">
        <v>634</v>
      </c>
      <c r="E54" s="1875" t="s">
        <v>977</v>
      </c>
      <c r="F54" s="1875"/>
      <c r="G54" s="1896" t="s">
        <v>635</v>
      </c>
      <c r="H54" s="1896"/>
      <c r="I54" s="1875"/>
      <c r="J54" s="1875"/>
      <c r="K54" s="1875"/>
      <c r="L54" s="1875"/>
      <c r="M54" s="1881"/>
    </row>
    <row r="55" spans="1:20" hidden="1" x14ac:dyDescent="0.15">
      <c r="A55" s="1897"/>
      <c r="B55" s="1830"/>
      <c r="C55" s="1830" t="s">
        <v>227</v>
      </c>
      <c r="D55" s="1830" t="s">
        <v>228</v>
      </c>
      <c r="E55" s="1830" t="s">
        <v>229</v>
      </c>
      <c r="F55" s="1830" t="s">
        <v>232</v>
      </c>
      <c r="G55" s="1830" t="s">
        <v>233</v>
      </c>
      <c r="H55" s="1830" t="s">
        <v>234</v>
      </c>
      <c r="I55" s="1830" t="s">
        <v>235</v>
      </c>
      <c r="J55" s="1830" t="s">
        <v>243</v>
      </c>
      <c r="K55" s="3195" t="s">
        <v>244</v>
      </c>
      <c r="L55" s="3195"/>
      <c r="M55" s="3196"/>
    </row>
    <row r="56" spans="1:20" hidden="1" x14ac:dyDescent="0.15">
      <c r="A56" s="1890" t="s">
        <v>974</v>
      </c>
      <c r="B56" s="1785"/>
      <c r="C56" s="3201"/>
      <c r="D56" s="1891"/>
      <c r="E56" s="1891"/>
      <c r="F56" s="3200"/>
      <c r="G56" s="1898"/>
      <c r="H56" s="1891"/>
      <c r="I56" s="3207"/>
      <c r="J56" s="3199">
        <f>+H78</f>
        <v>3.9000000000000004</v>
      </c>
      <c r="K56" s="3193"/>
      <c r="L56" s="3193"/>
      <c r="M56" s="3194"/>
      <c r="P56" s="1832" t="s">
        <v>526</v>
      </c>
      <c r="R56" s="1832" t="s">
        <v>532</v>
      </c>
      <c r="T56" s="1832" t="s">
        <v>536</v>
      </c>
    </row>
    <row r="57" spans="1:20" hidden="1" x14ac:dyDescent="0.15">
      <c r="A57" s="1890" t="s">
        <v>975</v>
      </c>
      <c r="B57" s="1785"/>
      <c r="C57" s="3201"/>
      <c r="D57" s="1891"/>
      <c r="E57" s="1891"/>
      <c r="F57" s="3200"/>
      <c r="G57" s="1898"/>
      <c r="H57" s="1891"/>
      <c r="I57" s="3207"/>
      <c r="J57" s="3200"/>
      <c r="K57" s="3193"/>
      <c r="L57" s="3193"/>
      <c r="M57" s="3194"/>
      <c r="P57" s="1832" t="s">
        <v>527</v>
      </c>
      <c r="R57" s="1832" t="s">
        <v>533</v>
      </c>
      <c r="T57" s="1832">
        <v>1</v>
      </c>
    </row>
    <row r="58" spans="1:20" hidden="1" x14ac:dyDescent="0.15">
      <c r="A58" s="1890" t="s">
        <v>976</v>
      </c>
      <c r="B58" s="1785"/>
      <c r="C58" s="3201"/>
      <c r="D58" s="1891"/>
      <c r="E58" s="1891"/>
      <c r="F58" s="3200"/>
      <c r="G58" s="1898"/>
      <c r="H58" s="1898"/>
      <c r="I58" s="3207"/>
      <c r="J58" s="3200"/>
      <c r="K58" s="3193"/>
      <c r="L58" s="3193"/>
      <c r="M58" s="3194"/>
      <c r="P58" s="1832" t="s">
        <v>977</v>
      </c>
      <c r="R58" s="1832" t="s">
        <v>850</v>
      </c>
      <c r="T58" s="1832">
        <v>2</v>
      </c>
    </row>
    <row r="59" spans="1:20" ht="12.75" hidden="1" customHeight="1" x14ac:dyDescent="0.15">
      <c r="A59" s="1890" t="s">
        <v>237</v>
      </c>
      <c r="B59" s="1785"/>
      <c r="C59" s="3201"/>
      <c r="D59" s="1891"/>
      <c r="E59" s="1891"/>
      <c r="F59" s="3200"/>
      <c r="G59" s="1898"/>
      <c r="H59" s="1891"/>
      <c r="I59" s="3207"/>
      <c r="J59" s="3200"/>
      <c r="K59" s="3193"/>
      <c r="L59" s="3193"/>
      <c r="M59" s="3194"/>
      <c r="P59" s="1832" t="s">
        <v>528</v>
      </c>
      <c r="R59" s="1832" t="s">
        <v>851</v>
      </c>
      <c r="T59" s="1832">
        <v>3</v>
      </c>
    </row>
    <row r="60" spans="1:20" ht="12.75" hidden="1" customHeight="1" x14ac:dyDescent="0.15">
      <c r="A60" s="1890" t="s">
        <v>239</v>
      </c>
      <c r="B60" s="1785"/>
      <c r="C60" s="3201"/>
      <c r="D60" s="1891"/>
      <c r="E60" s="1891"/>
      <c r="F60" s="3200"/>
      <c r="G60" s="1892"/>
      <c r="H60" s="1871"/>
      <c r="I60" s="3207"/>
      <c r="J60" s="3200"/>
      <c r="K60" s="3193"/>
      <c r="L60" s="3193"/>
      <c r="M60" s="3194"/>
      <c r="P60" s="1832" t="s">
        <v>529</v>
      </c>
      <c r="R60" s="1832" t="s">
        <v>534</v>
      </c>
      <c r="T60" s="1832">
        <v>4</v>
      </c>
    </row>
    <row r="61" spans="1:20" hidden="1" x14ac:dyDescent="0.15">
      <c r="A61" s="1890" t="s">
        <v>240</v>
      </c>
      <c r="B61" s="1785"/>
      <c r="C61" s="3201"/>
      <c r="D61" s="1891"/>
      <c r="E61" s="1891"/>
      <c r="F61" s="3200"/>
      <c r="G61" s="1892"/>
      <c r="H61" s="1871"/>
      <c r="I61" s="3207"/>
      <c r="J61" s="3200"/>
      <c r="K61" s="3193"/>
      <c r="L61" s="3193"/>
      <c r="M61" s="3194"/>
      <c r="P61" s="1832" t="s">
        <v>530</v>
      </c>
      <c r="R61" s="1832" t="s">
        <v>535</v>
      </c>
    </row>
    <row r="62" spans="1:20" hidden="1" x14ac:dyDescent="0.15">
      <c r="A62" s="1890" t="s">
        <v>238</v>
      </c>
      <c r="B62" s="1785"/>
      <c r="C62" s="1857"/>
      <c r="D62" s="1871"/>
      <c r="E62" s="1871"/>
      <c r="F62" s="3200"/>
      <c r="G62" s="1892"/>
      <c r="H62" s="1871"/>
      <c r="I62" s="3207"/>
      <c r="J62" s="3200"/>
      <c r="K62" s="3193"/>
      <c r="L62" s="3193"/>
      <c r="M62" s="3194"/>
      <c r="P62" s="1832" t="s">
        <v>531</v>
      </c>
      <c r="R62" s="1832" t="s">
        <v>849</v>
      </c>
    </row>
    <row r="63" spans="1:20" hidden="1" x14ac:dyDescent="0.15">
      <c r="A63" s="1899"/>
      <c r="B63" s="1785"/>
      <c r="C63" s="1857"/>
      <c r="D63" s="1871"/>
      <c r="E63" s="1871"/>
      <c r="F63" s="1871"/>
      <c r="G63" s="1892"/>
      <c r="H63" s="1871"/>
      <c r="I63" s="1892"/>
      <c r="J63" s="1871"/>
      <c r="K63" s="3193"/>
      <c r="L63" s="3193"/>
      <c r="M63" s="3194"/>
    </row>
    <row r="64" spans="1:20" hidden="1" x14ac:dyDescent="0.15">
      <c r="A64" s="1900" t="s">
        <v>245</v>
      </c>
      <c r="B64" s="1901"/>
      <c r="C64" s="1901" t="s">
        <v>246</v>
      </c>
      <c r="D64" s="1901" t="s">
        <v>247</v>
      </c>
      <c r="E64" s="1901" t="s">
        <v>228</v>
      </c>
      <c r="F64" s="1901" t="s">
        <v>229</v>
      </c>
      <c r="G64" s="1901" t="s">
        <v>232</v>
      </c>
      <c r="H64" s="1901" t="s">
        <v>233</v>
      </c>
      <c r="I64" s="1901" t="s">
        <v>234</v>
      </c>
      <c r="J64" s="1901" t="s">
        <v>235</v>
      </c>
      <c r="K64" s="1901" t="s">
        <v>236</v>
      </c>
      <c r="L64" s="3197" t="s">
        <v>244</v>
      </c>
      <c r="M64" s="3198"/>
    </row>
    <row r="65" spans="1:18" hidden="1" x14ac:dyDescent="0.15">
      <c r="A65" s="1788"/>
      <c r="B65" s="1785"/>
      <c r="C65" s="1871"/>
      <c r="D65" s="1857"/>
      <c r="E65" s="1871"/>
      <c r="F65" s="1891"/>
      <c r="G65" s="1891"/>
      <c r="H65" s="1892"/>
      <c r="I65" s="1871"/>
      <c r="J65" s="1892"/>
      <c r="K65" s="1871"/>
      <c r="L65" s="3203"/>
      <c r="M65" s="3204"/>
    </row>
    <row r="66" spans="1:18" hidden="1" x14ac:dyDescent="0.15">
      <c r="A66" s="1788"/>
      <c r="B66" s="1785"/>
      <c r="C66" s="1871"/>
      <c r="D66" s="1857"/>
      <c r="E66" s="1871"/>
      <c r="F66" s="1871"/>
      <c r="G66" s="1871"/>
      <c r="H66" s="1892"/>
      <c r="I66" s="1871"/>
      <c r="J66" s="1892"/>
      <c r="K66" s="1871"/>
      <c r="L66" s="3193"/>
      <c r="M66" s="3194"/>
    </row>
    <row r="67" spans="1:18" hidden="1" x14ac:dyDescent="0.15">
      <c r="A67" s="1788"/>
      <c r="B67" s="1785"/>
      <c r="C67" s="1871"/>
      <c r="D67" s="1857"/>
      <c r="E67" s="1871"/>
      <c r="F67" s="1871"/>
      <c r="G67" s="1871"/>
      <c r="H67" s="1892"/>
      <c r="I67" s="1871"/>
      <c r="J67" s="1892"/>
      <c r="K67" s="1871"/>
      <c r="L67" s="3182"/>
      <c r="M67" s="3183"/>
    </row>
    <row r="68" spans="1:18" hidden="1" x14ac:dyDescent="0.15">
      <c r="A68" s="3165" t="s">
        <v>741</v>
      </c>
      <c r="B68" s="3166"/>
      <c r="C68" s="3166"/>
      <c r="D68" s="1902"/>
      <c r="E68" s="1902"/>
      <c r="F68" s="1902"/>
      <c r="G68" s="1902"/>
      <c r="H68" s="1902"/>
      <c r="I68" s="1902"/>
      <c r="J68" s="1902"/>
      <c r="K68" s="1902"/>
      <c r="L68" s="1902"/>
      <c r="M68" s="1967"/>
    </row>
    <row r="69" spans="1:18" hidden="1" x14ac:dyDescent="0.15">
      <c r="A69" s="1829" t="s">
        <v>589</v>
      </c>
      <c r="B69" s="1801"/>
      <c r="C69" s="1801"/>
      <c r="D69" s="1801"/>
      <c r="E69" s="1801"/>
      <c r="F69" s="1801"/>
      <c r="G69" s="1801"/>
      <c r="H69" s="1801"/>
      <c r="I69" s="1801"/>
      <c r="J69" s="1801"/>
      <c r="K69" s="1801"/>
      <c r="L69" s="1801"/>
      <c r="M69" s="1966"/>
    </row>
    <row r="70" spans="1:18" hidden="1" x14ac:dyDescent="0.15">
      <c r="A70" s="1829"/>
      <c r="B70" s="1801"/>
      <c r="C70" s="1801"/>
      <c r="D70" s="1801"/>
      <c r="E70" s="1801"/>
      <c r="F70" s="1801"/>
      <c r="G70" s="1801"/>
      <c r="H70" s="1801"/>
      <c r="I70" s="1801"/>
      <c r="J70" s="1801"/>
      <c r="K70" s="1801"/>
      <c r="L70" s="1801"/>
      <c r="M70" s="1966"/>
    </row>
    <row r="71" spans="1:18" hidden="1" x14ac:dyDescent="0.15">
      <c r="A71" s="1829"/>
      <c r="B71" s="1801"/>
      <c r="C71" s="1801"/>
      <c r="D71" s="1801"/>
      <c r="E71" s="1801"/>
      <c r="F71" s="1801"/>
      <c r="G71" s="1801"/>
      <c r="H71" s="1801"/>
      <c r="I71" s="1801"/>
      <c r="J71" s="1801"/>
      <c r="K71" s="1801"/>
      <c r="L71" s="1801"/>
      <c r="M71" s="1966"/>
    </row>
    <row r="72" spans="1:18" hidden="1" x14ac:dyDescent="0.15">
      <c r="A72" s="1829"/>
      <c r="B72" s="1801"/>
      <c r="C72" s="1801"/>
      <c r="D72" s="1801"/>
      <c r="E72" s="1801"/>
      <c r="F72" s="1801"/>
      <c r="G72" s="1801"/>
      <c r="H72" s="1801"/>
      <c r="I72" s="1801"/>
      <c r="J72" s="1801"/>
      <c r="K72" s="1801"/>
      <c r="L72" s="1801"/>
      <c r="M72" s="1966"/>
    </row>
    <row r="73" spans="1:18" hidden="1" x14ac:dyDescent="0.15">
      <c r="A73" s="1829"/>
      <c r="B73" s="1801"/>
      <c r="C73" s="1801"/>
      <c r="D73" s="1801"/>
      <c r="E73" s="1801"/>
      <c r="F73" s="1801"/>
      <c r="G73" s="1801"/>
      <c r="H73" s="1801"/>
      <c r="I73" s="1801"/>
      <c r="J73" s="1801"/>
      <c r="K73" s="1801"/>
      <c r="L73" s="1801"/>
      <c r="M73" s="1966"/>
    </row>
    <row r="74" spans="1:18" hidden="1" x14ac:dyDescent="0.15">
      <c r="A74" s="1829"/>
      <c r="B74" s="1801"/>
      <c r="C74" s="1801"/>
      <c r="D74" s="1801"/>
      <c r="E74" s="1801"/>
      <c r="F74" s="1801"/>
      <c r="G74" s="1801"/>
      <c r="H74" s="1801"/>
      <c r="I74" s="1801"/>
      <c r="J74" s="1801"/>
      <c r="K74" s="1801"/>
      <c r="L74" s="1801"/>
      <c r="M74" s="1966"/>
    </row>
    <row r="75" spans="1:18" ht="12" hidden="1" thickBot="1" x14ac:dyDescent="0.2">
      <c r="A75" s="1829"/>
      <c r="B75" s="1801"/>
      <c r="C75" s="1801"/>
      <c r="D75" s="1801"/>
      <c r="E75" s="1801"/>
      <c r="F75" s="1801"/>
      <c r="G75" s="1801"/>
      <c r="H75" s="1801"/>
      <c r="I75" s="1801"/>
      <c r="J75" s="1801"/>
      <c r="K75" s="1801"/>
      <c r="L75" s="1801"/>
      <c r="M75" s="1966"/>
    </row>
    <row r="76" spans="1:18" ht="13.5" customHeight="1" thickBot="1" x14ac:dyDescent="0.2">
      <c r="A76" s="3173" t="str">
        <f>IF(M3="SI","Rating Automatizado","Valoración anterior")</f>
        <v>Valoración anterior</v>
      </c>
      <c r="B76" s="3175" t="s">
        <v>248</v>
      </c>
      <c r="C76" s="3176"/>
      <c r="D76" s="3176"/>
      <c r="E76" s="3176"/>
      <c r="F76" s="3176"/>
      <c r="G76" s="3177"/>
      <c r="H76" s="3173" t="s">
        <v>1089</v>
      </c>
      <c r="I76" s="3188"/>
      <c r="J76" s="3178" t="s">
        <v>1091</v>
      </c>
      <c r="K76" s="3180" t="s">
        <v>1093</v>
      </c>
      <c r="L76" s="3178" t="s">
        <v>626</v>
      </c>
      <c r="M76" s="3178" t="s">
        <v>203</v>
      </c>
    </row>
    <row r="77" spans="1:18" ht="14.25" customHeight="1" thickBot="1" x14ac:dyDescent="0.2">
      <c r="A77" s="3174"/>
      <c r="B77" s="1968" t="s">
        <v>250</v>
      </c>
      <c r="C77" s="1969" t="s">
        <v>251</v>
      </c>
      <c r="D77" s="1970" t="s">
        <v>252</v>
      </c>
      <c r="E77" s="1969" t="s">
        <v>253</v>
      </c>
      <c r="F77" s="1970" t="s">
        <v>254</v>
      </c>
      <c r="G77" s="1969" t="s">
        <v>255</v>
      </c>
      <c r="H77" s="3174"/>
      <c r="I77" s="3189"/>
      <c r="J77" s="3179"/>
      <c r="K77" s="3181"/>
      <c r="L77" s="3179"/>
      <c r="M77" s="3192"/>
    </row>
    <row r="78" spans="1:18" ht="12" thickBot="1" x14ac:dyDescent="0.2">
      <c r="A78" s="1971">
        <f>+L46</f>
        <v>0</v>
      </c>
      <c r="B78" s="1971">
        <v>3</v>
      </c>
      <c r="C78" s="1972">
        <v>9</v>
      </c>
      <c r="D78" s="1973">
        <v>3</v>
      </c>
      <c r="E78" s="1972">
        <v>3</v>
      </c>
      <c r="F78" s="1973">
        <v>3</v>
      </c>
      <c r="G78" s="1974">
        <v>3</v>
      </c>
      <c r="H78" s="3190">
        <f>IF(M3="NO",(B78*0.2)+(C78*0.15)+(D78*0.1)+(E78*0.15)+(F78*0.25)+(G78*0.15),"digitar rating combinado")</f>
        <v>3.9000000000000004</v>
      </c>
      <c r="I78" s="3191"/>
      <c r="J78" s="1975">
        <v>0</v>
      </c>
      <c r="K78" s="1973">
        <v>0</v>
      </c>
      <c r="L78" s="1976">
        <v>0</v>
      </c>
      <c r="M78" s="1972">
        <f>IF(H78&gt;K78,H78,((K78-H78)*J78)+H78)</f>
        <v>3.9000000000000004</v>
      </c>
    </row>
    <row r="79" spans="1:18" x14ac:dyDescent="0.15">
      <c r="A79" s="1829"/>
      <c r="B79" s="1801"/>
      <c r="C79" s="1801"/>
      <c r="D79" s="1801"/>
      <c r="E79" s="1801"/>
      <c r="G79" s="1801"/>
      <c r="H79" s="1801"/>
      <c r="J79" s="1977"/>
      <c r="L79" s="1978" t="s">
        <v>256</v>
      </c>
      <c r="M79" s="1979">
        <v>0</v>
      </c>
      <c r="P79" s="1845"/>
      <c r="Q79" s="1845"/>
      <c r="R79" s="1845"/>
    </row>
    <row r="80" spans="1:18" x14ac:dyDescent="0.15">
      <c r="A80" s="1800"/>
      <c r="B80" s="1801"/>
      <c r="C80" s="1801"/>
      <c r="D80" s="1801"/>
      <c r="E80" s="1801"/>
      <c r="G80" s="1801"/>
      <c r="H80" s="1801"/>
      <c r="J80" s="1977"/>
      <c r="L80" s="1846" t="s">
        <v>257</v>
      </c>
      <c r="M80" s="1980">
        <v>0</v>
      </c>
      <c r="P80" s="1845"/>
      <c r="Q80" s="1845"/>
      <c r="R80" s="1845"/>
    </row>
    <row r="81" spans="1:18" ht="12" thickBot="1" x14ac:dyDescent="0.2">
      <c r="A81" s="1829"/>
      <c r="B81" s="1801"/>
      <c r="C81" s="1801"/>
      <c r="D81" s="1801"/>
      <c r="E81" s="1801"/>
      <c r="G81" s="1801"/>
      <c r="H81" s="1801"/>
      <c r="J81" s="1977"/>
      <c r="L81" s="1981" t="s">
        <v>258</v>
      </c>
      <c r="M81" s="1982">
        <f>+M78+M79-M80</f>
        <v>3.9000000000000004</v>
      </c>
      <c r="P81" s="1845"/>
      <c r="Q81" s="1845"/>
      <c r="R81" s="1845"/>
    </row>
    <row r="82" spans="1:18" hidden="1" x14ac:dyDescent="0.15">
      <c r="A82" s="1829"/>
      <c r="B82" s="1801"/>
      <c r="C82" s="1801"/>
      <c r="D82" s="1801"/>
      <c r="E82" s="1801"/>
      <c r="F82" s="1801"/>
      <c r="G82" s="1801"/>
      <c r="H82" s="1801"/>
      <c r="I82" s="1801"/>
      <c r="J82" s="1801"/>
      <c r="K82" s="1801"/>
      <c r="L82" s="1801"/>
      <c r="M82" s="1966"/>
      <c r="P82" s="1845"/>
      <c r="Q82" s="1845"/>
      <c r="R82" s="1845"/>
    </row>
    <row r="83" spans="1:18" ht="12" hidden="1" thickBot="1" x14ac:dyDescent="0.2">
      <c r="A83" s="1983"/>
      <c r="B83" s="1984"/>
      <c r="C83" s="1984"/>
      <c r="D83" s="1984"/>
      <c r="E83" s="1984"/>
      <c r="F83" s="1984"/>
      <c r="G83" s="1984"/>
      <c r="H83" s="1984"/>
      <c r="I83" s="1984"/>
      <c r="J83" s="1984"/>
      <c r="K83" s="1984"/>
      <c r="L83" s="1984"/>
      <c r="M83" s="1985"/>
    </row>
    <row r="84" spans="1:18" hidden="1" x14ac:dyDescent="0.15">
      <c r="A84" s="1785"/>
      <c r="B84" s="1785"/>
      <c r="C84" s="1785"/>
      <c r="D84" s="1785"/>
      <c r="E84" s="1785"/>
      <c r="F84" s="1785"/>
      <c r="G84" s="1785"/>
      <c r="H84" s="1785"/>
      <c r="I84" s="1785"/>
      <c r="J84" s="1785"/>
      <c r="K84" s="1785"/>
      <c r="L84" s="1785"/>
      <c r="M84" s="1785"/>
    </row>
    <row r="85" spans="1:18" ht="12" hidden="1" thickBot="1" x14ac:dyDescent="0.2">
      <c r="A85" s="1785"/>
      <c r="B85" s="1785"/>
      <c r="C85" s="1785"/>
      <c r="D85" s="1785"/>
      <c r="E85" s="1785"/>
      <c r="F85" s="1785"/>
      <c r="G85" s="1785"/>
      <c r="H85" s="1785"/>
      <c r="I85" s="1785"/>
      <c r="J85" s="1785"/>
      <c r="K85" s="1785"/>
      <c r="L85" s="1785"/>
      <c r="M85" s="1785"/>
    </row>
    <row r="86" spans="1:18" ht="12" hidden="1" thickBot="1" x14ac:dyDescent="0.2">
      <c r="A86" s="1986" t="s">
        <v>259</v>
      </c>
      <c r="B86" s="1987"/>
      <c r="C86" s="1987"/>
      <c r="D86" s="1987"/>
      <c r="E86" s="1987"/>
      <c r="F86" s="1987"/>
      <c r="G86" s="1987"/>
      <c r="H86" s="1987"/>
      <c r="I86" s="1987"/>
      <c r="J86" s="1987"/>
      <c r="K86" s="1987"/>
      <c r="L86" s="1987"/>
      <c r="M86" s="1988"/>
    </row>
    <row r="87" spans="1:18" hidden="1" x14ac:dyDescent="0.15">
      <c r="A87" s="1788"/>
      <c r="B87" s="1785"/>
      <c r="C87" s="1785"/>
      <c r="D87" s="1785"/>
      <c r="E87" s="1785"/>
      <c r="F87" s="1785"/>
      <c r="G87" s="1785"/>
      <c r="H87" s="1785"/>
      <c r="I87" s="1785"/>
      <c r="J87" s="1785"/>
      <c r="K87" s="1785"/>
      <c r="L87" s="1785"/>
      <c r="M87" s="1888"/>
    </row>
    <row r="88" spans="1:18" hidden="1" x14ac:dyDescent="0.15">
      <c r="A88" s="1788"/>
      <c r="B88" s="1785"/>
      <c r="C88" s="1785"/>
      <c r="D88" s="1785"/>
      <c r="E88" s="1785"/>
      <c r="F88" s="1785"/>
      <c r="G88" s="1785"/>
      <c r="H88" s="1785"/>
      <c r="I88" s="1785"/>
      <c r="J88" s="1785"/>
      <c r="K88" s="1785"/>
      <c r="L88" s="1785"/>
      <c r="M88" s="1888"/>
    </row>
    <row r="89" spans="1:18" hidden="1" x14ac:dyDescent="0.15">
      <c r="A89" s="1788"/>
      <c r="B89" s="1785"/>
      <c r="C89" s="1785"/>
      <c r="D89" s="1785"/>
      <c r="E89" s="1785"/>
      <c r="F89" s="1785"/>
      <c r="G89" s="1785"/>
      <c r="H89" s="1785"/>
      <c r="I89" s="1785"/>
      <c r="J89" s="1785"/>
      <c r="K89" s="1785"/>
      <c r="L89" s="1785"/>
      <c r="M89" s="1888"/>
    </row>
    <row r="90" spans="1:18" hidden="1" x14ac:dyDescent="0.15">
      <c r="A90" s="1788"/>
      <c r="B90" s="1785"/>
      <c r="C90" s="1785"/>
      <c r="D90" s="1785"/>
      <c r="E90" s="1785"/>
      <c r="F90" s="1785"/>
      <c r="G90" s="1785"/>
      <c r="H90" s="1785"/>
      <c r="I90" s="1785"/>
      <c r="J90" s="1785"/>
      <c r="K90" s="1785"/>
      <c r="L90" s="1785"/>
      <c r="M90" s="1888"/>
    </row>
    <row r="91" spans="1:18" hidden="1" x14ac:dyDescent="0.15">
      <c r="A91" s="1788"/>
      <c r="B91" s="1785"/>
      <c r="C91" s="1785"/>
      <c r="D91" s="1785"/>
      <c r="E91" s="1785"/>
      <c r="F91" s="1785"/>
      <c r="G91" s="1785"/>
      <c r="H91" s="1785"/>
      <c r="I91" s="1785"/>
      <c r="J91" s="1785"/>
      <c r="K91" s="1785"/>
      <c r="L91" s="1785"/>
      <c r="M91" s="1888"/>
    </row>
    <row r="92" spans="1:18" hidden="1" x14ac:dyDescent="0.15">
      <c r="A92" s="1788"/>
      <c r="B92" s="1785"/>
      <c r="C92" s="1785"/>
      <c r="D92" s="1785"/>
      <c r="E92" s="1785"/>
      <c r="F92" s="1785"/>
      <c r="G92" s="1785"/>
      <c r="H92" s="1785"/>
      <c r="I92" s="1785"/>
      <c r="J92" s="1785"/>
      <c r="K92" s="1785"/>
      <c r="L92" s="1785"/>
      <c r="M92" s="1888"/>
    </row>
    <row r="93" spans="1:18" ht="12" hidden="1" thickBot="1" x14ac:dyDescent="0.2">
      <c r="A93" s="1788"/>
      <c r="B93" s="1785"/>
      <c r="C93" s="1785"/>
      <c r="D93" s="1785"/>
      <c r="E93" s="1785"/>
      <c r="F93" s="1785"/>
      <c r="G93" s="1785"/>
      <c r="H93" s="1785"/>
      <c r="I93" s="1785"/>
      <c r="J93" s="1785"/>
      <c r="K93" s="1785"/>
      <c r="L93" s="1785"/>
      <c r="M93" s="1888"/>
    </row>
    <row r="94" spans="1:18" ht="12" hidden="1" thickBot="1" x14ac:dyDescent="0.2">
      <c r="A94" s="1986" t="s">
        <v>1740</v>
      </c>
      <c r="B94" s="1987"/>
      <c r="C94" s="1987"/>
      <c r="D94" s="1987"/>
      <c r="E94" s="1987"/>
      <c r="F94" s="1987"/>
      <c r="G94" s="1987"/>
      <c r="H94" s="1987"/>
      <c r="I94" s="1987"/>
      <c r="J94" s="1987"/>
      <c r="K94" s="1987"/>
      <c r="L94" s="1987"/>
      <c r="M94" s="1988"/>
    </row>
    <row r="95" spans="1:18" hidden="1" x14ac:dyDescent="0.15">
      <c r="A95" s="1788"/>
      <c r="B95" s="1785"/>
      <c r="C95" s="1785"/>
      <c r="D95" s="1785"/>
      <c r="E95" s="1785"/>
      <c r="F95" s="1785"/>
      <c r="G95" s="1785"/>
      <c r="H95" s="1785"/>
      <c r="I95" s="1785"/>
      <c r="J95" s="1785"/>
      <c r="K95" s="1785"/>
      <c r="L95" s="1785"/>
      <c r="M95" s="1888"/>
    </row>
    <row r="96" spans="1:18" hidden="1" x14ac:dyDescent="0.15">
      <c r="A96" s="1788"/>
      <c r="B96" s="1785"/>
      <c r="C96" s="1785"/>
      <c r="D96" s="1785"/>
      <c r="E96" s="1785"/>
      <c r="F96" s="1785"/>
      <c r="G96" s="1785"/>
      <c r="H96" s="1785"/>
      <c r="I96" s="1785"/>
      <c r="J96" s="1785"/>
      <c r="K96" s="1785"/>
      <c r="L96" s="1785"/>
      <c r="M96" s="1888"/>
    </row>
    <row r="97" spans="1:13" hidden="1" x14ac:dyDescent="0.15">
      <c r="A97" s="1989" t="s">
        <v>249</v>
      </c>
      <c r="B97" s="1855" t="s">
        <v>1741</v>
      </c>
      <c r="C97" s="1802" t="s">
        <v>1742</v>
      </c>
      <c r="D97" s="1871"/>
      <c r="E97" s="1871"/>
      <c r="F97" s="1855" t="s">
        <v>1743</v>
      </c>
      <c r="G97" s="1785"/>
      <c r="H97" s="1785"/>
      <c r="I97" s="1785"/>
      <c r="J97" s="1785"/>
      <c r="K97" s="1785"/>
      <c r="L97" s="1785"/>
      <c r="M97" s="1888"/>
    </row>
    <row r="98" spans="1:13" hidden="1" x14ac:dyDescent="0.15">
      <c r="A98" s="1990" t="s">
        <v>953</v>
      </c>
      <c r="B98" s="1871" t="s">
        <v>953</v>
      </c>
      <c r="C98" s="1871" t="s">
        <v>953</v>
      </c>
      <c r="D98" s="1871"/>
      <c r="E98" s="1871"/>
      <c r="F98" s="1871" t="s">
        <v>953</v>
      </c>
      <c r="G98" s="1785"/>
      <c r="H98" s="1785"/>
      <c r="I98" s="1785"/>
      <c r="J98" s="1785"/>
      <c r="K98" s="1785"/>
      <c r="L98" s="1785"/>
      <c r="M98" s="1888"/>
    </row>
    <row r="99" spans="1:13" hidden="1" x14ac:dyDescent="0.15">
      <c r="A99" s="1990"/>
      <c r="B99" s="1871"/>
      <c r="C99" s="1871"/>
      <c r="D99" s="1871"/>
      <c r="E99" s="1871"/>
      <c r="F99" s="1871"/>
      <c r="G99" s="1785"/>
      <c r="H99" s="1785"/>
      <c r="I99" s="1785"/>
      <c r="J99" s="1785"/>
      <c r="K99" s="1785"/>
      <c r="L99" s="1785"/>
      <c r="M99" s="1888"/>
    </row>
    <row r="100" spans="1:13" hidden="1" x14ac:dyDescent="0.15">
      <c r="A100" s="1990"/>
      <c r="B100" s="1871"/>
      <c r="C100" s="1871"/>
      <c r="D100" s="1871"/>
      <c r="E100" s="1871"/>
      <c r="F100" s="1871"/>
      <c r="G100" s="1785"/>
      <c r="H100" s="1785"/>
      <c r="I100" s="1785"/>
      <c r="J100" s="1785"/>
      <c r="K100" s="1785"/>
      <c r="L100" s="1785"/>
      <c r="M100" s="1888"/>
    </row>
    <row r="101" spans="1:13" hidden="1" x14ac:dyDescent="0.15">
      <c r="A101" s="1990"/>
      <c r="B101" s="1871"/>
      <c r="C101" s="1871"/>
      <c r="D101" s="1871"/>
      <c r="E101" s="1871"/>
      <c r="F101" s="1871"/>
      <c r="G101" s="1785"/>
      <c r="H101" s="1785"/>
      <c r="I101" s="1785"/>
      <c r="J101" s="1785"/>
      <c r="K101" s="1785"/>
      <c r="L101" s="1785"/>
      <c r="M101" s="1888"/>
    </row>
    <row r="102" spans="1:13" hidden="1" x14ac:dyDescent="0.15">
      <c r="A102" s="1990"/>
      <c r="B102" s="1871"/>
      <c r="C102" s="1871"/>
      <c r="D102" s="1871"/>
      <c r="E102" s="1871"/>
      <c r="F102" s="1871"/>
      <c r="G102" s="1785"/>
      <c r="H102" s="1785"/>
      <c r="I102" s="1785"/>
      <c r="J102" s="1785"/>
      <c r="K102" s="1785"/>
      <c r="L102" s="1785"/>
      <c r="M102" s="1888"/>
    </row>
    <row r="103" spans="1:13" hidden="1" x14ac:dyDescent="0.15">
      <c r="A103" s="1990"/>
      <c r="B103" s="1871"/>
      <c r="C103" s="1871"/>
      <c r="D103" s="1871"/>
      <c r="E103" s="1871"/>
      <c r="F103" s="1871"/>
      <c r="G103" s="1785"/>
      <c r="H103" s="1785"/>
      <c r="I103" s="1785"/>
      <c r="J103" s="1785"/>
      <c r="K103" s="1785"/>
      <c r="L103" s="1785"/>
      <c r="M103" s="1888"/>
    </row>
    <row r="104" spans="1:13" hidden="1" x14ac:dyDescent="0.15">
      <c r="A104" s="1990"/>
      <c r="B104" s="1871"/>
      <c r="C104" s="1871"/>
      <c r="D104" s="1871"/>
      <c r="E104" s="1871"/>
      <c r="F104" s="1871"/>
      <c r="G104" s="1785"/>
      <c r="H104" s="1785"/>
      <c r="I104" s="1785"/>
      <c r="J104" s="1785"/>
      <c r="K104" s="1785"/>
      <c r="L104" s="1785"/>
      <c r="M104" s="1888"/>
    </row>
    <row r="105" spans="1:13" hidden="1" x14ac:dyDescent="0.15">
      <c r="A105" s="1990"/>
      <c r="B105" s="1785"/>
      <c r="C105" s="1785"/>
      <c r="D105" s="1785"/>
      <c r="E105" s="1785"/>
      <c r="F105" s="1785"/>
      <c r="G105" s="1785"/>
      <c r="H105" s="1785"/>
      <c r="I105" s="1785"/>
      <c r="J105" s="1785"/>
      <c r="K105" s="1785"/>
      <c r="L105" s="1785"/>
      <c r="M105" s="1888"/>
    </row>
    <row r="106" spans="1:13" hidden="1" x14ac:dyDescent="0.15">
      <c r="A106" s="1788"/>
      <c r="B106" s="1785"/>
      <c r="C106" s="1785"/>
      <c r="D106" s="1785"/>
      <c r="E106" s="1785"/>
      <c r="F106" s="1785"/>
      <c r="G106" s="1785"/>
      <c r="H106" s="1785"/>
      <c r="I106" s="1785"/>
      <c r="J106" s="1785"/>
      <c r="K106" s="1785"/>
      <c r="L106" s="1785"/>
      <c r="M106" s="1888"/>
    </row>
    <row r="107" spans="1:13" ht="12" hidden="1" thickBot="1" x14ac:dyDescent="0.2">
      <c r="A107" s="1788"/>
      <c r="B107" s="1785"/>
      <c r="C107" s="1785"/>
      <c r="D107" s="1785"/>
      <c r="E107" s="1785"/>
      <c r="F107" s="1785"/>
      <c r="G107" s="1785"/>
      <c r="H107" s="1785"/>
      <c r="I107" s="1785"/>
      <c r="J107" s="1785"/>
      <c r="K107" s="1785"/>
      <c r="L107" s="1785"/>
      <c r="M107" s="1888"/>
    </row>
    <row r="108" spans="1:13" ht="12" hidden="1" thickBot="1" x14ac:dyDescent="0.2">
      <c r="A108" s="1986" t="s">
        <v>260</v>
      </c>
      <c r="B108" s="1987"/>
      <c r="C108" s="1987"/>
      <c r="D108" s="1987"/>
      <c r="E108" s="1987"/>
      <c r="F108" s="1987"/>
      <c r="G108" s="1987"/>
      <c r="H108" s="1987"/>
      <c r="I108" s="1987"/>
      <c r="J108" s="1987"/>
      <c r="K108" s="1987"/>
      <c r="L108" s="1987"/>
      <c r="M108" s="1988"/>
    </row>
    <row r="109" spans="1:13" hidden="1" x14ac:dyDescent="0.15">
      <c r="A109" s="1788"/>
      <c r="B109" s="1785"/>
      <c r="C109" s="1785"/>
      <c r="D109" s="1785"/>
      <c r="E109" s="1785"/>
      <c r="F109" s="1785"/>
      <c r="G109" s="1785"/>
      <c r="H109" s="1785"/>
      <c r="I109" s="1785"/>
      <c r="J109" s="1785"/>
      <c r="K109" s="1785"/>
      <c r="L109" s="1785"/>
      <c r="M109" s="1888"/>
    </row>
    <row r="110" spans="1:13" hidden="1" x14ac:dyDescent="0.15">
      <c r="A110" s="1788"/>
      <c r="B110" s="1785"/>
      <c r="C110" s="1785"/>
      <c r="D110" s="1785"/>
      <c r="E110" s="1785"/>
      <c r="F110" s="1785"/>
      <c r="G110" s="1785"/>
      <c r="H110" s="1785"/>
      <c r="I110" s="1785"/>
      <c r="J110" s="1785"/>
      <c r="K110" s="1785"/>
      <c r="L110" s="1785"/>
      <c r="M110" s="1888"/>
    </row>
    <row r="111" spans="1:13" hidden="1" x14ac:dyDescent="0.15">
      <c r="A111" s="1788"/>
      <c r="B111" s="1785"/>
      <c r="C111" s="1785"/>
      <c r="D111" s="1785"/>
      <c r="E111" s="1785"/>
      <c r="F111" s="1785"/>
      <c r="G111" s="1785"/>
      <c r="H111" s="1785"/>
      <c r="I111" s="1785"/>
      <c r="J111" s="1785"/>
      <c r="K111" s="1785"/>
      <c r="L111" s="1785"/>
      <c r="M111" s="1888"/>
    </row>
    <row r="112" spans="1:13" hidden="1" x14ac:dyDescent="0.15">
      <c r="A112" s="1788"/>
      <c r="B112" s="1785"/>
      <c r="C112" s="1785"/>
      <c r="D112" s="1785"/>
      <c r="E112" s="1785"/>
      <c r="F112" s="1785"/>
      <c r="G112" s="1785"/>
      <c r="H112" s="1785"/>
      <c r="I112" s="1785"/>
      <c r="J112" s="1785"/>
      <c r="K112" s="1785"/>
      <c r="L112" s="1785"/>
      <c r="M112" s="1888"/>
    </row>
    <row r="113" spans="1:13" hidden="1" x14ac:dyDescent="0.15">
      <c r="A113" s="1788"/>
      <c r="B113" s="1785"/>
      <c r="C113" s="1785"/>
      <c r="D113" s="1785"/>
      <c r="E113" s="1785"/>
      <c r="F113" s="1785"/>
      <c r="G113" s="1785"/>
      <c r="H113" s="1785"/>
      <c r="I113" s="1785"/>
      <c r="J113" s="1785"/>
      <c r="K113" s="1785"/>
      <c r="L113" s="1785"/>
      <c r="M113" s="1888"/>
    </row>
    <row r="114" spans="1:13" hidden="1" x14ac:dyDescent="0.15">
      <c r="A114" s="1788"/>
      <c r="B114" s="1785"/>
      <c r="C114" s="1785"/>
      <c r="D114" s="1785"/>
      <c r="E114" s="1785"/>
      <c r="F114" s="1785"/>
      <c r="G114" s="1785"/>
      <c r="H114" s="1785"/>
      <c r="I114" s="1785"/>
      <c r="J114" s="1785"/>
      <c r="K114" s="1785"/>
      <c r="L114" s="1785"/>
      <c r="M114" s="1888"/>
    </row>
    <row r="115" spans="1:13" hidden="1" x14ac:dyDescent="0.15">
      <c r="A115" s="1788"/>
      <c r="B115" s="1785"/>
      <c r="C115" s="1785"/>
      <c r="D115" s="1785"/>
      <c r="E115" s="1785"/>
      <c r="F115" s="1785"/>
      <c r="G115" s="1785"/>
      <c r="H115" s="1785"/>
      <c r="I115" s="1785"/>
      <c r="J115" s="1785"/>
      <c r="K115" s="1785"/>
      <c r="L115" s="1785"/>
      <c r="M115" s="1888"/>
    </row>
    <row r="116" spans="1:13" hidden="1" x14ac:dyDescent="0.15">
      <c r="A116" s="1788"/>
      <c r="B116" s="1785"/>
      <c r="C116" s="1785"/>
      <c r="D116" s="1785"/>
      <c r="E116" s="1785"/>
      <c r="F116" s="1785"/>
      <c r="G116" s="1785"/>
      <c r="H116" s="1785"/>
      <c r="I116" s="1785"/>
      <c r="J116" s="1785"/>
      <c r="K116" s="1785"/>
      <c r="L116" s="1785"/>
      <c r="M116" s="1888"/>
    </row>
    <row r="117" spans="1:13" hidden="1" x14ac:dyDescent="0.15">
      <c r="A117" s="1788"/>
      <c r="B117" s="1785"/>
      <c r="C117" s="1785"/>
      <c r="D117" s="1785"/>
      <c r="E117" s="1785"/>
      <c r="F117" s="1785"/>
      <c r="G117" s="1785"/>
      <c r="H117" s="1785"/>
      <c r="I117" s="1785"/>
      <c r="J117" s="1785"/>
      <c r="K117" s="1785"/>
      <c r="L117" s="1785"/>
      <c r="M117" s="1888"/>
    </row>
    <row r="118" spans="1:13" hidden="1" x14ac:dyDescent="0.15">
      <c r="A118" s="1788"/>
      <c r="B118" s="1785"/>
      <c r="C118" s="1785"/>
      <c r="D118" s="1785"/>
      <c r="E118" s="1785"/>
      <c r="F118" s="1785"/>
      <c r="G118" s="1785"/>
      <c r="H118" s="1785"/>
      <c r="I118" s="1785"/>
      <c r="J118" s="1785"/>
      <c r="K118" s="1785"/>
      <c r="L118" s="1785"/>
      <c r="M118" s="1888"/>
    </row>
    <row r="119" spans="1:13" hidden="1" x14ac:dyDescent="0.15">
      <c r="A119" s="1788"/>
      <c r="B119" s="1785"/>
      <c r="C119" s="1785"/>
      <c r="D119" s="1785"/>
      <c r="E119" s="1785"/>
      <c r="F119" s="1785"/>
      <c r="G119" s="1785"/>
      <c r="H119" s="1785"/>
      <c r="I119" s="1785"/>
      <c r="J119" s="1785"/>
      <c r="K119" s="1785"/>
      <c r="L119" s="1785"/>
      <c r="M119" s="1888"/>
    </row>
    <row r="120" spans="1:13" hidden="1" x14ac:dyDescent="0.15">
      <c r="A120" s="1788"/>
      <c r="B120" s="1785"/>
      <c r="C120" s="1785"/>
      <c r="D120" s="1785"/>
      <c r="E120" s="1785"/>
      <c r="F120" s="1785"/>
      <c r="G120" s="1785"/>
      <c r="H120" s="1785"/>
      <c r="I120" s="1785"/>
      <c r="J120" s="1785"/>
      <c r="K120" s="1785"/>
      <c r="L120" s="1785"/>
      <c r="M120" s="1888"/>
    </row>
    <row r="121" spans="1:13" hidden="1" x14ac:dyDescent="0.15">
      <c r="A121" s="1788"/>
      <c r="B121" s="1785"/>
      <c r="C121" s="1785"/>
      <c r="D121" s="1785"/>
      <c r="E121" s="1785"/>
      <c r="F121" s="1785"/>
      <c r="G121" s="1785"/>
      <c r="H121" s="1785"/>
      <c r="I121" s="1785"/>
      <c r="J121" s="1785"/>
      <c r="K121" s="1785"/>
      <c r="L121" s="1785"/>
      <c r="M121" s="1888"/>
    </row>
    <row r="122" spans="1:13" hidden="1" x14ac:dyDescent="0.15">
      <c r="A122" s="1788"/>
      <c r="B122" s="1785"/>
      <c r="C122" s="1785"/>
      <c r="D122" s="1785"/>
      <c r="E122" s="1785"/>
      <c r="F122" s="1785"/>
      <c r="G122" s="1785"/>
      <c r="H122" s="1785"/>
      <c r="I122" s="1785"/>
      <c r="J122" s="1785"/>
      <c r="K122" s="1785"/>
      <c r="L122" s="1785"/>
      <c r="M122" s="1888"/>
    </row>
    <row r="123" spans="1:13" hidden="1" x14ac:dyDescent="0.15">
      <c r="A123" s="1788"/>
      <c r="B123" s="1785"/>
      <c r="C123" s="1785"/>
      <c r="D123" s="1785"/>
      <c r="E123" s="1785"/>
      <c r="F123" s="1785"/>
      <c r="G123" s="1785"/>
      <c r="H123" s="1785"/>
      <c r="I123" s="1785"/>
      <c r="J123" s="1785"/>
      <c r="K123" s="1785"/>
      <c r="L123" s="1785"/>
      <c r="M123" s="1888"/>
    </row>
    <row r="124" spans="1:13" hidden="1" x14ac:dyDescent="0.15">
      <c r="A124" s="1788"/>
      <c r="B124" s="1785"/>
      <c r="C124" s="1785"/>
      <c r="D124" s="1785"/>
      <c r="E124" s="1785"/>
      <c r="F124" s="1785"/>
      <c r="G124" s="1785"/>
      <c r="H124" s="1785"/>
      <c r="I124" s="1785"/>
      <c r="J124" s="1785"/>
      <c r="K124" s="1785"/>
      <c r="L124" s="1785"/>
      <c r="M124" s="1888"/>
    </row>
    <row r="125" spans="1:13" hidden="1" x14ac:dyDescent="0.15">
      <c r="A125" s="1788"/>
      <c r="B125" s="1785"/>
      <c r="C125" s="1785"/>
      <c r="D125" s="1785"/>
      <c r="E125" s="1785"/>
      <c r="F125" s="1785"/>
      <c r="G125" s="1785"/>
      <c r="H125" s="1785"/>
      <c r="I125" s="1785"/>
      <c r="J125" s="1785"/>
      <c r="K125" s="1785"/>
      <c r="L125" s="1785"/>
      <c r="M125" s="1888"/>
    </row>
    <row r="126" spans="1:13" hidden="1" x14ac:dyDescent="0.15">
      <c r="A126" s="1788"/>
      <c r="B126" s="1785"/>
      <c r="C126" s="1785"/>
      <c r="D126" s="1785"/>
      <c r="E126" s="1785"/>
      <c r="F126" s="1785"/>
      <c r="G126" s="1785"/>
      <c r="H126" s="1785"/>
      <c r="I126" s="1785"/>
      <c r="J126" s="1785"/>
      <c r="K126" s="1785"/>
      <c r="L126" s="1785"/>
      <c r="M126" s="1888"/>
    </row>
    <row r="127" spans="1:13" hidden="1" x14ac:dyDescent="0.15">
      <c r="A127" s="1788"/>
      <c r="B127" s="1785"/>
      <c r="C127" s="1785"/>
      <c r="D127" s="1785"/>
      <c r="E127" s="1785"/>
      <c r="F127" s="1785"/>
      <c r="G127" s="1785"/>
      <c r="H127" s="1785"/>
      <c r="I127" s="1785"/>
      <c r="J127" s="1785"/>
      <c r="K127" s="1785"/>
      <c r="L127" s="1785"/>
      <c r="M127" s="1888"/>
    </row>
    <row r="128" spans="1:13" hidden="1" x14ac:dyDescent="0.15">
      <c r="A128" s="1788"/>
      <c r="B128" s="1785"/>
      <c r="C128" s="1785"/>
      <c r="D128" s="1785"/>
      <c r="E128" s="1785"/>
      <c r="F128" s="1785"/>
      <c r="G128" s="1785"/>
      <c r="H128" s="1785"/>
      <c r="I128" s="1785"/>
      <c r="J128" s="1785"/>
      <c r="K128" s="1785"/>
      <c r="L128" s="1785"/>
      <c r="M128" s="1888"/>
    </row>
    <row r="129" spans="1:13" ht="12" hidden="1" thickBot="1" x14ac:dyDescent="0.2">
      <c r="A129" s="1788"/>
      <c r="B129" s="1785"/>
      <c r="C129" s="1785"/>
      <c r="D129" s="1785"/>
      <c r="E129" s="1785"/>
      <c r="F129" s="1785"/>
      <c r="G129" s="1785"/>
      <c r="H129" s="1785"/>
      <c r="I129" s="1785"/>
      <c r="J129" s="1785"/>
      <c r="K129" s="1785"/>
      <c r="L129" s="1785"/>
      <c r="M129" s="1888"/>
    </row>
    <row r="130" spans="1:13" ht="12" hidden="1" thickBot="1" x14ac:dyDescent="0.2">
      <c r="A130" s="1986" t="s">
        <v>261</v>
      </c>
      <c r="B130" s="1987"/>
      <c r="C130" s="1987"/>
      <c r="D130" s="1987"/>
      <c r="E130" s="1987"/>
      <c r="F130" s="1987"/>
      <c r="G130" s="1987"/>
      <c r="H130" s="1987"/>
      <c r="I130" s="1987"/>
      <c r="J130" s="1987"/>
      <c r="K130" s="1987"/>
      <c r="L130" s="1987"/>
      <c r="M130" s="1988"/>
    </row>
    <row r="131" spans="1:13" hidden="1" x14ac:dyDescent="0.15">
      <c r="A131" s="1788"/>
      <c r="B131" s="1785"/>
      <c r="C131" s="1785"/>
      <c r="D131" s="1785"/>
      <c r="E131" s="1785"/>
      <c r="F131" s="1785"/>
      <c r="G131" s="1785"/>
      <c r="H131" s="1785"/>
      <c r="I131" s="1785"/>
      <c r="J131" s="1785"/>
      <c r="K131" s="1785"/>
      <c r="L131" s="1785"/>
      <c r="M131" s="1888"/>
    </row>
    <row r="132" spans="1:13" hidden="1" x14ac:dyDescent="0.15">
      <c r="A132" s="1788"/>
      <c r="B132" s="1785"/>
      <c r="C132" s="1785"/>
      <c r="D132" s="1785"/>
      <c r="E132" s="1785"/>
      <c r="F132" s="1785"/>
      <c r="G132" s="1785"/>
      <c r="H132" s="1785"/>
      <c r="I132" s="1785"/>
      <c r="J132" s="1785"/>
      <c r="K132" s="1785"/>
      <c r="L132" s="1785"/>
      <c r="M132" s="1888"/>
    </row>
    <row r="133" spans="1:13" hidden="1" x14ac:dyDescent="0.15">
      <c r="A133" s="1788"/>
      <c r="B133" s="1785"/>
      <c r="C133" s="1785"/>
      <c r="D133" s="1785"/>
      <c r="E133" s="1785"/>
      <c r="F133" s="1785"/>
      <c r="G133" s="1785"/>
      <c r="H133" s="1785"/>
      <c r="I133" s="1785"/>
      <c r="J133" s="1785"/>
      <c r="K133" s="1785"/>
      <c r="L133" s="1785"/>
      <c r="M133" s="1888"/>
    </row>
    <row r="134" spans="1:13" hidden="1" x14ac:dyDescent="0.15">
      <c r="A134" s="1788"/>
      <c r="B134" s="1785"/>
      <c r="C134" s="1785"/>
      <c r="D134" s="1785"/>
      <c r="E134" s="1785"/>
      <c r="F134" s="1785"/>
      <c r="G134" s="1785"/>
      <c r="H134" s="1785"/>
      <c r="I134" s="1785"/>
      <c r="J134" s="1785"/>
      <c r="K134" s="1785"/>
      <c r="L134" s="1785"/>
      <c r="M134" s="1888"/>
    </row>
    <row r="135" spans="1:13" hidden="1" x14ac:dyDescent="0.15">
      <c r="A135" s="1788"/>
      <c r="B135" s="1785"/>
      <c r="C135" s="1785"/>
      <c r="D135" s="1785"/>
      <c r="E135" s="1785"/>
      <c r="F135" s="1785"/>
      <c r="G135" s="1785"/>
      <c r="H135" s="1785"/>
      <c r="I135" s="1785"/>
      <c r="J135" s="1785"/>
      <c r="K135" s="1785"/>
      <c r="L135" s="1785"/>
      <c r="M135" s="1888"/>
    </row>
    <row r="136" spans="1:13" hidden="1" x14ac:dyDescent="0.15">
      <c r="A136" s="1788"/>
      <c r="B136" s="1785"/>
      <c r="C136" s="1785"/>
      <c r="D136" s="1785"/>
      <c r="E136" s="1785"/>
      <c r="F136" s="1785"/>
      <c r="G136" s="1785"/>
      <c r="H136" s="1785"/>
      <c r="I136" s="1785"/>
      <c r="J136" s="1785"/>
      <c r="K136" s="1785"/>
      <c r="L136" s="1785"/>
      <c r="M136" s="1888"/>
    </row>
    <row r="137" spans="1:13" hidden="1" x14ac:dyDescent="0.15">
      <c r="A137" s="1788"/>
      <c r="B137" s="1785"/>
      <c r="C137" s="1785"/>
      <c r="D137" s="1785"/>
      <c r="E137" s="1785"/>
      <c r="F137" s="1785"/>
      <c r="G137" s="1785"/>
      <c r="H137" s="1785"/>
      <c r="I137" s="1785"/>
      <c r="J137" s="1785"/>
      <c r="K137" s="1785"/>
      <c r="L137" s="1785"/>
      <c r="M137" s="1888"/>
    </row>
    <row r="138" spans="1:13" hidden="1" x14ac:dyDescent="0.15">
      <c r="A138" s="1788"/>
      <c r="B138" s="1785"/>
      <c r="C138" s="1785"/>
      <c r="D138" s="1785"/>
      <c r="E138" s="1785"/>
      <c r="F138" s="1785"/>
      <c r="G138" s="1785"/>
      <c r="H138" s="1785"/>
      <c r="I138" s="1785"/>
      <c r="J138" s="1785"/>
      <c r="K138" s="1785"/>
      <c r="L138" s="1785"/>
      <c r="M138" s="1888"/>
    </row>
    <row r="139" spans="1:13" hidden="1" x14ac:dyDescent="0.15">
      <c r="A139" s="1788"/>
      <c r="B139" s="1785"/>
      <c r="C139" s="1785"/>
      <c r="D139" s="1785"/>
      <c r="E139" s="1785"/>
      <c r="F139" s="1785"/>
      <c r="G139" s="1785"/>
      <c r="H139" s="1785"/>
      <c r="I139" s="1785"/>
      <c r="J139" s="1785"/>
      <c r="K139" s="1785"/>
      <c r="L139" s="1785"/>
      <c r="M139" s="1888"/>
    </row>
    <row r="140" spans="1:13" hidden="1" x14ac:dyDescent="0.15">
      <c r="A140" s="1788"/>
      <c r="B140" s="1785"/>
      <c r="C140" s="1785"/>
      <c r="D140" s="1785"/>
      <c r="E140" s="1785"/>
      <c r="F140" s="1785"/>
      <c r="G140" s="1785"/>
      <c r="H140" s="1785"/>
      <c r="I140" s="1785"/>
      <c r="J140" s="1785"/>
      <c r="K140" s="1785"/>
      <c r="L140" s="1785"/>
      <c r="M140" s="1888"/>
    </row>
    <row r="141" spans="1:13" hidden="1" x14ac:dyDescent="0.15">
      <c r="A141" s="1788"/>
      <c r="B141" s="1785"/>
      <c r="C141" s="1785"/>
      <c r="D141" s="1785"/>
      <c r="E141" s="1785"/>
      <c r="F141" s="1785"/>
      <c r="G141" s="1785"/>
      <c r="H141" s="1785"/>
      <c r="I141" s="1785"/>
      <c r="J141" s="1785"/>
      <c r="K141" s="1785"/>
      <c r="L141" s="1785"/>
      <c r="M141" s="1888"/>
    </row>
    <row r="142" spans="1:13" hidden="1" x14ac:dyDescent="0.15">
      <c r="A142" s="1788"/>
      <c r="B142" s="1785"/>
      <c r="C142" s="1785"/>
      <c r="D142" s="1785"/>
      <c r="E142" s="1785"/>
      <c r="F142" s="1785"/>
      <c r="G142" s="1785"/>
      <c r="H142" s="1785"/>
      <c r="I142" s="1785"/>
      <c r="J142" s="1785"/>
      <c r="K142" s="1785"/>
      <c r="L142" s="1785"/>
      <c r="M142" s="1888"/>
    </row>
    <row r="143" spans="1:13" hidden="1" x14ac:dyDescent="0.15">
      <c r="A143" s="1914"/>
      <c r="B143" s="1795"/>
      <c r="C143" s="1795"/>
      <c r="D143" s="1795"/>
      <c r="E143" s="1795"/>
      <c r="F143" s="1795"/>
      <c r="G143" s="1795"/>
      <c r="H143" s="1795"/>
      <c r="I143" s="1795"/>
      <c r="J143" s="1795"/>
      <c r="K143" s="1795"/>
      <c r="L143" s="1795"/>
      <c r="M143" s="1991"/>
    </row>
    <row r="144" spans="1:13" hidden="1" x14ac:dyDescent="0.15">
      <c r="A144" s="1992" t="s">
        <v>1351</v>
      </c>
      <c r="B144" s="1993"/>
      <c r="C144" s="1993"/>
      <c r="D144" s="1993"/>
      <c r="E144" s="1993"/>
      <c r="F144" s="1993"/>
      <c r="G144" s="1994"/>
      <c r="H144" s="1994"/>
      <c r="I144" s="1994"/>
      <c r="J144" s="1994"/>
      <c r="K144" s="1994"/>
      <c r="L144" s="1994"/>
      <c r="M144" s="1995"/>
    </row>
    <row r="145" spans="1:13" ht="12" hidden="1" thickBot="1" x14ac:dyDescent="0.2">
      <c r="A145" s="1903"/>
      <c r="B145" s="1904"/>
      <c r="C145" s="1904"/>
      <c r="D145" s="1904"/>
      <c r="E145" s="1905"/>
      <c r="F145" s="1906"/>
      <c r="G145" s="1905"/>
      <c r="H145" s="1905"/>
      <c r="I145" s="1905"/>
      <c r="J145" s="3171"/>
      <c r="K145" s="3171"/>
      <c r="L145" s="3171"/>
      <c r="M145" s="3172"/>
    </row>
    <row r="146" spans="1:13" ht="11.25" hidden="1" customHeight="1" thickBot="1" x14ac:dyDescent="0.2">
      <c r="A146" s="1908" t="s">
        <v>1355</v>
      </c>
      <c r="B146" s="1909" t="s">
        <v>513</v>
      </c>
      <c r="C146" s="1910" t="s">
        <v>514</v>
      </c>
      <c r="D146" s="1785"/>
      <c r="E146" s="3151"/>
      <c r="F146" s="3152"/>
      <c r="G146" s="3153"/>
      <c r="H146" s="1911"/>
      <c r="I146" s="3164" t="s">
        <v>1354</v>
      </c>
      <c r="J146" s="3164"/>
      <c r="K146" s="3164"/>
      <c r="L146" s="1912"/>
      <c r="M146" s="1913"/>
    </row>
    <row r="147" spans="1:13" ht="12" hidden="1" customHeight="1" thickBot="1" x14ac:dyDescent="0.2">
      <c r="A147" s="1914" t="s">
        <v>846</v>
      </c>
      <c r="B147" s="1915">
        <v>1.4999999999999999E-2</v>
      </c>
      <c r="C147" s="1916"/>
      <c r="D147" s="1785"/>
      <c r="E147" s="3151"/>
      <c r="F147" s="3152"/>
      <c r="G147" s="3154"/>
      <c r="H147" s="1917"/>
      <c r="I147" s="1912"/>
      <c r="J147" s="1912"/>
      <c r="K147" s="1912"/>
      <c r="L147" s="1912"/>
      <c r="M147" s="1918"/>
    </row>
    <row r="148" spans="1:13" ht="12" hidden="1" thickBot="1" x14ac:dyDescent="0.2">
      <c r="A148" s="1903" t="s">
        <v>512</v>
      </c>
      <c r="B148" s="1919">
        <f>+B149-B147</f>
        <v>6.8999999999999999E-3</v>
      </c>
      <c r="C148" s="1920"/>
      <c r="D148" s="1785"/>
      <c r="E148" s="1921"/>
      <c r="F148" s="1922"/>
      <c r="G148" s="1923"/>
      <c r="H148" s="1923"/>
      <c r="I148" s="1924" t="s">
        <v>1352</v>
      </c>
      <c r="J148" s="1925" t="s">
        <v>1353</v>
      </c>
      <c r="K148" s="1923"/>
      <c r="L148" s="1923"/>
      <c r="M148" s="1926"/>
    </row>
    <row r="149" spans="1:13" ht="12" hidden="1" thickBot="1" x14ac:dyDescent="0.2">
      <c r="A149" s="1927" t="s">
        <v>203</v>
      </c>
      <c r="B149" s="1928">
        <v>2.1899999999999999E-2</v>
      </c>
      <c r="C149" s="1929">
        <f>+C148+C147</f>
        <v>0</v>
      </c>
      <c r="D149" s="1785"/>
      <c r="E149" s="1921"/>
      <c r="F149" s="1922"/>
      <c r="G149" s="1923"/>
      <c r="H149" s="1923"/>
      <c r="I149" s="1930">
        <v>3</v>
      </c>
      <c r="J149" s="1931"/>
      <c r="K149" s="1923"/>
      <c r="L149" s="1923"/>
      <c r="M149" s="1926"/>
    </row>
    <row r="150" spans="1:13" hidden="1" x14ac:dyDescent="0.15">
      <c r="A150" s="1788"/>
      <c r="B150" s="1785"/>
      <c r="C150" s="1785"/>
      <c r="D150" s="1785"/>
      <c r="E150" s="1932"/>
      <c r="F150" s="1922"/>
      <c r="G150" s="1923"/>
      <c r="H150" s="1923"/>
      <c r="I150" s="1933">
        <v>6</v>
      </c>
      <c r="J150" s="1934"/>
      <c r="K150" s="1923"/>
      <c r="L150" s="1923"/>
      <c r="M150" s="1926"/>
    </row>
    <row r="151" spans="1:13" ht="12" hidden="1" thickBot="1" x14ac:dyDescent="0.2">
      <c r="A151" s="1935" t="s">
        <v>1347</v>
      </c>
      <c r="B151" s="1785"/>
      <c r="C151" s="1785"/>
      <c r="D151" s="1785"/>
      <c r="E151" s="1932"/>
      <c r="F151" s="1922"/>
      <c r="G151" s="1923"/>
      <c r="H151" s="1923"/>
      <c r="I151" s="1936">
        <v>9</v>
      </c>
      <c r="J151" s="1937"/>
      <c r="K151" s="1923"/>
      <c r="L151" s="1923"/>
      <c r="M151" s="1926"/>
    </row>
    <row r="152" spans="1:13" ht="12" hidden="1" thickBot="1" x14ac:dyDescent="0.2">
      <c r="A152" s="1788"/>
      <c r="B152" s="1785"/>
      <c r="C152" s="1785"/>
      <c r="D152" s="1785"/>
      <c r="E152" s="1932"/>
      <c r="F152" s="1922"/>
      <c r="G152" s="1923"/>
      <c r="H152" s="1923"/>
      <c r="I152" s="1923"/>
      <c r="J152" s="1932"/>
      <c r="K152" s="1923"/>
      <c r="L152" s="1923"/>
      <c r="M152" s="1926"/>
    </row>
    <row r="153" spans="1:13" ht="12" hidden="1" thickBot="1" x14ac:dyDescent="0.2">
      <c r="A153" s="1938"/>
      <c r="B153" s="1909" t="s">
        <v>590</v>
      </c>
      <c r="C153" s="3155" t="s">
        <v>1350</v>
      </c>
      <c r="D153" s="3156"/>
      <c r="E153" s="3157"/>
      <c r="F153" s="1939"/>
      <c r="G153" s="1940"/>
      <c r="H153" s="1940"/>
      <c r="I153" s="1940"/>
      <c r="J153" s="1941"/>
      <c r="K153" s="1942"/>
      <c r="L153" s="1942"/>
      <c r="M153" s="1943"/>
    </row>
    <row r="154" spans="1:13" hidden="1" x14ac:dyDescent="0.15">
      <c r="A154" s="1914" t="s">
        <v>1348</v>
      </c>
      <c r="B154" s="1944" t="s">
        <v>1531</v>
      </c>
      <c r="C154" s="3158"/>
      <c r="D154" s="3159"/>
      <c r="E154" s="3160"/>
      <c r="F154" s="1945"/>
      <c r="G154" s="1855"/>
      <c r="H154" s="1855"/>
      <c r="I154" s="1946"/>
      <c r="J154" s="1947"/>
      <c r="K154" s="3184" t="str">
        <f>+L10</f>
        <v>RORAC HIST.</v>
      </c>
      <c r="L154" s="3185"/>
      <c r="M154" s="1948" t="s">
        <v>262</v>
      </c>
    </row>
    <row r="155" spans="1:13" ht="12" hidden="1" thickBot="1" x14ac:dyDescent="0.2">
      <c r="A155" s="1949" t="s">
        <v>1349</v>
      </c>
      <c r="B155" s="1950" t="s">
        <v>1531</v>
      </c>
      <c r="C155" s="3161"/>
      <c r="D155" s="3162"/>
      <c r="E155" s="3163"/>
      <c r="F155" s="1945"/>
      <c r="G155" s="1951"/>
      <c r="H155" s="1951"/>
      <c r="I155" s="1951"/>
      <c r="J155" s="1952"/>
      <c r="K155" s="1953" t="s">
        <v>1736</v>
      </c>
      <c r="L155" s="1953"/>
      <c r="M155" s="1954"/>
    </row>
    <row r="156" spans="1:13" hidden="1" x14ac:dyDescent="0.15">
      <c r="A156" s="1788"/>
      <c r="B156" s="1785"/>
      <c r="C156" s="1785"/>
      <c r="D156" s="1785"/>
      <c r="E156" s="1785"/>
      <c r="F156" s="1945"/>
      <c r="G156" s="1951"/>
      <c r="H156" s="1951"/>
      <c r="I156" s="1951"/>
      <c r="J156" s="1952"/>
      <c r="K156" s="1953" t="s">
        <v>1737</v>
      </c>
      <c r="L156" s="1953"/>
      <c r="M156" s="1954"/>
    </row>
    <row r="157" spans="1:13" hidden="1" x14ac:dyDescent="0.15">
      <c r="A157" s="1788"/>
      <c r="B157" s="1785"/>
      <c r="C157" s="1785"/>
      <c r="D157" s="1785"/>
      <c r="E157" s="1785"/>
      <c r="F157" s="1945"/>
      <c r="G157" s="1951"/>
      <c r="H157" s="1951"/>
      <c r="I157" s="1951"/>
      <c r="J157" s="1952"/>
      <c r="K157" s="1953" t="s">
        <v>1738</v>
      </c>
      <c r="L157" s="1953"/>
      <c r="M157" s="1954">
        <f>+I56</f>
        <v>0</v>
      </c>
    </row>
    <row r="158" spans="1:13" ht="12" hidden="1" thickBot="1" x14ac:dyDescent="0.2">
      <c r="A158" s="1788"/>
      <c r="B158" s="1785"/>
      <c r="C158" s="1785"/>
      <c r="D158" s="1785"/>
      <c r="E158" s="1785"/>
      <c r="F158" s="1955"/>
      <c r="G158" s="1956"/>
      <c r="H158" s="1956"/>
      <c r="I158" s="1956"/>
      <c r="J158" s="1957"/>
      <c r="K158" s="1958" t="s">
        <v>1739</v>
      </c>
      <c r="L158" s="1958"/>
      <c r="M158" s="1959"/>
    </row>
    <row r="159" spans="1:13" hidden="1" x14ac:dyDescent="0.15">
      <c r="A159" s="1996" t="s">
        <v>271</v>
      </c>
      <c r="B159" s="1997"/>
      <c r="C159" s="1997"/>
      <c r="D159" s="1997"/>
      <c r="E159" s="1997"/>
      <c r="F159" s="1997"/>
      <c r="G159" s="1997"/>
      <c r="H159" s="1997"/>
      <c r="I159" s="1997"/>
      <c r="J159" s="1997"/>
      <c r="K159" s="1997"/>
      <c r="L159" s="1997"/>
      <c r="M159" s="1998"/>
    </row>
    <row r="160" spans="1:13" hidden="1" x14ac:dyDescent="0.15">
      <c r="A160" s="1903">
        <f>D2</f>
        <v>0</v>
      </c>
      <c r="B160" s="1904"/>
      <c r="C160" s="1904"/>
      <c r="D160" s="1904"/>
      <c r="E160" s="1904"/>
      <c r="F160" s="1904"/>
      <c r="G160" s="1904"/>
      <c r="H160" s="1904"/>
      <c r="I160" s="1904"/>
      <c r="J160" s="1904"/>
      <c r="K160" s="1904"/>
      <c r="L160" s="1904"/>
      <c r="M160" s="1999"/>
    </row>
    <row r="161" spans="1:13" ht="12" hidden="1" thickBot="1" x14ac:dyDescent="0.2">
      <c r="A161" s="2000" t="str">
        <f>+H2</f>
        <v>Empresas</v>
      </c>
      <c r="B161" s="2001"/>
      <c r="C161" s="2001"/>
      <c r="D161" s="2001"/>
      <c r="E161" s="2001"/>
      <c r="F161" s="2001"/>
      <c r="G161" s="2001"/>
      <c r="H161" s="2001"/>
      <c r="I161" s="2001"/>
      <c r="J161" s="2001"/>
      <c r="K161" s="2001"/>
      <c r="L161" s="2001"/>
      <c r="M161" s="2002"/>
    </row>
    <row r="162" spans="1:13" hidden="1" x14ac:dyDescent="0.15"/>
  </sheetData>
  <mergeCells count="45">
    <mergeCell ref="C56:C61"/>
    <mergeCell ref="F56:F62"/>
    <mergeCell ref="C46:C49"/>
    <mergeCell ref="H46:H52"/>
    <mergeCell ref="L65:M65"/>
    <mergeCell ref="L46:L52"/>
    <mergeCell ref="K46:K52"/>
    <mergeCell ref="I56:I62"/>
    <mergeCell ref="K4:M4"/>
    <mergeCell ref="H76:I77"/>
    <mergeCell ref="H78:I78"/>
    <mergeCell ref="M76:M77"/>
    <mergeCell ref="L66:M66"/>
    <mergeCell ref="K55:M55"/>
    <mergeCell ref="K56:M56"/>
    <mergeCell ref="K57:M57"/>
    <mergeCell ref="K58:M58"/>
    <mergeCell ref="K59:M59"/>
    <mergeCell ref="K60:M60"/>
    <mergeCell ref="K61:M61"/>
    <mergeCell ref="K62:M62"/>
    <mergeCell ref="K63:M63"/>
    <mergeCell ref="L64:M64"/>
    <mergeCell ref="J56:J62"/>
    <mergeCell ref="C155:E155"/>
    <mergeCell ref="I146:K146"/>
    <mergeCell ref="A68:C68"/>
    <mergeCell ref="L5:M5"/>
    <mergeCell ref="I37:M37"/>
    <mergeCell ref="I38:M38"/>
    <mergeCell ref="I39:M39"/>
    <mergeCell ref="I40:M40"/>
    <mergeCell ref="J145:M145"/>
    <mergeCell ref="A76:A77"/>
    <mergeCell ref="B76:G76"/>
    <mergeCell ref="J76:J77"/>
    <mergeCell ref="K76:K77"/>
    <mergeCell ref="L76:L77"/>
    <mergeCell ref="L67:M67"/>
    <mergeCell ref="K154:L154"/>
    <mergeCell ref="E146:E147"/>
    <mergeCell ref="F146:F147"/>
    <mergeCell ref="G146:G147"/>
    <mergeCell ref="C153:E153"/>
    <mergeCell ref="C154:E154"/>
  </mergeCells>
  <phoneticPr fontId="0" type="noConversion"/>
  <dataValidations disablePrompts="1" count="14">
    <dataValidation type="list" allowBlank="1" showInputMessage="1" showErrorMessage="1" sqref="H46:H52 G65 F56">
      <formula1>$T$57:$T$61</formula1>
    </dataValidation>
    <dataValidation showInputMessage="1" showErrorMessage="1" sqref="H3 D2"/>
    <dataValidation type="list" showInputMessage="1" showErrorMessage="1" sqref="H2">
      <formula1>$S$38:$S$41</formula1>
    </dataValidation>
    <dataValidation type="list" allowBlank="1" showInputMessage="1" showErrorMessage="1" sqref="L78">
      <formula1>$R$8:$R$10</formula1>
    </dataValidation>
    <dataValidation type="list" allowBlank="1" showInputMessage="1" showErrorMessage="1" sqref="J78">
      <formula1>$S$8:$S$12</formula1>
    </dataValidation>
    <dataValidation type="list" allowBlank="1" showInputMessage="1" showErrorMessage="1" sqref="M3 G10:H10 J10 D11">
      <formula1>SiNo</formula1>
    </dataValidation>
    <dataValidation type="list" allowBlank="1" showInputMessage="1" showErrorMessage="1" sqref="V11">
      <formula1>FEVE</formula1>
    </dataValidation>
    <dataValidation type="list" allowBlank="1" showInputMessage="1" showErrorMessage="1" sqref="O10">
      <formula1>rorac</formula1>
    </dataValidation>
    <dataValidation type="list" allowBlank="1" showInputMessage="1" showErrorMessage="1" sqref="G6:H6">
      <formula1>NCiiu</formula1>
    </dataValidation>
    <dataValidation type="list" allowBlank="1" showInputMessage="1" showErrorMessage="1" sqref="J7">
      <formula1>$T$8:$T$17</formula1>
    </dataValidation>
    <dataValidation type="list" showInputMessage="1" showErrorMessage="1" sqref="D46:D51 D56:D61">
      <formula1>$P$57:$P$63</formula1>
    </dataValidation>
    <dataValidation type="list" allowBlank="1" showInputMessage="1" showErrorMessage="1" sqref="E56:E61 E46:E52 F65">
      <formula1>$R$57:$R$63</formula1>
    </dataValidation>
    <dataValidation type="list" allowBlank="1" showInputMessage="1" showErrorMessage="1" sqref="M2">
      <formula1>$V$2:$V$9</formula1>
    </dataValidation>
    <dataValidation type="list" allowBlank="1" showInputMessage="1" showErrorMessage="1" sqref="A68:C68">
      <formula1>$Q$27:$Q$29</formula1>
    </dataValidation>
  </dataValidations>
  <printOptions horizontalCentered="1"/>
  <pageMargins left="0.39370078740157483" right="0.39370078740157483" top="0.39370078740157483" bottom="0.39370078740157483" header="0" footer="0"/>
  <pageSetup scale="64" fitToHeight="2" orientation="portrait" r:id="rId1"/>
  <headerFooter alignWithMargins="0"/>
  <rowBreaks count="1" manualBreakCount="1">
    <brk id="84" max="11"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tabColor theme="9" tint="-0.249977111117893"/>
  </sheetPr>
  <dimension ref="A1:P149"/>
  <sheetViews>
    <sheetView showGridLines="0" zoomScale="80" zoomScaleNormal="80" workbookViewId="0">
      <selection activeCell="H22" sqref="H22"/>
    </sheetView>
  </sheetViews>
  <sheetFormatPr baseColWidth="10" defaultRowHeight="12.75" outlineLevelCol="1" x14ac:dyDescent="0.2"/>
  <cols>
    <col min="1" max="1" width="13.42578125" style="1445" customWidth="1"/>
    <col min="2" max="2" width="23.5703125" style="1445" customWidth="1"/>
    <col min="3" max="3" width="2.7109375" style="1445" customWidth="1"/>
    <col min="4" max="4" width="15.7109375" style="1448" customWidth="1"/>
    <col min="5" max="5" width="10.42578125" style="1449" customWidth="1"/>
    <col min="6" max="6" width="15.7109375" style="1448" customWidth="1"/>
    <col min="7" max="7" width="10.42578125" style="1449" customWidth="1"/>
    <col min="8" max="8" width="15.85546875" style="1448" customWidth="1"/>
    <col min="9" max="9" width="11.7109375" style="1449" customWidth="1"/>
    <col min="10" max="10" width="15.85546875" style="1449" hidden="1" customWidth="1" outlineLevel="1"/>
    <col min="11" max="11" width="11.140625" style="1449" hidden="1" customWidth="1" outlineLevel="1"/>
    <col min="12" max="12" width="15.7109375" style="1445" hidden="1" customWidth="1" outlineLevel="1"/>
    <col min="13" max="13" width="11.42578125" style="1445" hidden="1" customWidth="1" outlineLevel="1"/>
    <col min="14" max="14" width="11.42578125" style="1445" collapsed="1"/>
    <col min="15" max="16384" width="11.42578125" style="1445"/>
  </cols>
  <sheetData>
    <row r="1" spans="1:13" x14ac:dyDescent="0.2">
      <c r="A1" s="1447"/>
      <c r="B1" s="1447"/>
      <c r="C1" s="1447"/>
      <c r="F1" s="1450"/>
      <c r="G1" s="1451"/>
      <c r="H1" s="1450"/>
      <c r="I1" s="1451"/>
      <c r="J1" s="1451"/>
      <c r="K1" s="1451"/>
    </row>
    <row r="2" spans="1:13" x14ac:dyDescent="0.2">
      <c r="A2" s="1447"/>
      <c r="B2" s="1447"/>
      <c r="C2" s="1447"/>
      <c r="F2" s="1450"/>
      <c r="G2" s="1451"/>
      <c r="H2" s="1452"/>
      <c r="I2" s="1451"/>
      <c r="J2" s="1451"/>
      <c r="K2" s="1451"/>
    </row>
    <row r="3" spans="1:13" x14ac:dyDescent="0.2">
      <c r="A3" s="1447"/>
      <c r="B3" s="1447"/>
      <c r="E3" s="1453"/>
      <c r="F3" s="1454"/>
      <c r="G3" s="1453"/>
      <c r="H3" s="1455"/>
      <c r="I3" s="1456"/>
      <c r="J3" s="1456"/>
      <c r="K3" s="1456"/>
    </row>
    <row r="4" spans="1:13" x14ac:dyDescent="0.2">
      <c r="A4" s="1447"/>
      <c r="B4" s="1447"/>
      <c r="D4" s="1457"/>
      <c r="E4" s="1453"/>
      <c r="F4" s="1458"/>
      <c r="G4" s="1453"/>
      <c r="H4" s="1455"/>
      <c r="I4" s="1456"/>
      <c r="J4" s="1456"/>
      <c r="K4" s="1456"/>
    </row>
    <row r="5" spans="1:13" x14ac:dyDescent="0.2">
      <c r="A5" s="1447"/>
      <c r="B5" s="1459" t="s">
        <v>105</v>
      </c>
      <c r="C5" s="1460">
        <f>+General!D6</f>
        <v>0</v>
      </c>
      <c r="D5" s="1460"/>
      <c r="E5" s="1461"/>
      <c r="F5" s="1462"/>
      <c r="G5" s="1461"/>
      <c r="H5" s="1463"/>
      <c r="I5" s="1464"/>
      <c r="J5" s="1456"/>
      <c r="K5" s="1456"/>
    </row>
    <row r="6" spans="1:13" x14ac:dyDescent="0.2">
      <c r="A6" s="1447"/>
      <c r="B6" s="1459" t="s">
        <v>106</v>
      </c>
      <c r="C6" s="1465">
        <f>+General!D7</f>
        <v>0</v>
      </c>
      <c r="D6" s="1465"/>
      <c r="E6" s="1466"/>
      <c r="F6" s="1467"/>
      <c r="G6" s="1466"/>
      <c r="H6" s="1468"/>
      <c r="I6" s="1469"/>
      <c r="J6" s="1456"/>
      <c r="K6" s="1456"/>
    </row>
    <row r="7" spans="1:13" x14ac:dyDescent="0.2">
      <c r="A7" s="1447"/>
      <c r="B7" s="1459" t="s">
        <v>107</v>
      </c>
      <c r="C7" s="1465">
        <f>+General!D9</f>
        <v>0</v>
      </c>
      <c r="D7" s="1461"/>
      <c r="E7" s="1458"/>
      <c r="H7" s="1470" t="s">
        <v>272</v>
      </c>
      <c r="I7" s="1471" t="str">
        <f>General!D20</f>
        <v>NO</v>
      </c>
      <c r="J7" s="1472"/>
      <c r="K7" s="1472"/>
    </row>
    <row r="8" spans="1:13" s="1473" customFormat="1" x14ac:dyDescent="0.2">
      <c r="B8" s="1470" t="s">
        <v>109</v>
      </c>
      <c r="C8" s="1460">
        <f>General!D21</f>
        <v>0</v>
      </c>
      <c r="D8" s="1460"/>
      <c r="E8" s="1474"/>
      <c r="F8" s="1474"/>
      <c r="G8" s="1474"/>
      <c r="H8" s="1474"/>
      <c r="I8" s="1474"/>
      <c r="J8" s="1475"/>
      <c r="K8" s="1475"/>
    </row>
    <row r="9" spans="1:13" s="1473" customFormat="1" ht="13.5" thickBot="1" x14ac:dyDescent="0.25">
      <c r="A9" s="1470"/>
      <c r="B9" s="1470"/>
      <c r="C9" s="1470"/>
      <c r="D9" s="1476"/>
      <c r="E9" s="1477"/>
      <c r="F9" s="1476"/>
      <c r="G9" s="1477"/>
      <c r="H9" s="1476"/>
      <c r="I9" s="1477"/>
      <c r="J9" s="1477"/>
      <c r="K9" s="1477"/>
    </row>
    <row r="10" spans="1:13" s="1473" customFormat="1" ht="15" x14ac:dyDescent="0.25">
      <c r="A10" s="3210" t="s">
        <v>273</v>
      </c>
      <c r="B10" s="3210"/>
      <c r="C10" s="3210"/>
      <c r="D10" s="1478" t="str">
        <f>General!D23</f>
        <v>NO</v>
      </c>
      <c r="E10" s="1479"/>
      <c r="F10" s="1478" t="str">
        <f>General!D23</f>
        <v>NO</v>
      </c>
      <c r="G10" s="1479"/>
      <c r="H10" s="1478" t="str">
        <f>General!D23</f>
        <v>NO</v>
      </c>
      <c r="I10" s="1479"/>
      <c r="J10" s="1478" t="str">
        <f>+H10</f>
        <v>NO</v>
      </c>
      <c r="K10" s="1479"/>
      <c r="L10" s="1478" t="str">
        <f>General!D23</f>
        <v>NO</v>
      </c>
    </row>
    <row r="11" spans="1:13" s="1473" customFormat="1" ht="13.5" thickBot="1" x14ac:dyDescent="0.25">
      <c r="A11" s="3210" t="s">
        <v>274</v>
      </c>
      <c r="B11" s="3210"/>
      <c r="C11" s="3210"/>
      <c r="D11" s="1480">
        <f>'Info Entrada'!C1</f>
        <v>42735</v>
      </c>
      <c r="E11" s="1479"/>
      <c r="F11" s="1480">
        <f>'Info Entrada'!D1</f>
        <v>43100</v>
      </c>
      <c r="G11" s="1479"/>
      <c r="H11" s="1480">
        <f>'Info Entrada'!E1</f>
        <v>43465</v>
      </c>
      <c r="I11" s="1479"/>
      <c r="J11" s="1480">
        <f>'Info Entrada'!F1</f>
        <v>43281</v>
      </c>
      <c r="K11" s="1479"/>
      <c r="L11" s="1480">
        <f>'Info Entrada'!G1</f>
        <v>43646</v>
      </c>
    </row>
    <row r="12" spans="1:13" s="1473" customFormat="1" ht="13.5" thickBot="1" x14ac:dyDescent="0.25">
      <c r="A12" s="1481"/>
      <c r="B12" s="1481"/>
      <c r="C12" s="1481"/>
      <c r="D12" s="1476"/>
      <c r="E12" s="1477"/>
      <c r="F12" s="1476"/>
      <c r="G12" s="1477"/>
      <c r="H12" s="1476"/>
      <c r="I12" s="1477"/>
      <c r="J12" s="1477"/>
      <c r="K12" s="1477"/>
    </row>
    <row r="13" spans="1:13" s="1473" customFormat="1" ht="13.5" thickBot="1" x14ac:dyDescent="0.25">
      <c r="A13" s="1481"/>
      <c r="B13" s="1481"/>
      <c r="C13" s="1481"/>
      <c r="D13" s="1482" t="s">
        <v>543</v>
      </c>
      <c r="E13" s="1483" t="s">
        <v>275</v>
      </c>
      <c r="F13" s="1482" t="s">
        <v>543</v>
      </c>
      <c r="G13" s="1483" t="s">
        <v>275</v>
      </c>
      <c r="H13" s="1482" t="s">
        <v>543</v>
      </c>
      <c r="I13" s="1483" t="s">
        <v>275</v>
      </c>
      <c r="J13" s="1482" t="s">
        <v>543</v>
      </c>
      <c r="K13" s="1483" t="s">
        <v>275</v>
      </c>
      <c r="L13" s="1482" t="s">
        <v>543</v>
      </c>
      <c r="M13" s="1483" t="s">
        <v>275</v>
      </c>
    </row>
    <row r="14" spans="1:13" ht="15.75" thickBot="1" x14ac:dyDescent="0.3">
      <c r="A14" s="3211" t="s">
        <v>276</v>
      </c>
      <c r="B14" s="3212"/>
      <c r="C14" s="3212"/>
      <c r="D14" s="3212"/>
      <c r="E14" s="3212"/>
      <c r="F14" s="3212"/>
      <c r="G14" s="3212"/>
      <c r="H14" s="3212"/>
      <c r="I14" s="3212"/>
      <c r="J14" s="3212"/>
      <c r="K14" s="3212"/>
      <c r="L14" s="3212"/>
      <c r="M14" s="3212"/>
    </row>
    <row r="15" spans="1:13" x14ac:dyDescent="0.2">
      <c r="A15" s="3213" t="str">
        <f>'Info Entrada'!B174</f>
        <v>Efectivo (Caja y Bancos)</v>
      </c>
      <c r="B15" s="3214"/>
      <c r="C15" s="3214"/>
      <c r="D15" s="1484">
        <f>'Info Entrada'!C174</f>
        <v>0</v>
      </c>
      <c r="E15" s="1485" t="e">
        <f t="shared" ref="E15:E45" si="0">+D15/$D$47</f>
        <v>#DIV/0!</v>
      </c>
      <c r="F15" s="1484">
        <f>'Info Entrada'!D174</f>
        <v>0</v>
      </c>
      <c r="G15" s="1485" t="e">
        <f t="shared" ref="G15:G45" si="1">+F15/$F$47</f>
        <v>#DIV/0!</v>
      </c>
      <c r="H15" s="1484">
        <f>'Info Entrada'!E174</f>
        <v>0</v>
      </c>
      <c r="I15" s="1485" t="e">
        <f t="shared" ref="I15:I45" si="2">+H15/$H$47</f>
        <v>#DIV/0!</v>
      </c>
      <c r="J15" s="1484">
        <f>'Info Entrada'!F174</f>
        <v>0</v>
      </c>
      <c r="K15" s="1485" t="e">
        <f t="shared" ref="K15:K45" si="3">+J15/$J$47</f>
        <v>#DIV/0!</v>
      </c>
      <c r="L15" s="1484">
        <f>'Info Entrada'!G174</f>
        <v>0</v>
      </c>
      <c r="M15" s="1485" t="e">
        <f t="shared" ref="M15:M45" si="4">+L15/$L$47</f>
        <v>#DIV/0!</v>
      </c>
    </row>
    <row r="16" spans="1:13" x14ac:dyDescent="0.2">
      <c r="A16" s="3208" t="str">
        <f>'Info Entrada'!B175</f>
        <v>Inversiones Temporales</v>
      </c>
      <c r="B16" s="3209"/>
      <c r="C16" s="3209"/>
      <c r="D16" s="1484">
        <f>'Info Entrada'!C175</f>
        <v>0</v>
      </c>
      <c r="E16" s="1486" t="e">
        <f t="shared" si="0"/>
        <v>#DIV/0!</v>
      </c>
      <c r="F16" s="1487">
        <f>'Info Entrada'!D175</f>
        <v>0</v>
      </c>
      <c r="G16" s="1486" t="e">
        <f t="shared" si="1"/>
        <v>#DIV/0!</v>
      </c>
      <c r="H16" s="1487">
        <f>'Info Entrada'!E175</f>
        <v>0</v>
      </c>
      <c r="I16" s="1486" t="e">
        <f t="shared" si="2"/>
        <v>#DIV/0!</v>
      </c>
      <c r="J16" s="1487">
        <f>'Info Entrada'!F175</f>
        <v>0</v>
      </c>
      <c r="K16" s="1486" t="e">
        <f t="shared" si="3"/>
        <v>#DIV/0!</v>
      </c>
      <c r="L16" s="1487">
        <f>'Info Entrada'!G175</f>
        <v>0</v>
      </c>
      <c r="M16" s="1486" t="e">
        <f t="shared" si="4"/>
        <v>#DIV/0!</v>
      </c>
    </row>
    <row r="17" spans="1:13" x14ac:dyDescent="0.2">
      <c r="A17" s="3208" t="str">
        <f>'Info Entrada'!B177</f>
        <v>Cuentas por Cobrar Comerciales</v>
      </c>
      <c r="B17" s="3209"/>
      <c r="C17" s="3209"/>
      <c r="D17" s="1487">
        <f>'Info Entrada'!C177</f>
        <v>0</v>
      </c>
      <c r="E17" s="1486" t="e">
        <f t="shared" si="0"/>
        <v>#DIV/0!</v>
      </c>
      <c r="F17" s="1487">
        <f>'Info Entrada'!D177</f>
        <v>0</v>
      </c>
      <c r="G17" s="1486" t="e">
        <f t="shared" si="1"/>
        <v>#DIV/0!</v>
      </c>
      <c r="H17" s="1487">
        <f>'Info Entrada'!E177</f>
        <v>0</v>
      </c>
      <c r="I17" s="1486" t="e">
        <f t="shared" si="2"/>
        <v>#DIV/0!</v>
      </c>
      <c r="J17" s="1487">
        <f>'Info Entrada'!F177</f>
        <v>0</v>
      </c>
      <c r="K17" s="1486" t="e">
        <f t="shared" si="3"/>
        <v>#DIV/0!</v>
      </c>
      <c r="L17" s="1487">
        <f>'Info Entrada'!G177</f>
        <v>0</v>
      </c>
      <c r="M17" s="1486" t="e">
        <f t="shared" si="4"/>
        <v>#DIV/0!</v>
      </c>
    </row>
    <row r="18" spans="1:13" x14ac:dyDescent="0.2">
      <c r="A18" s="3208" t="str">
        <f>'Info Entrada'!B178</f>
        <v>Cuentas por Cobrar a Grupo (Comerciales)</v>
      </c>
      <c r="B18" s="3209"/>
      <c r="C18" s="3209"/>
      <c r="D18" s="1487">
        <f>'Info Entrada'!C178</f>
        <v>0</v>
      </c>
      <c r="E18" s="1486" t="e">
        <f t="shared" si="0"/>
        <v>#DIV/0!</v>
      </c>
      <c r="F18" s="1487">
        <f>'Info Entrada'!D178</f>
        <v>0</v>
      </c>
      <c r="G18" s="1486" t="e">
        <f t="shared" si="1"/>
        <v>#DIV/0!</v>
      </c>
      <c r="H18" s="1487">
        <f>'Info Entrada'!E178</f>
        <v>0</v>
      </c>
      <c r="I18" s="1486" t="e">
        <f t="shared" si="2"/>
        <v>#DIV/0!</v>
      </c>
      <c r="J18" s="1487">
        <f>'Info Entrada'!F178</f>
        <v>0</v>
      </c>
      <c r="K18" s="1486" t="e">
        <f t="shared" si="3"/>
        <v>#DIV/0!</v>
      </c>
      <c r="L18" s="1487">
        <f>'Info Entrada'!G178</f>
        <v>0</v>
      </c>
      <c r="M18" s="1486" t="e">
        <f t="shared" si="4"/>
        <v>#DIV/0!</v>
      </c>
    </row>
    <row r="19" spans="1:13" x14ac:dyDescent="0.2">
      <c r="A19" s="3208" t="str">
        <f>'Info Entrada'!B179</f>
        <v>Provisión Cartera</v>
      </c>
      <c r="B19" s="3209"/>
      <c r="C19" s="3209"/>
      <c r="D19" s="1487">
        <f>'Info Entrada'!C179</f>
        <v>0</v>
      </c>
      <c r="E19" s="1486" t="e">
        <f t="shared" si="0"/>
        <v>#DIV/0!</v>
      </c>
      <c r="F19" s="1487">
        <f>'Info Entrada'!D179</f>
        <v>0</v>
      </c>
      <c r="G19" s="1486" t="e">
        <f t="shared" si="1"/>
        <v>#DIV/0!</v>
      </c>
      <c r="H19" s="1487">
        <f>'Info Entrada'!E179</f>
        <v>0</v>
      </c>
      <c r="I19" s="1486" t="e">
        <f t="shared" si="2"/>
        <v>#DIV/0!</v>
      </c>
      <c r="J19" s="1487">
        <f>'Info Entrada'!F179</f>
        <v>0</v>
      </c>
      <c r="K19" s="1486" t="e">
        <f t="shared" si="3"/>
        <v>#DIV/0!</v>
      </c>
      <c r="L19" s="1487">
        <f>'Info Entrada'!G179</f>
        <v>0</v>
      </c>
      <c r="M19" s="1486" t="e">
        <f t="shared" si="4"/>
        <v>#DIV/0!</v>
      </c>
    </row>
    <row r="20" spans="1:13" x14ac:dyDescent="0.2">
      <c r="A20" s="3215"/>
      <c r="B20" s="3216"/>
      <c r="C20" s="3216"/>
      <c r="D20" s="1488"/>
      <c r="E20" s="1489" t="e">
        <f t="shared" si="0"/>
        <v>#DIV/0!</v>
      </c>
      <c r="F20" s="1488"/>
      <c r="G20" s="1489" t="e">
        <f t="shared" si="1"/>
        <v>#DIV/0!</v>
      </c>
      <c r="H20" s="1488"/>
      <c r="I20" s="1489" t="e">
        <f t="shared" si="2"/>
        <v>#DIV/0!</v>
      </c>
      <c r="J20" s="1488"/>
      <c r="K20" s="1489" t="e">
        <f t="shared" si="3"/>
        <v>#DIV/0!</v>
      </c>
      <c r="L20" s="1488"/>
      <c r="M20" s="1489" t="e">
        <f t="shared" si="4"/>
        <v>#DIV/0!</v>
      </c>
    </row>
    <row r="21" spans="1:13" s="1473" customFormat="1" x14ac:dyDescent="0.2">
      <c r="A21" s="3217" t="str">
        <f>'Info Entrada'!B180</f>
        <v>Clientes y Cuentas por Cobrar (Neto)</v>
      </c>
      <c r="B21" s="3218"/>
      <c r="C21" s="3218"/>
      <c r="D21" s="1490">
        <f>(D17+D18-D19)</f>
        <v>0</v>
      </c>
      <c r="E21" s="1491" t="e">
        <f t="shared" si="0"/>
        <v>#DIV/0!</v>
      </c>
      <c r="F21" s="1490">
        <f>(F17+F18-F19)</f>
        <v>0</v>
      </c>
      <c r="G21" s="1491" t="e">
        <f t="shared" si="1"/>
        <v>#DIV/0!</v>
      </c>
      <c r="H21" s="1490">
        <f>(H17+H18-H19)</f>
        <v>0</v>
      </c>
      <c r="I21" s="1491" t="e">
        <f t="shared" si="2"/>
        <v>#DIV/0!</v>
      </c>
      <c r="J21" s="1490">
        <f>(J17+J18-J19)</f>
        <v>0</v>
      </c>
      <c r="K21" s="1491" t="e">
        <f t="shared" si="3"/>
        <v>#DIV/0!</v>
      </c>
      <c r="L21" s="1490">
        <f>(L17+L18-L19)</f>
        <v>0</v>
      </c>
      <c r="M21" s="1491" t="e">
        <f t="shared" si="4"/>
        <v>#DIV/0!</v>
      </c>
    </row>
    <row r="22" spans="1:13" x14ac:dyDescent="0.2">
      <c r="A22" s="3208" t="str">
        <f>'Info Entrada'!B182</f>
        <v>Materia Prima</v>
      </c>
      <c r="B22" s="3209"/>
      <c r="C22" s="3209"/>
      <c r="D22" s="1487">
        <f>'Info Entrada'!C182</f>
        <v>0</v>
      </c>
      <c r="E22" s="1486" t="e">
        <f t="shared" si="0"/>
        <v>#DIV/0!</v>
      </c>
      <c r="F22" s="1487">
        <f>'Info Entrada'!D182</f>
        <v>0</v>
      </c>
      <c r="G22" s="1486" t="e">
        <f t="shared" si="1"/>
        <v>#DIV/0!</v>
      </c>
      <c r="H22" s="1487">
        <f>'Info Entrada'!E182</f>
        <v>0</v>
      </c>
      <c r="I22" s="1486" t="e">
        <f t="shared" si="2"/>
        <v>#DIV/0!</v>
      </c>
      <c r="J22" s="1487">
        <f>'Info Entrada'!F182</f>
        <v>0</v>
      </c>
      <c r="K22" s="1486" t="e">
        <f t="shared" si="3"/>
        <v>#DIV/0!</v>
      </c>
      <c r="L22" s="1487">
        <f>'Info Entrada'!G182</f>
        <v>0</v>
      </c>
      <c r="M22" s="1486" t="e">
        <f t="shared" si="4"/>
        <v>#DIV/0!</v>
      </c>
    </row>
    <row r="23" spans="1:13" x14ac:dyDescent="0.2">
      <c r="A23" s="3208" t="str">
        <f>'Info Entrada'!B183</f>
        <v>Producción En Proceso</v>
      </c>
      <c r="B23" s="3209"/>
      <c r="C23" s="3209"/>
      <c r="D23" s="1487">
        <f>'Info Entrada'!C183</f>
        <v>0</v>
      </c>
      <c r="E23" s="1486" t="e">
        <f t="shared" si="0"/>
        <v>#DIV/0!</v>
      </c>
      <c r="F23" s="1487">
        <f>'Info Entrada'!D183</f>
        <v>0</v>
      </c>
      <c r="G23" s="1486" t="e">
        <f t="shared" si="1"/>
        <v>#DIV/0!</v>
      </c>
      <c r="H23" s="1487">
        <f>'Info Entrada'!E183</f>
        <v>0</v>
      </c>
      <c r="I23" s="1486" t="e">
        <f t="shared" si="2"/>
        <v>#DIV/0!</v>
      </c>
      <c r="J23" s="1487">
        <f>'Info Entrada'!F183</f>
        <v>0</v>
      </c>
      <c r="K23" s="1486" t="e">
        <f t="shared" si="3"/>
        <v>#DIV/0!</v>
      </c>
      <c r="L23" s="1487">
        <f>'Info Entrada'!G183</f>
        <v>0</v>
      </c>
      <c r="M23" s="1486" t="e">
        <f t="shared" si="4"/>
        <v>#DIV/0!</v>
      </c>
    </row>
    <row r="24" spans="1:13" x14ac:dyDescent="0.2">
      <c r="A24" s="3208" t="str">
        <f>'Info Entrada'!B184</f>
        <v>Producto Terminado y Otros Inventarios</v>
      </c>
      <c r="B24" s="3209"/>
      <c r="C24" s="3209"/>
      <c r="D24" s="1487">
        <f>'Info Entrada'!C184</f>
        <v>0</v>
      </c>
      <c r="E24" s="1486" t="e">
        <f t="shared" si="0"/>
        <v>#DIV/0!</v>
      </c>
      <c r="F24" s="1487">
        <f>'Info Entrada'!D184</f>
        <v>0</v>
      </c>
      <c r="G24" s="1486" t="e">
        <f t="shared" si="1"/>
        <v>#DIV/0!</v>
      </c>
      <c r="H24" s="1487">
        <f>'Info Entrada'!E184</f>
        <v>0</v>
      </c>
      <c r="I24" s="1486" t="e">
        <f t="shared" si="2"/>
        <v>#DIV/0!</v>
      </c>
      <c r="J24" s="1487">
        <f>'Info Entrada'!F184</f>
        <v>0</v>
      </c>
      <c r="K24" s="1486" t="e">
        <f t="shared" si="3"/>
        <v>#DIV/0!</v>
      </c>
      <c r="L24" s="1487">
        <f>'Info Entrada'!G184</f>
        <v>0</v>
      </c>
      <c r="M24" s="1486" t="e">
        <f t="shared" si="4"/>
        <v>#DIV/0!</v>
      </c>
    </row>
    <row r="25" spans="1:13" s="1473" customFormat="1" x14ac:dyDescent="0.2">
      <c r="A25" s="3217" t="str">
        <f>'Info Entrada'!B185</f>
        <v>Inventarios Neto</v>
      </c>
      <c r="B25" s="3218"/>
      <c r="C25" s="3218"/>
      <c r="D25" s="1490">
        <f>SUM(D22:D24)</f>
        <v>0</v>
      </c>
      <c r="E25" s="1491" t="e">
        <f t="shared" si="0"/>
        <v>#DIV/0!</v>
      </c>
      <c r="F25" s="1490">
        <f>SUM(F22:F24)</f>
        <v>0</v>
      </c>
      <c r="G25" s="1491" t="e">
        <f t="shared" si="1"/>
        <v>#DIV/0!</v>
      </c>
      <c r="H25" s="1490">
        <f>SUM(H22:H24)</f>
        <v>0</v>
      </c>
      <c r="I25" s="1491" t="e">
        <f t="shared" si="2"/>
        <v>#DIV/0!</v>
      </c>
      <c r="J25" s="1490">
        <f>SUM(J22:J24)</f>
        <v>0</v>
      </c>
      <c r="K25" s="1491" t="e">
        <f t="shared" si="3"/>
        <v>#DIV/0!</v>
      </c>
      <c r="L25" s="1490">
        <f>SUM(L22:L24)</f>
        <v>0</v>
      </c>
      <c r="M25" s="1491" t="e">
        <f t="shared" si="4"/>
        <v>#DIV/0!</v>
      </c>
    </row>
    <row r="26" spans="1:13" x14ac:dyDescent="0.2">
      <c r="A26" s="3219" t="str">
        <f>'Info Entrada'!B187</f>
        <v>Otras Cuentas (Deudores Varios)</v>
      </c>
      <c r="B26" s="3209"/>
      <c r="C26" s="3209"/>
      <c r="D26" s="1487">
        <f>'Info Entrada'!C187</f>
        <v>0</v>
      </c>
      <c r="E26" s="1486" t="e">
        <f t="shared" si="0"/>
        <v>#DIV/0!</v>
      </c>
      <c r="F26" s="1487">
        <f>'Info Entrada'!D187</f>
        <v>0</v>
      </c>
      <c r="G26" s="1486" t="e">
        <f t="shared" si="1"/>
        <v>#DIV/0!</v>
      </c>
      <c r="H26" s="1487">
        <f>'Info Entrada'!E187</f>
        <v>0</v>
      </c>
      <c r="I26" s="1486" t="e">
        <f t="shared" si="2"/>
        <v>#DIV/0!</v>
      </c>
      <c r="J26" s="1487">
        <f>'Info Entrada'!F187</f>
        <v>0</v>
      </c>
      <c r="K26" s="1486" t="e">
        <f t="shared" si="3"/>
        <v>#DIV/0!</v>
      </c>
      <c r="L26" s="1487">
        <f>'Info Entrada'!G187</f>
        <v>0</v>
      </c>
      <c r="M26" s="1486" t="e">
        <f t="shared" si="4"/>
        <v>#DIV/0!</v>
      </c>
    </row>
    <row r="27" spans="1:13" ht="12.75" customHeight="1" x14ac:dyDescent="0.2">
      <c r="A27" s="3208" t="str">
        <f>'Info Entrada'!B188</f>
        <v>Anticipos y Avances</v>
      </c>
      <c r="B27" s="3209"/>
      <c r="C27" s="3209"/>
      <c r="D27" s="1487">
        <f>'Info Entrada'!C188</f>
        <v>0</v>
      </c>
      <c r="E27" s="1486" t="e">
        <f t="shared" si="0"/>
        <v>#DIV/0!</v>
      </c>
      <c r="F27" s="1487">
        <f>'Info Entrada'!D188</f>
        <v>0</v>
      </c>
      <c r="G27" s="1486" t="e">
        <f t="shared" si="1"/>
        <v>#DIV/0!</v>
      </c>
      <c r="H27" s="1487">
        <f>'Info Entrada'!E188</f>
        <v>0</v>
      </c>
      <c r="I27" s="1486" t="e">
        <f t="shared" si="2"/>
        <v>#DIV/0!</v>
      </c>
      <c r="J27" s="1487">
        <f>'Info Entrada'!F188</f>
        <v>0</v>
      </c>
      <c r="K27" s="1486" t="e">
        <f t="shared" si="3"/>
        <v>#DIV/0!</v>
      </c>
      <c r="L27" s="1487">
        <f>'Info Entrada'!G188</f>
        <v>0</v>
      </c>
      <c r="M27" s="1486" t="e">
        <f t="shared" si="4"/>
        <v>#DIV/0!</v>
      </c>
    </row>
    <row r="28" spans="1:13" x14ac:dyDescent="0.2">
      <c r="A28" s="3208" t="str">
        <f>'Info Entrada'!B189</f>
        <v>Anticipos de Impuestos y Contribuciones</v>
      </c>
      <c r="B28" s="3209"/>
      <c r="C28" s="3209"/>
      <c r="D28" s="1487">
        <f>'Info Entrada'!C189</f>
        <v>0</v>
      </c>
      <c r="E28" s="1486" t="e">
        <f t="shared" si="0"/>
        <v>#DIV/0!</v>
      </c>
      <c r="F28" s="1487">
        <f>'Info Entrada'!D189</f>
        <v>0</v>
      </c>
      <c r="G28" s="1486" t="e">
        <f t="shared" si="1"/>
        <v>#DIV/0!</v>
      </c>
      <c r="H28" s="1487">
        <f>'Info Entrada'!E189</f>
        <v>0</v>
      </c>
      <c r="I28" s="1486" t="e">
        <f t="shared" si="2"/>
        <v>#DIV/0!</v>
      </c>
      <c r="J28" s="1487">
        <f>'Info Entrada'!F189</f>
        <v>0</v>
      </c>
      <c r="K28" s="1486" t="e">
        <f t="shared" si="3"/>
        <v>#DIV/0!</v>
      </c>
      <c r="L28" s="1487">
        <f>'Info Entrada'!G189</f>
        <v>0</v>
      </c>
      <c r="M28" s="1486" t="e">
        <f t="shared" si="4"/>
        <v>#DIV/0!</v>
      </c>
    </row>
    <row r="29" spans="1:13" x14ac:dyDescent="0.2">
      <c r="A29" s="3208" t="str">
        <f>'Info Entrada'!B190</f>
        <v>Otros Activos Circulantes</v>
      </c>
      <c r="B29" s="3209"/>
      <c r="C29" s="3209"/>
      <c r="D29" s="1487">
        <f>'Info Entrada'!C190</f>
        <v>0</v>
      </c>
      <c r="E29" s="1486" t="e">
        <f t="shared" si="0"/>
        <v>#DIV/0!</v>
      </c>
      <c r="F29" s="1487">
        <f>'Info Entrada'!D190</f>
        <v>0</v>
      </c>
      <c r="G29" s="1486" t="e">
        <f t="shared" si="1"/>
        <v>#DIV/0!</v>
      </c>
      <c r="H29" s="1487">
        <f>'Info Entrada'!E190</f>
        <v>0</v>
      </c>
      <c r="I29" s="1486" t="e">
        <f t="shared" si="2"/>
        <v>#DIV/0!</v>
      </c>
      <c r="J29" s="1487">
        <f>'Info Entrada'!F190</f>
        <v>0</v>
      </c>
      <c r="K29" s="1486" t="e">
        <f t="shared" si="3"/>
        <v>#DIV/0!</v>
      </c>
      <c r="L29" s="1487">
        <f>'Info Entrada'!G190</f>
        <v>0</v>
      </c>
      <c r="M29" s="1486" t="e">
        <f t="shared" si="4"/>
        <v>#DIV/0!</v>
      </c>
    </row>
    <row r="30" spans="1:13" ht="12.75" customHeight="1" x14ac:dyDescent="0.2">
      <c r="A30" s="3208" t="str">
        <f>'Info Entrada'!B191</f>
        <v>Gastos Pagados por Anticipado</v>
      </c>
      <c r="B30" s="3209"/>
      <c r="C30" s="3209"/>
      <c r="D30" s="1487">
        <f>'Info Entrada'!C191</f>
        <v>0</v>
      </c>
      <c r="E30" s="1486" t="e">
        <f t="shared" si="0"/>
        <v>#DIV/0!</v>
      </c>
      <c r="F30" s="1487">
        <f>'Info Entrada'!D191</f>
        <v>0</v>
      </c>
      <c r="G30" s="1486" t="e">
        <f t="shared" si="1"/>
        <v>#DIV/0!</v>
      </c>
      <c r="H30" s="1487">
        <f>'Info Entrada'!E191</f>
        <v>0</v>
      </c>
      <c r="I30" s="1486" t="e">
        <f t="shared" si="2"/>
        <v>#DIV/0!</v>
      </c>
      <c r="J30" s="1487">
        <f>'Info Entrada'!F191</f>
        <v>0</v>
      </c>
      <c r="K30" s="1486" t="e">
        <f t="shared" si="3"/>
        <v>#DIV/0!</v>
      </c>
      <c r="L30" s="1487">
        <f>'Info Entrada'!G191</f>
        <v>0</v>
      </c>
      <c r="M30" s="1486" t="e">
        <f t="shared" si="4"/>
        <v>#DIV/0!</v>
      </c>
    </row>
    <row r="31" spans="1:13" ht="13.5" customHeight="1" thickBot="1" x14ac:dyDescent="0.25">
      <c r="A31" s="3220" t="str">
        <f>'Info Entrada'!B192</f>
        <v>Cuentas por Cobrar a Grupo (Financieras)</v>
      </c>
      <c r="B31" s="3221"/>
      <c r="C31" s="3221"/>
      <c r="D31" s="1492">
        <f>'Info Entrada'!C192</f>
        <v>0</v>
      </c>
      <c r="E31" s="1493" t="e">
        <f t="shared" si="0"/>
        <v>#DIV/0!</v>
      </c>
      <c r="F31" s="1492">
        <f>'Info Entrada'!D192</f>
        <v>0</v>
      </c>
      <c r="G31" s="1493" t="e">
        <f t="shared" si="1"/>
        <v>#DIV/0!</v>
      </c>
      <c r="H31" s="1492">
        <f>'Info Entrada'!E192</f>
        <v>0</v>
      </c>
      <c r="I31" s="1493" t="e">
        <f t="shared" si="2"/>
        <v>#DIV/0!</v>
      </c>
      <c r="J31" s="1492">
        <f>'Info Entrada'!F192</f>
        <v>0</v>
      </c>
      <c r="K31" s="1493" t="e">
        <f t="shared" si="3"/>
        <v>#DIV/0!</v>
      </c>
      <c r="L31" s="1492">
        <f>'Info Entrada'!G192</f>
        <v>0</v>
      </c>
      <c r="M31" s="1493" t="e">
        <f t="shared" si="4"/>
        <v>#DIV/0!</v>
      </c>
    </row>
    <row r="32" spans="1:13" ht="13.5" thickBot="1" x14ac:dyDescent="0.25">
      <c r="A32" s="3222" t="str">
        <f>'Info Entrada'!B193</f>
        <v>ACTIVO CIRCULANTE</v>
      </c>
      <c r="B32" s="3223"/>
      <c r="C32" s="3224"/>
      <c r="D32" s="1494">
        <f>(D15+D16+D21+D25+SUM(D26:D31))</f>
        <v>0</v>
      </c>
      <c r="E32" s="1495" t="e">
        <f t="shared" si="0"/>
        <v>#DIV/0!</v>
      </c>
      <c r="F32" s="1494">
        <f>(F15+F16+F21+F25+SUM(F26:F31))</f>
        <v>0</v>
      </c>
      <c r="G32" s="1495" t="e">
        <f t="shared" si="1"/>
        <v>#DIV/0!</v>
      </c>
      <c r="H32" s="1494">
        <f>(H15+H16+H21+H25+SUM(H26:H31))</f>
        <v>0</v>
      </c>
      <c r="I32" s="1495" t="e">
        <f t="shared" si="2"/>
        <v>#DIV/0!</v>
      </c>
      <c r="J32" s="1494">
        <f>(J15+J16+J21+J25+SUM(J26:J31))</f>
        <v>0</v>
      </c>
      <c r="K32" s="1495" t="e">
        <f t="shared" si="3"/>
        <v>#DIV/0!</v>
      </c>
      <c r="L32" s="1494">
        <f>(L15+L16+L21+L25+SUM(L26:L31))</f>
        <v>0</v>
      </c>
      <c r="M32" s="1495" t="e">
        <f t="shared" si="4"/>
        <v>#DIV/0!</v>
      </c>
    </row>
    <row r="33" spans="1:16" x14ac:dyDescent="0.2">
      <c r="A33" s="3225" t="str">
        <f>'Info Entrada'!B194</f>
        <v>Bienes Raíces y Otras Construcciones</v>
      </c>
      <c r="B33" s="3226"/>
      <c r="C33" s="3226"/>
      <c r="D33" s="1496">
        <f>'Info Entrada'!C194</f>
        <v>0</v>
      </c>
      <c r="E33" s="1497" t="e">
        <f t="shared" si="0"/>
        <v>#DIV/0!</v>
      </c>
      <c r="F33" s="1496">
        <f>'Info Entrada'!D194</f>
        <v>0</v>
      </c>
      <c r="G33" s="1497" t="e">
        <f t="shared" si="1"/>
        <v>#DIV/0!</v>
      </c>
      <c r="H33" s="1496">
        <f>'Info Entrada'!E194</f>
        <v>0</v>
      </c>
      <c r="I33" s="1497" t="e">
        <f t="shared" si="2"/>
        <v>#DIV/0!</v>
      </c>
      <c r="J33" s="1496">
        <f>'Info Entrada'!F194</f>
        <v>0</v>
      </c>
      <c r="K33" s="1497" t="e">
        <f t="shared" si="3"/>
        <v>#DIV/0!</v>
      </c>
      <c r="L33" s="1496">
        <f>'Info Entrada'!G194</f>
        <v>0</v>
      </c>
      <c r="M33" s="1497" t="e">
        <f t="shared" si="4"/>
        <v>#DIV/0!</v>
      </c>
      <c r="N33" s="1498"/>
      <c r="O33" s="1498"/>
      <c r="P33" s="1498"/>
    </row>
    <row r="34" spans="1:16" ht="12.75" customHeight="1" x14ac:dyDescent="0.2">
      <c r="A34" s="3208" t="str">
        <f>'Info Entrada'!B195</f>
        <v>Maquinaria y Equipo</v>
      </c>
      <c r="B34" s="3209"/>
      <c r="C34" s="3209"/>
      <c r="D34" s="1487">
        <f>'Info Entrada'!C195</f>
        <v>0</v>
      </c>
      <c r="E34" s="1486" t="e">
        <f t="shared" si="0"/>
        <v>#DIV/0!</v>
      </c>
      <c r="F34" s="1487">
        <f>'Info Entrada'!D195</f>
        <v>0</v>
      </c>
      <c r="G34" s="1486" t="e">
        <f t="shared" si="1"/>
        <v>#DIV/0!</v>
      </c>
      <c r="H34" s="1487">
        <f>'Info Entrada'!E195</f>
        <v>0</v>
      </c>
      <c r="I34" s="1486" t="e">
        <f t="shared" si="2"/>
        <v>#DIV/0!</v>
      </c>
      <c r="J34" s="1487">
        <f>'Info Entrada'!F195</f>
        <v>0</v>
      </c>
      <c r="K34" s="1486" t="e">
        <f t="shared" si="3"/>
        <v>#DIV/0!</v>
      </c>
      <c r="L34" s="1487">
        <f>'Info Entrada'!G195</f>
        <v>0</v>
      </c>
      <c r="M34" s="1486" t="e">
        <f t="shared" si="4"/>
        <v>#DIV/0!</v>
      </c>
      <c r="N34" s="1498"/>
      <c r="O34" s="1498"/>
      <c r="P34" s="1498"/>
    </row>
    <row r="35" spans="1:16" ht="12.75" customHeight="1" x14ac:dyDescent="0.2">
      <c r="A35" s="3208" t="str">
        <f>'Info Entrada'!B196</f>
        <v>Otros Fijos</v>
      </c>
      <c r="B35" s="3209"/>
      <c r="C35" s="3209"/>
      <c r="D35" s="1487">
        <f>'Info Entrada'!C196+'Info Entrada'!C197</f>
        <v>0</v>
      </c>
      <c r="E35" s="1486" t="e">
        <f t="shared" si="0"/>
        <v>#DIV/0!</v>
      </c>
      <c r="F35" s="1487">
        <f>'Info Entrada'!D196+'Info Entrada'!D197</f>
        <v>0</v>
      </c>
      <c r="G35" s="1486" t="e">
        <f t="shared" si="1"/>
        <v>#DIV/0!</v>
      </c>
      <c r="H35" s="1487">
        <f>'Info Entrada'!E196+'Info Entrada'!E197</f>
        <v>0</v>
      </c>
      <c r="I35" s="1486" t="e">
        <f t="shared" si="2"/>
        <v>#DIV/0!</v>
      </c>
      <c r="J35" s="1487">
        <f>'Info Entrada'!F196+'Info Entrada'!F197</f>
        <v>0</v>
      </c>
      <c r="K35" s="1486" t="e">
        <f t="shared" si="3"/>
        <v>#DIV/0!</v>
      </c>
      <c r="L35" s="1487">
        <f>'Info Entrada'!G196+'Info Entrada'!G197</f>
        <v>0</v>
      </c>
      <c r="M35" s="1486" t="e">
        <f t="shared" si="4"/>
        <v>#DIV/0!</v>
      </c>
      <c r="N35" s="1498"/>
    </row>
    <row r="36" spans="1:16" ht="13.5" customHeight="1" thickBot="1" x14ac:dyDescent="0.25">
      <c r="A36" s="3220" t="str">
        <f>'Info Entrada'!B198</f>
        <v>Depreciación Acumulada</v>
      </c>
      <c r="B36" s="3221"/>
      <c r="C36" s="3221"/>
      <c r="D36" s="1492">
        <f>'Info Entrada'!C198+'Info Entrada'!C199</f>
        <v>0</v>
      </c>
      <c r="E36" s="1493" t="e">
        <f t="shared" si="0"/>
        <v>#DIV/0!</v>
      </c>
      <c r="F36" s="1492">
        <f>'Info Entrada'!D198+'Info Entrada'!D199</f>
        <v>0</v>
      </c>
      <c r="G36" s="1493" t="e">
        <f t="shared" si="1"/>
        <v>#DIV/0!</v>
      </c>
      <c r="H36" s="1492">
        <f>'Info Entrada'!E198+'Info Entrada'!E199</f>
        <v>0</v>
      </c>
      <c r="I36" s="1493" t="e">
        <f t="shared" si="2"/>
        <v>#DIV/0!</v>
      </c>
      <c r="J36" s="1492">
        <f>'Info Entrada'!F198+'Info Entrada'!F199</f>
        <v>0</v>
      </c>
      <c r="K36" s="1493" t="e">
        <f t="shared" si="3"/>
        <v>#DIV/0!</v>
      </c>
      <c r="L36" s="1492">
        <f>'Info Entrada'!G198+'Info Entrada'!G199</f>
        <v>0</v>
      </c>
      <c r="M36" s="1493" t="e">
        <f t="shared" si="4"/>
        <v>#DIV/0!</v>
      </c>
    </row>
    <row r="37" spans="1:16" ht="13.5" thickBot="1" x14ac:dyDescent="0.25">
      <c r="A37" s="3222" t="str">
        <f>'Info Entrada'!B200</f>
        <v>ACTIVO FIJO (NETO)</v>
      </c>
      <c r="B37" s="3223"/>
      <c r="C37" s="3224"/>
      <c r="D37" s="1494">
        <f>SUM(D33:D35)-SUM(D36:D36)</f>
        <v>0</v>
      </c>
      <c r="E37" s="1495" t="e">
        <f t="shared" si="0"/>
        <v>#DIV/0!</v>
      </c>
      <c r="F37" s="1494">
        <f>SUM(F33:F35)-SUM(F36:F36)</f>
        <v>0</v>
      </c>
      <c r="G37" s="1495" t="e">
        <f t="shared" si="1"/>
        <v>#DIV/0!</v>
      </c>
      <c r="H37" s="1494">
        <f>SUM(H33:H35)-SUM(H36:H36)</f>
        <v>0</v>
      </c>
      <c r="I37" s="1495" t="e">
        <f t="shared" si="2"/>
        <v>#DIV/0!</v>
      </c>
      <c r="J37" s="1494">
        <f>SUM(J33:J35)-SUM(J36:J36)</f>
        <v>0</v>
      </c>
      <c r="K37" s="1495" t="e">
        <f t="shared" si="3"/>
        <v>#DIV/0!</v>
      </c>
      <c r="L37" s="1494">
        <f>SUM(L33:L35)-SUM(L36:L36)</f>
        <v>0</v>
      </c>
      <c r="M37" s="1495" t="e">
        <f t="shared" si="4"/>
        <v>#DIV/0!</v>
      </c>
    </row>
    <row r="38" spans="1:16" x14ac:dyDescent="0.2">
      <c r="A38" s="3225" t="str">
        <f>CONCATENATE('Info Entrada'!B202,'Info Entrada'!B413,'Info Entrada'!B201)</f>
        <v>Otros Activos L/P e Intangibles</v>
      </c>
      <c r="B38" s="3226"/>
      <c r="C38" s="3226"/>
      <c r="D38" s="1496">
        <f>'Info Entrada'!C201+'Info Entrada'!C202</f>
        <v>0</v>
      </c>
      <c r="E38" s="1497" t="e">
        <f t="shared" si="0"/>
        <v>#DIV/0!</v>
      </c>
      <c r="F38" s="1496">
        <f>'Info Entrada'!D201+'Info Entrada'!D202</f>
        <v>0</v>
      </c>
      <c r="G38" s="1497" t="e">
        <f t="shared" si="1"/>
        <v>#DIV/0!</v>
      </c>
      <c r="H38" s="1496">
        <f>'Info Entrada'!E201+'Info Entrada'!E202</f>
        <v>0</v>
      </c>
      <c r="I38" s="1497" t="e">
        <f t="shared" si="2"/>
        <v>#DIV/0!</v>
      </c>
      <c r="J38" s="1496">
        <f>'Info Entrada'!F201+'Info Entrada'!F202</f>
        <v>0</v>
      </c>
      <c r="K38" s="1497" t="e">
        <f t="shared" si="3"/>
        <v>#DIV/0!</v>
      </c>
      <c r="L38" s="1496">
        <f>'Info Entrada'!G201+'Info Entrada'!G202</f>
        <v>0</v>
      </c>
      <c r="M38" s="1497" t="e">
        <f t="shared" si="4"/>
        <v>#DIV/0!</v>
      </c>
    </row>
    <row r="39" spans="1:16" x14ac:dyDescent="0.2">
      <c r="A39" s="3208" t="str">
        <f>'Info Entrada'!B203</f>
        <v>Gastos Pagados por Anticipado y Diferidos</v>
      </c>
      <c r="B39" s="3209"/>
      <c r="C39" s="3209"/>
      <c r="D39" s="1487">
        <f>'Info Entrada'!C203</f>
        <v>0</v>
      </c>
      <c r="E39" s="1486" t="e">
        <f t="shared" si="0"/>
        <v>#DIV/0!</v>
      </c>
      <c r="F39" s="1487">
        <f>'Info Entrada'!D203</f>
        <v>0</v>
      </c>
      <c r="G39" s="1486" t="e">
        <f t="shared" si="1"/>
        <v>#DIV/0!</v>
      </c>
      <c r="H39" s="1487">
        <f>'Info Entrada'!E203</f>
        <v>0</v>
      </c>
      <c r="I39" s="1486" t="e">
        <f t="shared" si="2"/>
        <v>#DIV/0!</v>
      </c>
      <c r="J39" s="1487">
        <f>'Info Entrada'!F203</f>
        <v>0</v>
      </c>
      <c r="K39" s="1486" t="e">
        <f t="shared" si="3"/>
        <v>#DIV/0!</v>
      </c>
      <c r="L39" s="1487">
        <f>'Info Entrada'!G203</f>
        <v>0</v>
      </c>
      <c r="M39" s="1486" t="e">
        <f t="shared" si="4"/>
        <v>#DIV/0!</v>
      </c>
    </row>
    <row r="40" spans="1:16" x14ac:dyDescent="0.2">
      <c r="A40" s="3208" t="str">
        <f>'Info Entrada'!B204</f>
        <v>Inversiones Permanentes</v>
      </c>
      <c r="B40" s="3209"/>
      <c r="C40" s="3209"/>
      <c r="D40" s="1499">
        <f>'Info Entrada'!C204</f>
        <v>0</v>
      </c>
      <c r="E40" s="1486" t="e">
        <f t="shared" si="0"/>
        <v>#DIV/0!</v>
      </c>
      <c r="F40" s="1487">
        <f>'Info Entrada'!D204</f>
        <v>0</v>
      </c>
      <c r="G40" s="1486" t="e">
        <f t="shared" si="1"/>
        <v>#DIV/0!</v>
      </c>
      <c r="H40" s="1487">
        <f>'Info Entrada'!E204</f>
        <v>0</v>
      </c>
      <c r="I40" s="1486" t="e">
        <f t="shared" si="2"/>
        <v>#DIV/0!</v>
      </c>
      <c r="J40" s="1487">
        <f>'Info Entrada'!F204</f>
        <v>0</v>
      </c>
      <c r="K40" s="1486" t="e">
        <f t="shared" si="3"/>
        <v>#DIV/0!</v>
      </c>
      <c r="L40" s="1487">
        <f>'Info Entrada'!G204</f>
        <v>0</v>
      </c>
      <c r="M40" s="1486" t="e">
        <f t="shared" si="4"/>
        <v>#DIV/0!</v>
      </c>
    </row>
    <row r="41" spans="1:16" x14ac:dyDescent="0.2">
      <c r="A41" s="3208" t="str">
        <f>'Info Entrada'!B205</f>
        <v>Préstamos L/P Grupo</v>
      </c>
      <c r="B41" s="3209"/>
      <c r="C41" s="3209"/>
      <c r="D41" s="1487">
        <f>'Info Entrada'!C205</f>
        <v>0</v>
      </c>
      <c r="E41" s="1486" t="e">
        <f t="shared" si="0"/>
        <v>#DIV/0!</v>
      </c>
      <c r="F41" s="1487">
        <f>'Info Entrada'!D205</f>
        <v>0</v>
      </c>
      <c r="G41" s="1486" t="e">
        <f t="shared" si="1"/>
        <v>#DIV/0!</v>
      </c>
      <c r="H41" s="1487">
        <f>'Info Entrada'!E205</f>
        <v>0</v>
      </c>
      <c r="I41" s="1486" t="e">
        <f t="shared" si="2"/>
        <v>#DIV/0!</v>
      </c>
      <c r="J41" s="1487">
        <f>'Info Entrada'!F205</f>
        <v>0</v>
      </c>
      <c r="K41" s="1486" t="e">
        <f t="shared" si="3"/>
        <v>#DIV/0!</v>
      </c>
      <c r="L41" s="1487">
        <f>'Info Entrada'!G205</f>
        <v>0</v>
      </c>
      <c r="M41" s="1486" t="e">
        <f t="shared" si="4"/>
        <v>#DIV/0!</v>
      </c>
    </row>
    <row r="42" spans="1:16" x14ac:dyDescent="0.2">
      <c r="A42" s="3208" t="str">
        <f>'Info Entrada'!B206</f>
        <v>Deudores Largo Plazo</v>
      </c>
      <c r="B42" s="3209"/>
      <c r="C42" s="3209"/>
      <c r="D42" s="1487">
        <f>'Info Entrada'!C206+'Info Entrada'!C207</f>
        <v>0</v>
      </c>
      <c r="E42" s="1486" t="e">
        <f t="shared" si="0"/>
        <v>#DIV/0!</v>
      </c>
      <c r="F42" s="1487">
        <f>'Info Entrada'!D206+'Info Entrada'!D207</f>
        <v>0</v>
      </c>
      <c r="G42" s="1486" t="e">
        <f t="shared" si="1"/>
        <v>#DIV/0!</v>
      </c>
      <c r="H42" s="1487">
        <f>'Info Entrada'!E206+'Info Entrada'!E207</f>
        <v>0</v>
      </c>
      <c r="I42" s="1486" t="e">
        <f t="shared" si="2"/>
        <v>#DIV/0!</v>
      </c>
      <c r="J42" s="1487">
        <f>'Info Entrada'!F206+'Info Entrada'!F207</f>
        <v>0</v>
      </c>
      <c r="K42" s="1486" t="e">
        <f t="shared" si="3"/>
        <v>#DIV/0!</v>
      </c>
      <c r="L42" s="1487">
        <f>'Info Entrada'!G206+'Info Entrada'!G207</f>
        <v>0</v>
      </c>
      <c r="M42" s="1486" t="e">
        <f t="shared" si="4"/>
        <v>#DIV/0!</v>
      </c>
    </row>
    <row r="43" spans="1:16" x14ac:dyDescent="0.2">
      <c r="A43" s="3208" t="str">
        <f>'Info Entrada'!B208</f>
        <v xml:space="preserve">Valorización de Inversiones </v>
      </c>
      <c r="B43" s="3209"/>
      <c r="C43" s="3209"/>
      <c r="D43" s="1487">
        <f>'Info Entrada'!C208</f>
        <v>0</v>
      </c>
      <c r="E43" s="1486" t="e">
        <f t="shared" si="0"/>
        <v>#DIV/0!</v>
      </c>
      <c r="F43" s="1487">
        <f>'Info Entrada'!D208</f>
        <v>0</v>
      </c>
      <c r="G43" s="1486" t="e">
        <f t="shared" si="1"/>
        <v>#DIV/0!</v>
      </c>
      <c r="H43" s="1487">
        <f>'Info Entrada'!E208</f>
        <v>0</v>
      </c>
      <c r="I43" s="1486" t="e">
        <f t="shared" si="2"/>
        <v>#DIV/0!</v>
      </c>
      <c r="J43" s="1487">
        <f>'Info Entrada'!F208</f>
        <v>0</v>
      </c>
      <c r="K43" s="1486" t="e">
        <f t="shared" si="3"/>
        <v>#DIV/0!</v>
      </c>
      <c r="L43" s="1487">
        <f>'Info Entrada'!G208</f>
        <v>0</v>
      </c>
      <c r="M43" s="1486" t="e">
        <f t="shared" si="4"/>
        <v>#DIV/0!</v>
      </c>
    </row>
    <row r="44" spans="1:16" ht="13.5" thickBot="1" x14ac:dyDescent="0.25">
      <c r="A44" s="3220" t="str">
        <f>'Info Entrada'!B209</f>
        <v>Valorización de Activos Fijos</v>
      </c>
      <c r="B44" s="3221"/>
      <c r="C44" s="3221"/>
      <c r="D44" s="1492">
        <f>'Info Entrada'!C209</f>
        <v>0</v>
      </c>
      <c r="E44" s="1493" t="e">
        <f t="shared" si="0"/>
        <v>#DIV/0!</v>
      </c>
      <c r="F44" s="1492">
        <f>'Info Entrada'!D209</f>
        <v>0</v>
      </c>
      <c r="G44" s="1493" t="e">
        <f t="shared" si="1"/>
        <v>#DIV/0!</v>
      </c>
      <c r="H44" s="1492">
        <f>'Info Entrada'!E209</f>
        <v>0</v>
      </c>
      <c r="I44" s="1493" t="e">
        <f t="shared" si="2"/>
        <v>#DIV/0!</v>
      </c>
      <c r="J44" s="1492">
        <f>'Info Entrada'!F209</f>
        <v>0</v>
      </c>
      <c r="K44" s="1493" t="e">
        <f t="shared" si="3"/>
        <v>#DIV/0!</v>
      </c>
      <c r="L44" s="1492">
        <f>'Info Entrada'!G209</f>
        <v>0</v>
      </c>
      <c r="M44" s="1493" t="e">
        <f t="shared" si="4"/>
        <v>#DIV/0!</v>
      </c>
    </row>
    <row r="45" spans="1:16" ht="13.5" thickBot="1" x14ac:dyDescent="0.25">
      <c r="A45" s="3230" t="str">
        <f>'Info Entrada'!B210</f>
        <v>ACTIVO FIJO Y OTROS</v>
      </c>
      <c r="B45" s="3231"/>
      <c r="C45" s="3232"/>
      <c r="D45" s="1500">
        <f>D37+SUM(D38:D44)</f>
        <v>0</v>
      </c>
      <c r="E45" s="1501" t="e">
        <f t="shared" si="0"/>
        <v>#DIV/0!</v>
      </c>
      <c r="F45" s="1500">
        <f>F37+SUM(F38:F44)</f>
        <v>0</v>
      </c>
      <c r="G45" s="1501" t="e">
        <f t="shared" si="1"/>
        <v>#DIV/0!</v>
      </c>
      <c r="H45" s="1500">
        <f>H37+SUM(H38:H44)</f>
        <v>0</v>
      </c>
      <c r="I45" s="1501" t="e">
        <f t="shared" si="2"/>
        <v>#DIV/0!</v>
      </c>
      <c r="J45" s="1500">
        <f>J37+SUM(J38:J44)</f>
        <v>0</v>
      </c>
      <c r="K45" s="1501" t="e">
        <f t="shared" si="3"/>
        <v>#DIV/0!</v>
      </c>
      <c r="L45" s="1500">
        <f>L37+SUM(L38:L44)</f>
        <v>0</v>
      </c>
      <c r="M45" s="1501" t="e">
        <f t="shared" si="4"/>
        <v>#DIV/0!</v>
      </c>
    </row>
    <row r="46" spans="1:16" s="1457" customFormat="1" ht="13.5" thickBot="1" x14ac:dyDescent="0.25">
      <c r="A46" s="3229"/>
      <c r="B46" s="3229"/>
      <c r="C46" s="3229"/>
      <c r="D46" s="1502"/>
      <c r="E46" s="1453"/>
      <c r="F46" s="1502"/>
      <c r="G46" s="1453"/>
      <c r="H46" s="1502"/>
      <c r="I46" s="1453"/>
      <c r="J46" s="1453"/>
      <c r="K46" s="1453"/>
      <c r="L46" s="1502"/>
      <c r="M46" s="1453"/>
    </row>
    <row r="47" spans="1:16" ht="15.75" thickBot="1" x14ac:dyDescent="0.3">
      <c r="A47" s="3233" t="s">
        <v>301</v>
      </c>
      <c r="B47" s="3234"/>
      <c r="C47" s="3234"/>
      <c r="D47" s="1503">
        <f>(D45+D32)</f>
        <v>0</v>
      </c>
      <c r="E47" s="1504" t="e">
        <f>+D47/$D$47</f>
        <v>#DIV/0!</v>
      </c>
      <c r="F47" s="1503">
        <f>(F45+F32)</f>
        <v>0</v>
      </c>
      <c r="G47" s="1504" t="e">
        <f>+F47/$F$47</f>
        <v>#DIV/0!</v>
      </c>
      <c r="H47" s="1503">
        <f>(H45+H32)</f>
        <v>0</v>
      </c>
      <c r="I47" s="1504" t="e">
        <f>+H47/$H$47</f>
        <v>#DIV/0!</v>
      </c>
      <c r="J47" s="1503">
        <f>(J45+J32)</f>
        <v>0</v>
      </c>
      <c r="K47" s="1504" t="e">
        <f>+J47/$H$47</f>
        <v>#DIV/0!</v>
      </c>
      <c r="L47" s="1503">
        <f>(L45+L32)</f>
        <v>0</v>
      </c>
      <c r="M47" s="1504" t="e">
        <f>+L47/$L$47</f>
        <v>#DIV/0!</v>
      </c>
    </row>
    <row r="48" spans="1:16" s="1505" customFormat="1" x14ac:dyDescent="0.2">
      <c r="A48" s="3229"/>
      <c r="B48" s="3229"/>
      <c r="C48" s="3229"/>
      <c r="D48" s="1458"/>
      <c r="E48" s="1453"/>
      <c r="F48" s="1458"/>
      <c r="G48" s="1453"/>
      <c r="H48" s="1458"/>
      <c r="I48" s="1453"/>
      <c r="J48" s="1453"/>
      <c r="K48" s="1453"/>
    </row>
    <row r="49" spans="1:13" s="1510" customFormat="1" ht="13.5" thickBot="1" x14ac:dyDescent="0.25">
      <c r="A49" s="1506" t="s">
        <v>302</v>
      </c>
      <c r="B49" s="1506"/>
      <c r="C49" s="1505"/>
      <c r="D49" s="1507"/>
      <c r="E49" s="1508"/>
      <c r="F49" s="1509"/>
      <c r="G49" s="1508"/>
      <c r="H49" s="1509" t="s">
        <v>303</v>
      </c>
      <c r="I49" s="1508"/>
      <c r="J49" s="1508"/>
      <c r="K49" s="1508"/>
    </row>
    <row r="50" spans="1:13" s="1510" customFormat="1" x14ac:dyDescent="0.2">
      <c r="A50" s="1511"/>
      <c r="B50" s="1512"/>
      <c r="C50" s="1512"/>
      <c r="D50" s="1512"/>
      <c r="E50" s="1512"/>
      <c r="F50" s="1512"/>
      <c r="G50" s="1512"/>
      <c r="H50" s="1512"/>
      <c r="I50" s="1512"/>
      <c r="J50" s="1512"/>
      <c r="K50" s="1512"/>
      <c r="L50" s="1512"/>
      <c r="M50" s="1513"/>
    </row>
    <row r="51" spans="1:13" s="1510" customFormat="1" x14ac:dyDescent="0.2">
      <c r="A51" s="1514" t="s">
        <v>303</v>
      </c>
      <c r="B51" s="1515"/>
      <c r="C51" s="1515"/>
      <c r="D51" s="1515"/>
      <c r="E51" s="1515"/>
      <c r="F51" s="1515"/>
      <c r="G51" s="1515"/>
      <c r="H51" s="1515"/>
      <c r="I51" s="1515"/>
      <c r="J51" s="1515"/>
      <c r="K51" s="1515"/>
      <c r="L51" s="1515"/>
      <c r="M51" s="1516"/>
    </row>
    <row r="52" spans="1:13" s="1510" customFormat="1" x14ac:dyDescent="0.2">
      <c r="A52" s="1514"/>
      <c r="B52" s="1515"/>
      <c r="C52" s="1515"/>
      <c r="D52" s="1515"/>
      <c r="E52" s="1515"/>
      <c r="F52" s="1515"/>
      <c r="G52" s="1515"/>
      <c r="H52" s="1515"/>
      <c r="I52" s="1515"/>
      <c r="J52" s="1515"/>
      <c r="K52" s="1515"/>
      <c r="L52" s="1515"/>
      <c r="M52" s="1516"/>
    </row>
    <row r="53" spans="1:13" s="1510" customFormat="1" x14ac:dyDescent="0.2">
      <c r="A53" s="1514"/>
      <c r="B53" s="1515"/>
      <c r="C53" s="1515"/>
      <c r="D53" s="1515"/>
      <c r="E53" s="1515"/>
      <c r="F53" s="1515"/>
      <c r="G53" s="1515"/>
      <c r="H53" s="1515"/>
      <c r="I53" s="1515"/>
      <c r="J53" s="1515"/>
      <c r="K53" s="1515"/>
      <c r="L53" s="1515"/>
      <c r="M53" s="1516"/>
    </row>
    <row r="54" spans="1:13" s="1510" customFormat="1" x14ac:dyDescent="0.2">
      <c r="A54" s="1514"/>
      <c r="B54" s="1515"/>
      <c r="C54" s="1515"/>
      <c r="D54" s="1515"/>
      <c r="E54" s="1515"/>
      <c r="F54" s="1515"/>
      <c r="G54" s="1515"/>
      <c r="H54" s="1515"/>
      <c r="I54" s="1515"/>
      <c r="J54" s="1515"/>
      <c r="K54" s="1515"/>
      <c r="L54" s="1515"/>
      <c r="M54" s="1516"/>
    </row>
    <row r="55" spans="1:13" s="1510" customFormat="1" x14ac:dyDescent="0.2">
      <c r="A55" s="1514"/>
      <c r="B55" s="1515"/>
      <c r="C55" s="1515"/>
      <c r="D55" s="1515"/>
      <c r="E55" s="1515"/>
      <c r="F55" s="1515"/>
      <c r="G55" s="1515"/>
      <c r="H55" s="1515"/>
      <c r="I55" s="1515"/>
      <c r="J55" s="1515"/>
      <c r="K55" s="1515"/>
      <c r="L55" s="1515"/>
      <c r="M55" s="1516"/>
    </row>
    <row r="56" spans="1:13" s="1510" customFormat="1" x14ac:dyDescent="0.2">
      <c r="A56" s="1514"/>
      <c r="B56" s="1515"/>
      <c r="C56" s="1515"/>
      <c r="D56" s="1515"/>
      <c r="E56" s="1515"/>
      <c r="F56" s="1515"/>
      <c r="G56" s="1515"/>
      <c r="H56" s="1515"/>
      <c r="I56" s="1515"/>
      <c r="J56" s="1515"/>
      <c r="K56" s="1515"/>
      <c r="L56" s="1515"/>
      <c r="M56" s="1516"/>
    </row>
    <row r="57" spans="1:13" s="1510" customFormat="1" x14ac:dyDescent="0.2">
      <c r="A57" s="1514"/>
      <c r="B57" s="1515"/>
      <c r="C57" s="1515"/>
      <c r="D57" s="1515"/>
      <c r="E57" s="1515"/>
      <c r="F57" s="1515"/>
      <c r="G57" s="1515"/>
      <c r="H57" s="1515"/>
      <c r="I57" s="1515"/>
      <c r="J57" s="1515"/>
      <c r="K57" s="1515"/>
      <c r="L57" s="1515"/>
      <c r="M57" s="1516"/>
    </row>
    <row r="58" spans="1:13" s="1510" customFormat="1" x14ac:dyDescent="0.2">
      <c r="A58" s="1514"/>
      <c r="B58" s="1515"/>
      <c r="C58" s="1515"/>
      <c r="D58" s="1515"/>
      <c r="E58" s="1515"/>
      <c r="F58" s="1515"/>
      <c r="G58" s="1515"/>
      <c r="H58" s="1515"/>
      <c r="I58" s="1515"/>
      <c r="J58" s="1515"/>
      <c r="K58" s="1515"/>
      <c r="L58" s="1515"/>
      <c r="M58" s="1516"/>
    </row>
    <row r="59" spans="1:13" s="1510" customFormat="1" x14ac:dyDescent="0.2">
      <c r="A59" s="1514"/>
      <c r="B59" s="1515"/>
      <c r="C59" s="1515"/>
      <c r="D59" s="1515"/>
      <c r="E59" s="1515"/>
      <c r="F59" s="1515"/>
      <c r="G59" s="1515"/>
      <c r="H59" s="1515"/>
      <c r="I59" s="1515"/>
      <c r="J59" s="1515"/>
      <c r="K59" s="1515"/>
      <c r="L59" s="1515"/>
      <c r="M59" s="1516"/>
    </row>
    <row r="60" spans="1:13" s="1510" customFormat="1" x14ac:dyDescent="0.2">
      <c r="A60" s="1514"/>
      <c r="B60" s="1515"/>
      <c r="C60" s="1515"/>
      <c r="D60" s="1515"/>
      <c r="E60" s="1515"/>
      <c r="F60" s="1515"/>
      <c r="G60" s="1515"/>
      <c r="H60" s="1515"/>
      <c r="I60" s="1515"/>
      <c r="J60" s="1515"/>
      <c r="K60" s="1515"/>
      <c r="L60" s="1515"/>
      <c r="M60" s="1516"/>
    </row>
    <row r="61" spans="1:13" s="1510" customFormat="1" x14ac:dyDescent="0.2">
      <c r="A61" s="1514"/>
      <c r="B61" s="1515"/>
      <c r="C61" s="1515"/>
      <c r="D61" s="1515"/>
      <c r="E61" s="1515"/>
      <c r="F61" s="1515"/>
      <c r="G61" s="1515"/>
      <c r="H61" s="1515"/>
      <c r="I61" s="1515"/>
      <c r="J61" s="1515"/>
      <c r="K61" s="1515"/>
      <c r="L61" s="1515"/>
      <c r="M61" s="1516"/>
    </row>
    <row r="62" spans="1:13" s="1510" customFormat="1" ht="13.5" thickBot="1" x14ac:dyDescent="0.25">
      <c r="A62" s="1517" t="s">
        <v>303</v>
      </c>
      <c r="B62" s="1518"/>
      <c r="C62" s="1518"/>
      <c r="D62" s="1518"/>
      <c r="E62" s="1518"/>
      <c r="F62" s="1518"/>
      <c r="G62" s="1518"/>
      <c r="H62" s="1518"/>
      <c r="I62" s="1518"/>
      <c r="J62" s="1518"/>
      <c r="K62" s="1518"/>
      <c r="L62" s="1518"/>
      <c r="M62" s="1519"/>
    </row>
    <row r="63" spans="1:13" x14ac:dyDescent="0.2">
      <c r="A63" s="1520"/>
      <c r="B63" s="1520"/>
      <c r="C63" s="1520"/>
      <c r="D63" s="1520"/>
      <c r="E63" s="1520"/>
      <c r="F63" s="1520"/>
      <c r="G63" s="1520"/>
      <c r="H63" s="1520"/>
    </row>
    <row r="64" spans="1:13" x14ac:dyDescent="0.2">
      <c r="A64" s="1520"/>
      <c r="B64" s="1520"/>
      <c r="C64" s="1520"/>
      <c r="D64" s="1520"/>
      <c r="E64" s="1520"/>
      <c r="F64" s="1520"/>
      <c r="G64" s="1520"/>
      <c r="H64" s="1520"/>
    </row>
    <row r="65" spans="1:14" x14ac:dyDescent="0.2">
      <c r="A65" s="1520"/>
      <c r="B65" s="1520"/>
      <c r="C65" s="1520"/>
      <c r="D65" s="1520"/>
      <c r="E65" s="1520"/>
      <c r="F65" s="1520"/>
      <c r="G65" s="1520"/>
      <c r="H65" s="1520"/>
    </row>
    <row r="66" spans="1:14" x14ac:dyDescent="0.2">
      <c r="A66" s="1520"/>
      <c r="B66" s="1520"/>
      <c r="C66" s="1520"/>
      <c r="D66" s="1520"/>
      <c r="E66" s="1520"/>
      <c r="F66" s="1520"/>
      <c r="G66" s="1520"/>
      <c r="H66" s="1520"/>
    </row>
    <row r="67" spans="1:14" x14ac:dyDescent="0.2">
      <c r="A67" s="1520"/>
      <c r="B67" s="1520"/>
      <c r="C67" s="1520"/>
      <c r="D67" s="1520"/>
      <c r="E67" s="1520"/>
      <c r="F67" s="1520"/>
      <c r="G67" s="1520"/>
      <c r="H67" s="1520"/>
    </row>
    <row r="68" spans="1:14" x14ac:dyDescent="0.2">
      <c r="A68" s="1520"/>
      <c r="B68" s="1520"/>
      <c r="C68" s="1520"/>
      <c r="D68" s="1520"/>
      <c r="E68" s="1520"/>
      <c r="F68" s="1520"/>
      <c r="G68" s="1520"/>
      <c r="H68" s="1520"/>
    </row>
    <row r="69" spans="1:14" x14ac:dyDescent="0.2">
      <c r="A69" s="1520"/>
      <c r="B69" s="1520"/>
      <c r="C69" s="1520"/>
      <c r="D69" s="1520"/>
      <c r="E69" s="1520"/>
      <c r="F69" s="1520"/>
      <c r="G69" s="1520"/>
      <c r="H69" s="1520"/>
    </row>
    <row r="70" spans="1:14" x14ac:dyDescent="0.2">
      <c r="A70" s="1520"/>
      <c r="B70" s="1520"/>
      <c r="C70" s="1520"/>
      <c r="D70" s="1520"/>
      <c r="E70" s="1520"/>
      <c r="F70" s="1520"/>
      <c r="G70" s="1520"/>
      <c r="H70" s="1520"/>
    </row>
    <row r="71" spans="1:14" x14ac:dyDescent="0.2">
      <c r="A71" s="1520"/>
      <c r="B71" s="1520"/>
      <c r="C71" s="1520"/>
      <c r="D71" s="1520"/>
      <c r="E71" s="1520"/>
      <c r="F71" s="1520"/>
      <c r="G71" s="1520"/>
      <c r="H71" s="1520"/>
    </row>
    <row r="72" spans="1:14" x14ac:dyDescent="0.2">
      <c r="A72" s="1520"/>
      <c r="B72" s="1520"/>
      <c r="C72" s="1520"/>
      <c r="D72" s="1520"/>
      <c r="E72" s="1520"/>
      <c r="F72" s="1520"/>
      <c r="G72" s="1520"/>
      <c r="H72" s="1520"/>
    </row>
    <row r="74" spans="1:14" x14ac:dyDescent="0.2">
      <c r="A74" s="1457"/>
      <c r="B74" s="1457"/>
      <c r="C74" s="1457"/>
      <c r="D74" s="1455"/>
      <c r="E74" s="1456"/>
      <c r="F74" s="1455"/>
      <c r="G74" s="1456"/>
      <c r="H74" s="1455"/>
      <c r="I74" s="1456"/>
      <c r="J74" s="1456"/>
      <c r="K74" s="1456"/>
      <c r="L74" s="1457"/>
      <c r="M74" s="1457"/>
      <c r="N74" s="1457"/>
    </row>
    <row r="75" spans="1:14" x14ac:dyDescent="0.2">
      <c r="A75" s="1449"/>
      <c r="B75" s="1449"/>
      <c r="C75" s="1449"/>
      <c r="D75" s="1449"/>
      <c r="F75" s="1449"/>
      <c r="H75" s="1449"/>
      <c r="L75" s="1449"/>
      <c r="M75" s="1449"/>
      <c r="N75" s="1457"/>
    </row>
    <row r="76" spans="1:14" x14ac:dyDescent="0.2">
      <c r="A76" s="1449"/>
      <c r="B76" s="1449"/>
      <c r="C76" s="1449"/>
      <c r="D76" s="1449"/>
      <c r="F76" s="1449"/>
      <c r="H76" s="1449"/>
      <c r="L76" s="1449"/>
      <c r="M76" s="1449"/>
      <c r="N76" s="1457"/>
    </row>
    <row r="77" spans="1:14" x14ac:dyDescent="0.2">
      <c r="A77" s="1449"/>
      <c r="B77" s="1449"/>
      <c r="C77" s="1449"/>
      <c r="D77" s="1449"/>
      <c r="F77" s="1449"/>
      <c r="H77" s="1449"/>
      <c r="L77" s="1449"/>
      <c r="M77" s="1449"/>
      <c r="N77" s="1457"/>
    </row>
    <row r="78" spans="1:14" x14ac:dyDescent="0.2">
      <c r="A78" s="1449"/>
      <c r="B78" s="1449"/>
      <c r="C78" s="1449"/>
      <c r="D78" s="1449"/>
      <c r="F78" s="1449"/>
      <c r="H78" s="1449"/>
      <c r="L78" s="1449"/>
      <c r="M78" s="1449"/>
      <c r="N78" s="1457"/>
    </row>
    <row r="79" spans="1:14" x14ac:dyDescent="0.2">
      <c r="A79" s="1449"/>
      <c r="B79" s="1449"/>
      <c r="C79" s="1449"/>
      <c r="D79" s="1449"/>
      <c r="F79" s="1449"/>
      <c r="H79" s="1449"/>
      <c r="L79" s="1449"/>
      <c r="M79" s="1449"/>
      <c r="N79" s="1457"/>
    </row>
    <row r="80" spans="1:14" x14ac:dyDescent="0.2">
      <c r="A80" s="1449"/>
      <c r="B80" s="1449"/>
      <c r="C80" s="1449"/>
      <c r="D80" s="1449"/>
      <c r="F80" s="1449"/>
      <c r="H80" s="1449"/>
      <c r="L80" s="1449"/>
      <c r="M80" s="1449"/>
      <c r="N80" s="1457"/>
    </row>
    <row r="81" spans="1:14" x14ac:dyDescent="0.2">
      <c r="A81" s="1449"/>
      <c r="B81" s="1449"/>
      <c r="C81" s="1449"/>
      <c r="D81" s="1449"/>
      <c r="F81" s="1449"/>
      <c r="H81" s="1449"/>
      <c r="L81" s="1449"/>
      <c r="M81" s="1449"/>
      <c r="N81" s="1473"/>
    </row>
    <row r="82" spans="1:14" x14ac:dyDescent="0.2">
      <c r="A82" s="1449"/>
      <c r="B82" s="1449"/>
      <c r="C82" s="1449"/>
      <c r="D82" s="1449"/>
      <c r="F82" s="1449"/>
      <c r="H82" s="1449"/>
      <c r="L82" s="1449"/>
      <c r="M82" s="1449"/>
      <c r="N82" s="1473"/>
    </row>
    <row r="83" spans="1:14" x14ac:dyDescent="0.2">
      <c r="A83" s="1449"/>
      <c r="B83" s="1449"/>
      <c r="C83" s="1449"/>
      <c r="D83" s="1449"/>
      <c r="F83" s="1449"/>
      <c r="H83" s="1449"/>
      <c r="L83" s="1449"/>
      <c r="M83" s="1449"/>
      <c r="N83" s="1473"/>
    </row>
    <row r="84" spans="1:14" x14ac:dyDescent="0.2">
      <c r="A84" s="1449"/>
      <c r="B84" s="1449"/>
      <c r="C84" s="1449"/>
      <c r="D84" s="1449"/>
      <c r="F84" s="1449"/>
      <c r="H84" s="1449"/>
      <c r="L84" s="1449"/>
      <c r="M84" s="1449"/>
      <c r="N84" s="1473"/>
    </row>
    <row r="85" spans="1:14" x14ac:dyDescent="0.2">
      <c r="A85" s="1449"/>
      <c r="B85" s="1449"/>
      <c r="C85" s="1449"/>
      <c r="D85" s="1449"/>
      <c r="F85" s="1449"/>
      <c r="H85" s="1449"/>
      <c r="L85" s="1449"/>
      <c r="M85" s="1449"/>
      <c r="N85" s="1473"/>
    </row>
    <row r="86" spans="1:14" x14ac:dyDescent="0.2">
      <c r="A86" s="1449"/>
      <c r="B86" s="1449"/>
      <c r="C86" s="1449"/>
      <c r="D86" s="1449"/>
      <c r="F86" s="1449"/>
      <c r="H86" s="1449"/>
      <c r="L86" s="1449"/>
      <c r="M86" s="1449"/>
      <c r="N86" s="1473"/>
    </row>
    <row r="87" spans="1:14" x14ac:dyDescent="0.2">
      <c r="A87" s="1449"/>
      <c r="B87" s="1449"/>
      <c r="C87" s="1449"/>
      <c r="D87" s="1449"/>
      <c r="F87" s="1449"/>
      <c r="H87" s="1449"/>
      <c r="L87" s="1449"/>
      <c r="M87" s="1449"/>
    </row>
    <row r="88" spans="1:14" ht="12.75" customHeight="1" x14ac:dyDescent="0.2">
      <c r="A88" s="1449"/>
      <c r="B88" s="1449"/>
      <c r="C88" s="1449"/>
      <c r="D88" s="1449"/>
      <c r="F88" s="1449"/>
      <c r="H88" s="1449"/>
      <c r="L88" s="1449"/>
      <c r="M88" s="1449"/>
      <c r="N88" s="1457"/>
    </row>
    <row r="89" spans="1:14" ht="12.75" customHeight="1" x14ac:dyDescent="0.2">
      <c r="A89" s="1449"/>
      <c r="B89" s="1449"/>
      <c r="C89" s="1449"/>
      <c r="D89" s="1449"/>
      <c r="F89" s="1449"/>
      <c r="H89" s="1449"/>
      <c r="L89" s="1449"/>
      <c r="M89" s="1449"/>
      <c r="N89" s="1457"/>
    </row>
    <row r="90" spans="1:14" ht="12.75" customHeight="1" x14ac:dyDescent="0.2">
      <c r="A90" s="1449"/>
      <c r="B90" s="1449"/>
      <c r="C90" s="1449"/>
      <c r="D90" s="1449"/>
      <c r="F90" s="1449"/>
      <c r="H90" s="1449"/>
      <c r="L90" s="1449"/>
      <c r="M90" s="1449"/>
      <c r="N90" s="1457"/>
    </row>
    <row r="91" spans="1:14" x14ac:dyDescent="0.2">
      <c r="A91" s="1449"/>
      <c r="B91" s="1449"/>
      <c r="C91" s="1449"/>
      <c r="D91" s="1449"/>
      <c r="F91" s="1449"/>
      <c r="H91" s="1449"/>
      <c r="L91" s="1449"/>
      <c r="M91" s="1449"/>
      <c r="N91" s="1457"/>
    </row>
    <row r="92" spans="1:14" ht="12.75" customHeight="1" x14ac:dyDescent="0.2">
      <c r="A92" s="1449"/>
      <c r="B92" s="1449"/>
      <c r="C92" s="1449"/>
      <c r="D92" s="1449"/>
      <c r="F92" s="1449"/>
      <c r="H92" s="1449"/>
      <c r="L92" s="1449"/>
      <c r="M92" s="1449"/>
      <c r="N92" s="1457"/>
    </row>
    <row r="93" spans="1:14" ht="12.75" customHeight="1" x14ac:dyDescent="0.2">
      <c r="A93" s="1449"/>
      <c r="B93" s="1449"/>
      <c r="C93" s="1449"/>
      <c r="D93" s="1449"/>
      <c r="F93" s="1449"/>
      <c r="H93" s="1449"/>
      <c r="L93" s="1449"/>
      <c r="M93" s="1449"/>
      <c r="N93" s="1457"/>
    </row>
    <row r="94" spans="1:14" ht="12.75" customHeight="1" x14ac:dyDescent="0.2">
      <c r="A94" s="1449"/>
      <c r="B94" s="1449"/>
      <c r="C94" s="1449"/>
      <c r="D94" s="1449"/>
      <c r="F94" s="1449"/>
      <c r="H94" s="1449"/>
      <c r="L94" s="1449"/>
      <c r="M94" s="1449"/>
      <c r="N94" s="1457"/>
    </row>
    <row r="95" spans="1:14" ht="12.75" customHeight="1" x14ac:dyDescent="0.2">
      <c r="A95" s="1449"/>
      <c r="B95" s="1449"/>
      <c r="C95" s="1449"/>
      <c r="D95" s="1449"/>
      <c r="F95" s="1449"/>
      <c r="H95" s="1449"/>
      <c r="L95" s="1449"/>
      <c r="M95" s="1449"/>
      <c r="N95" s="1457"/>
    </row>
    <row r="96" spans="1:14" ht="12.75" customHeight="1" x14ac:dyDescent="0.2">
      <c r="A96" s="1449"/>
      <c r="B96" s="1449"/>
      <c r="C96" s="1449"/>
      <c r="D96" s="1449"/>
      <c r="F96" s="1449"/>
      <c r="H96" s="1449"/>
      <c r="L96" s="1449"/>
      <c r="M96" s="1449"/>
      <c r="N96" s="1457"/>
    </row>
    <row r="97" spans="1:14" ht="12.75" customHeight="1" x14ac:dyDescent="0.2">
      <c r="A97" s="1449"/>
      <c r="B97" s="1449"/>
      <c r="C97" s="1449"/>
      <c r="D97" s="1449"/>
      <c r="F97" s="1449"/>
      <c r="H97" s="1449"/>
      <c r="L97" s="1449"/>
      <c r="M97" s="1449"/>
      <c r="N97" s="1457"/>
    </row>
    <row r="98" spans="1:14" ht="12.75" customHeight="1" x14ac:dyDescent="0.2">
      <c r="A98" s="1449"/>
      <c r="B98" s="1449"/>
      <c r="C98" s="1449"/>
      <c r="D98" s="1449"/>
      <c r="F98" s="1449"/>
      <c r="H98" s="1449"/>
      <c r="L98" s="1449"/>
      <c r="M98" s="1449"/>
      <c r="N98" s="1457"/>
    </row>
    <row r="99" spans="1:14" ht="13.5" customHeight="1" x14ac:dyDescent="0.2">
      <c r="A99" s="1449"/>
      <c r="B99" s="1449"/>
      <c r="C99" s="1449"/>
      <c r="D99" s="1449"/>
      <c r="F99" s="1449"/>
      <c r="H99" s="1449"/>
      <c r="L99" s="1449"/>
      <c r="M99" s="1449"/>
      <c r="N99" s="1457"/>
    </row>
    <row r="100" spans="1:14" ht="13.5" customHeight="1" x14ac:dyDescent="0.2">
      <c r="A100" s="1449"/>
      <c r="B100" s="1449"/>
      <c r="C100" s="1449"/>
      <c r="D100" s="1449"/>
      <c r="F100" s="1449"/>
      <c r="H100" s="1449"/>
      <c r="L100" s="1449"/>
      <c r="M100" s="1449"/>
      <c r="N100" s="1457"/>
    </row>
    <row r="101" spans="1:14" ht="12.75" customHeight="1" x14ac:dyDescent="0.2">
      <c r="A101" s="1449"/>
      <c r="B101" s="1449"/>
      <c r="C101" s="1449"/>
      <c r="D101" s="1449"/>
      <c r="F101" s="1449"/>
      <c r="H101" s="1449"/>
      <c r="L101" s="1449"/>
      <c r="M101" s="1449"/>
      <c r="N101" s="1457"/>
    </row>
    <row r="102" spans="1:14" ht="12.75" customHeight="1" x14ac:dyDescent="0.2">
      <c r="A102" s="1449"/>
      <c r="B102" s="1449"/>
      <c r="C102" s="1449"/>
      <c r="D102" s="1449"/>
      <c r="F102" s="1449"/>
      <c r="H102" s="1449"/>
      <c r="L102" s="1449"/>
      <c r="M102" s="1449"/>
      <c r="N102" s="1457"/>
    </row>
    <row r="103" spans="1:14" ht="12.75" customHeight="1" x14ac:dyDescent="0.2">
      <c r="A103" s="1449"/>
      <c r="B103" s="1449"/>
      <c r="C103" s="1449"/>
      <c r="D103" s="1449"/>
      <c r="F103" s="1449"/>
      <c r="H103" s="1449"/>
      <c r="L103" s="1449"/>
      <c r="M103" s="1449"/>
      <c r="N103" s="1457"/>
    </row>
    <row r="104" spans="1:14" ht="12.75" customHeight="1" x14ac:dyDescent="0.2">
      <c r="A104" s="1449"/>
      <c r="B104" s="1449"/>
      <c r="C104" s="1449"/>
      <c r="D104" s="1449"/>
      <c r="F104" s="1449"/>
      <c r="H104" s="1449"/>
      <c r="L104" s="1449"/>
      <c r="M104" s="1449"/>
      <c r="N104" s="1457"/>
    </row>
    <row r="105" spans="1:14" ht="12.75" customHeight="1" x14ac:dyDescent="0.2">
      <c r="A105" s="1449"/>
      <c r="B105" s="1449"/>
      <c r="C105" s="1449"/>
      <c r="D105" s="1449"/>
      <c r="F105" s="1449"/>
      <c r="H105" s="1449"/>
      <c r="L105" s="1449"/>
      <c r="M105" s="1449"/>
      <c r="N105" s="1457"/>
    </row>
    <row r="106" spans="1:14" ht="12.75" customHeight="1" x14ac:dyDescent="0.2">
      <c r="A106" s="1449"/>
      <c r="B106" s="1449"/>
      <c r="C106" s="1449"/>
      <c r="D106" s="1449"/>
      <c r="F106" s="1449"/>
      <c r="H106" s="1449"/>
      <c r="L106" s="1449"/>
      <c r="M106" s="1449"/>
      <c r="N106" s="1457"/>
    </row>
    <row r="107" spans="1:14" ht="12.75" customHeight="1" x14ac:dyDescent="0.2">
      <c r="A107" s="1449"/>
      <c r="B107" s="1449"/>
      <c r="C107" s="1449"/>
      <c r="D107" s="1449"/>
      <c r="F107" s="1449"/>
      <c r="H107" s="1449"/>
      <c r="L107" s="1449"/>
      <c r="M107" s="1449"/>
      <c r="N107" s="1457"/>
    </row>
    <row r="108" spans="1:14" ht="13.5" customHeight="1" x14ac:dyDescent="0.2">
      <c r="A108" s="1449"/>
      <c r="B108" s="1449"/>
      <c r="C108" s="1449"/>
      <c r="D108" s="1449"/>
      <c r="F108" s="1449"/>
      <c r="H108" s="1449"/>
      <c r="L108" s="1449"/>
      <c r="M108" s="1449"/>
      <c r="N108" s="1457"/>
    </row>
    <row r="109" spans="1:14" ht="13.5" customHeight="1" x14ac:dyDescent="0.2">
      <c r="A109" s="1449"/>
      <c r="B109" s="1449"/>
      <c r="C109" s="1449"/>
      <c r="D109" s="1449"/>
      <c r="F109" s="1449"/>
      <c r="H109" s="1449"/>
      <c r="L109" s="1449"/>
      <c r="M109" s="1449"/>
      <c r="N109" s="1457"/>
    </row>
    <row r="110" spans="1:14" ht="12.75" customHeight="1" x14ac:dyDescent="0.2">
      <c r="A110" s="1449"/>
      <c r="B110" s="1449"/>
      <c r="C110" s="1449"/>
      <c r="D110" s="1449"/>
      <c r="F110" s="1449"/>
      <c r="H110" s="1449"/>
      <c r="L110" s="1449"/>
      <c r="M110" s="1449"/>
      <c r="N110" s="1457"/>
    </row>
    <row r="111" spans="1:14" ht="12.75" customHeight="1" x14ac:dyDescent="0.2">
      <c r="A111" s="1449"/>
      <c r="B111" s="1449"/>
      <c r="C111" s="1449"/>
      <c r="D111" s="1449"/>
      <c r="F111" s="1449"/>
      <c r="H111" s="1449"/>
      <c r="L111" s="1449"/>
      <c r="M111" s="1449"/>
      <c r="N111" s="1457"/>
    </row>
    <row r="112" spans="1:14" ht="12.75" customHeight="1" x14ac:dyDescent="0.2">
      <c r="A112" s="1449"/>
      <c r="B112" s="1449"/>
      <c r="C112" s="1449"/>
      <c r="D112" s="1449"/>
      <c r="F112" s="1449"/>
      <c r="H112" s="1449"/>
      <c r="L112" s="1449"/>
      <c r="M112" s="1449"/>
      <c r="N112" s="1457"/>
    </row>
    <row r="113" spans="1:14" ht="12.75" customHeight="1" x14ac:dyDescent="0.2">
      <c r="A113" s="1449"/>
      <c r="B113" s="1449"/>
      <c r="C113" s="1449"/>
      <c r="D113" s="1449"/>
      <c r="F113" s="1449"/>
      <c r="H113" s="1449"/>
      <c r="L113" s="1449"/>
      <c r="M113" s="1449"/>
      <c r="N113" s="1457"/>
    </row>
    <row r="114" spans="1:14" ht="12.75" customHeight="1" x14ac:dyDescent="0.2">
      <c r="A114" s="1449"/>
      <c r="B114" s="1449"/>
      <c r="C114" s="1449"/>
      <c r="D114" s="1449"/>
      <c r="F114" s="1449"/>
      <c r="H114" s="1449"/>
      <c r="L114" s="1449"/>
      <c r="M114" s="1449"/>
      <c r="N114" s="1457"/>
    </row>
    <row r="115" spans="1:14" ht="12.75" customHeight="1" x14ac:dyDescent="0.2">
      <c r="A115" s="1449"/>
      <c r="B115" s="1449"/>
      <c r="C115" s="1449"/>
      <c r="D115" s="1449"/>
      <c r="F115" s="1449"/>
      <c r="H115" s="1449"/>
      <c r="L115" s="1449"/>
      <c r="M115" s="1449"/>
      <c r="N115" s="1457"/>
    </row>
    <row r="116" spans="1:14" ht="12.75" customHeight="1" x14ac:dyDescent="0.2">
      <c r="A116" s="1449"/>
      <c r="B116" s="1449"/>
      <c r="C116" s="1449"/>
      <c r="D116" s="1449"/>
      <c r="F116" s="1449"/>
      <c r="H116" s="1449"/>
      <c r="L116" s="1449"/>
      <c r="M116" s="1449"/>
      <c r="N116" s="1457"/>
    </row>
    <row r="117" spans="1:14" ht="12.75" customHeight="1" x14ac:dyDescent="0.2">
      <c r="A117" s="1449"/>
      <c r="B117" s="1449"/>
      <c r="C117" s="1449"/>
      <c r="D117" s="1449"/>
      <c r="F117" s="1449"/>
      <c r="H117" s="1449"/>
      <c r="L117" s="1449"/>
      <c r="M117" s="1449"/>
      <c r="N117" s="1457"/>
    </row>
    <row r="118" spans="1:14" ht="12.75" customHeight="1" x14ac:dyDescent="0.2">
      <c r="A118" s="1449"/>
      <c r="B118" s="1449"/>
      <c r="C118" s="1449"/>
      <c r="D118" s="1449"/>
      <c r="F118" s="1449"/>
      <c r="H118" s="1449"/>
      <c r="L118" s="1449"/>
      <c r="M118" s="1449"/>
      <c r="N118" s="1457"/>
    </row>
    <row r="119" spans="1:14" ht="13.5" customHeight="1" x14ac:dyDescent="0.2">
      <c r="A119" s="1449"/>
      <c r="B119" s="1449"/>
      <c r="C119" s="1449"/>
      <c r="D119" s="1449"/>
      <c r="F119" s="1449"/>
      <c r="H119" s="1449"/>
      <c r="L119" s="1449"/>
      <c r="M119" s="1449"/>
      <c r="N119" s="1457"/>
    </row>
    <row r="120" spans="1:14" ht="13.5" customHeight="1" x14ac:dyDescent="0.2">
      <c r="A120" s="1449"/>
      <c r="B120" s="1449"/>
      <c r="C120" s="1449"/>
      <c r="D120" s="1449"/>
      <c r="F120" s="1449"/>
      <c r="H120" s="1449"/>
      <c r="L120" s="1449"/>
      <c r="M120" s="1449"/>
      <c r="N120" s="1457"/>
    </row>
    <row r="121" spans="1:14" x14ac:dyDescent="0.2">
      <c r="A121" s="1449"/>
      <c r="B121" s="1449"/>
      <c r="C121" s="1449"/>
      <c r="D121" s="1449"/>
      <c r="F121" s="1449"/>
      <c r="H121" s="1449"/>
      <c r="L121" s="1449"/>
      <c r="M121" s="1449"/>
      <c r="N121" s="1457"/>
    </row>
    <row r="122" spans="1:14" ht="13.5" customHeight="1" x14ac:dyDescent="0.2">
      <c r="A122" s="1449"/>
      <c r="B122" s="1449"/>
      <c r="C122" s="1449"/>
      <c r="D122" s="1449"/>
      <c r="F122" s="1449"/>
      <c r="H122" s="1449"/>
      <c r="L122" s="1449"/>
      <c r="M122" s="1449"/>
      <c r="N122" s="1457"/>
    </row>
    <row r="123" spans="1:14" x14ac:dyDescent="0.2">
      <c r="A123" s="1449"/>
      <c r="B123" s="1449"/>
      <c r="C123" s="1449"/>
      <c r="D123" s="1449"/>
      <c r="F123" s="1449"/>
      <c r="H123" s="1449"/>
      <c r="L123" s="1449"/>
      <c r="M123" s="1449"/>
      <c r="N123" s="1457"/>
    </row>
    <row r="124" spans="1:14" x14ac:dyDescent="0.2">
      <c r="A124" s="1449"/>
      <c r="B124" s="1449"/>
      <c r="C124" s="1449"/>
      <c r="D124" s="1449"/>
      <c r="F124" s="1449"/>
      <c r="H124" s="1449"/>
      <c r="L124" s="1449"/>
      <c r="M124" s="1449"/>
      <c r="N124" s="1457"/>
    </row>
    <row r="125" spans="1:14" x14ac:dyDescent="0.2">
      <c r="A125" s="1449"/>
      <c r="B125" s="1449"/>
      <c r="C125" s="1449"/>
      <c r="D125" s="1449"/>
      <c r="F125" s="1449"/>
      <c r="H125" s="1449"/>
      <c r="L125" s="1449"/>
      <c r="M125" s="1449"/>
      <c r="N125" s="1457"/>
    </row>
    <row r="126" spans="1:14" x14ac:dyDescent="0.2">
      <c r="A126" s="1449"/>
      <c r="B126" s="1449"/>
      <c r="C126" s="1449"/>
      <c r="D126" s="1449"/>
      <c r="F126" s="1449"/>
      <c r="H126" s="1449"/>
      <c r="L126" s="1449"/>
      <c r="M126" s="1449"/>
      <c r="N126" s="1457"/>
    </row>
    <row r="127" spans="1:14" x14ac:dyDescent="0.2">
      <c r="A127" s="1449"/>
      <c r="B127" s="1449"/>
      <c r="C127" s="1449"/>
      <c r="D127" s="1449"/>
      <c r="F127" s="1449"/>
      <c r="H127" s="1449"/>
      <c r="L127" s="1449"/>
      <c r="M127" s="1449"/>
      <c r="N127" s="1457"/>
    </row>
    <row r="128" spans="1:14" x14ac:dyDescent="0.2">
      <c r="A128" s="1449"/>
      <c r="B128" s="1449"/>
      <c r="C128" s="1449"/>
      <c r="D128" s="1449"/>
      <c r="F128" s="1449"/>
      <c r="H128" s="1449"/>
      <c r="L128" s="1449"/>
      <c r="M128" s="1449"/>
      <c r="N128" s="1457"/>
    </row>
    <row r="129" spans="1:14" x14ac:dyDescent="0.2">
      <c r="A129" s="1449"/>
      <c r="B129" s="1449"/>
      <c r="C129" s="1449"/>
      <c r="D129" s="1449"/>
      <c r="F129" s="1449"/>
      <c r="H129" s="1449"/>
      <c r="L129" s="1449"/>
      <c r="M129" s="1449"/>
      <c r="N129" s="1457"/>
    </row>
    <row r="130" spans="1:14" x14ac:dyDescent="0.2">
      <c r="A130" s="1449"/>
      <c r="B130" s="1449"/>
      <c r="C130" s="1449"/>
      <c r="D130" s="1449"/>
      <c r="F130" s="1449"/>
      <c r="H130" s="1449"/>
      <c r="L130" s="1449"/>
      <c r="M130" s="1449"/>
      <c r="N130" s="1457"/>
    </row>
    <row r="131" spans="1:14" x14ac:dyDescent="0.2">
      <c r="A131" s="1449"/>
      <c r="B131" s="1449"/>
      <c r="C131" s="1449"/>
      <c r="D131" s="1449"/>
      <c r="F131" s="1449"/>
      <c r="H131" s="1449"/>
      <c r="L131" s="1449"/>
      <c r="M131" s="1449"/>
      <c r="N131" s="1457"/>
    </row>
    <row r="132" spans="1:14" x14ac:dyDescent="0.2">
      <c r="A132" s="1449"/>
      <c r="B132" s="1449"/>
      <c r="C132" s="1449"/>
      <c r="D132" s="1449"/>
      <c r="F132" s="1449"/>
      <c r="H132" s="1449"/>
      <c r="L132" s="1449"/>
      <c r="M132" s="1449"/>
      <c r="N132" s="1457"/>
    </row>
    <row r="133" spans="1:14" x14ac:dyDescent="0.2">
      <c r="A133" s="1449"/>
      <c r="B133" s="1449"/>
      <c r="C133" s="1449"/>
      <c r="D133" s="1449"/>
      <c r="F133" s="1449"/>
      <c r="H133" s="1449"/>
      <c r="L133" s="1449"/>
      <c r="M133" s="1449"/>
      <c r="N133" s="1457"/>
    </row>
    <row r="134" spans="1:14" x14ac:dyDescent="0.2">
      <c r="A134" s="1449"/>
      <c r="B134" s="1449"/>
      <c r="C134" s="1449"/>
      <c r="D134" s="1449"/>
      <c r="F134" s="1449"/>
      <c r="H134" s="1449"/>
      <c r="L134" s="1449"/>
      <c r="M134" s="1449"/>
      <c r="N134" s="1457"/>
    </row>
    <row r="135" spans="1:14" x14ac:dyDescent="0.2">
      <c r="A135" s="1449"/>
      <c r="B135" s="1449"/>
      <c r="C135" s="1449"/>
      <c r="D135" s="1449"/>
      <c r="F135" s="1449"/>
      <c r="H135" s="1449"/>
      <c r="L135" s="1449"/>
      <c r="M135" s="1449"/>
      <c r="N135" s="1457"/>
    </row>
    <row r="136" spans="1:14" x14ac:dyDescent="0.2">
      <c r="A136" s="1449"/>
      <c r="B136" s="1449"/>
      <c r="C136" s="1449"/>
      <c r="D136" s="1449"/>
      <c r="F136" s="1449"/>
      <c r="H136" s="1449"/>
      <c r="L136" s="1449"/>
      <c r="M136" s="1449"/>
      <c r="N136" s="1457"/>
    </row>
    <row r="137" spans="1:14" x14ac:dyDescent="0.2">
      <c r="A137" s="1449"/>
      <c r="B137" s="1449"/>
      <c r="C137" s="1449"/>
      <c r="D137" s="1449"/>
      <c r="F137" s="1449"/>
      <c r="H137" s="1449"/>
      <c r="L137" s="1449"/>
      <c r="M137" s="1449"/>
      <c r="N137" s="1457"/>
    </row>
    <row r="138" spans="1:14" x14ac:dyDescent="0.2">
      <c r="A138" s="1449"/>
      <c r="B138" s="1449"/>
      <c r="C138" s="1449"/>
      <c r="D138" s="1449"/>
      <c r="F138" s="1449"/>
      <c r="H138" s="1449"/>
      <c r="L138" s="1449"/>
      <c r="M138" s="1449"/>
      <c r="N138" s="1457"/>
    </row>
    <row r="139" spans="1:14" x14ac:dyDescent="0.2">
      <c r="A139" s="1449"/>
      <c r="B139" s="1449"/>
      <c r="C139" s="1449"/>
      <c r="D139" s="1449"/>
      <c r="F139" s="1449"/>
      <c r="H139" s="1449"/>
      <c r="L139" s="1449"/>
      <c r="M139" s="1449"/>
      <c r="N139" s="1457"/>
    </row>
    <row r="140" spans="1:14" x14ac:dyDescent="0.2">
      <c r="A140" s="1449"/>
      <c r="B140" s="1449"/>
      <c r="C140" s="1449"/>
      <c r="D140" s="1449"/>
      <c r="F140" s="1449"/>
      <c r="H140" s="1449"/>
      <c r="L140" s="1449"/>
      <c r="M140" s="1449"/>
      <c r="N140" s="1457"/>
    </row>
    <row r="141" spans="1:14" x14ac:dyDescent="0.2">
      <c r="A141" s="1449"/>
      <c r="B141" s="1449"/>
      <c r="C141" s="1449"/>
      <c r="D141" s="1449"/>
      <c r="F141" s="1449"/>
      <c r="H141" s="1449"/>
      <c r="L141" s="1449"/>
      <c r="M141" s="1449"/>
      <c r="N141" s="1457"/>
    </row>
    <row r="142" spans="1:14" x14ac:dyDescent="0.2">
      <c r="A142" s="1449"/>
      <c r="B142" s="1449"/>
      <c r="C142" s="1449"/>
      <c r="D142" s="1449"/>
      <c r="F142" s="1449"/>
      <c r="H142" s="1449"/>
      <c r="L142" s="1449"/>
      <c r="M142" s="1449"/>
      <c r="N142" s="1457"/>
    </row>
    <row r="143" spans="1:14" x14ac:dyDescent="0.2">
      <c r="A143" s="1449"/>
      <c r="B143" s="1449"/>
      <c r="C143" s="1449"/>
      <c r="D143" s="1449"/>
      <c r="F143" s="1449"/>
      <c r="H143" s="1449"/>
      <c r="L143" s="1449"/>
      <c r="M143" s="1449"/>
      <c r="N143" s="1457"/>
    </row>
    <row r="144" spans="1:14" x14ac:dyDescent="0.2">
      <c r="A144" s="1449"/>
      <c r="B144" s="1449"/>
      <c r="C144" s="1449"/>
      <c r="D144" s="1449"/>
      <c r="F144" s="1449"/>
      <c r="H144" s="1449"/>
      <c r="L144" s="1449"/>
      <c r="M144" s="1449"/>
      <c r="N144" s="1457"/>
    </row>
    <row r="145" spans="1:14" x14ac:dyDescent="0.2">
      <c r="A145" s="1449"/>
      <c r="B145" s="1449"/>
      <c r="C145" s="1449"/>
      <c r="D145" s="1449"/>
      <c r="F145" s="1449"/>
      <c r="H145" s="1449"/>
      <c r="L145" s="1449"/>
      <c r="M145" s="1449"/>
      <c r="N145" s="1457"/>
    </row>
    <row r="146" spans="1:14" x14ac:dyDescent="0.2">
      <c r="A146" s="1449"/>
      <c r="B146" s="1449"/>
      <c r="C146" s="1449"/>
      <c r="D146" s="1449"/>
      <c r="F146" s="1449"/>
      <c r="H146" s="1449"/>
      <c r="L146" s="1449"/>
      <c r="M146" s="1449"/>
      <c r="N146" s="1457"/>
    </row>
    <row r="147" spans="1:14" x14ac:dyDescent="0.2">
      <c r="A147" s="1449"/>
      <c r="B147" s="1449"/>
      <c r="C147" s="1449"/>
      <c r="D147" s="1449"/>
      <c r="F147" s="1449"/>
      <c r="H147" s="1449"/>
      <c r="L147" s="1449"/>
      <c r="M147" s="1449"/>
      <c r="N147" s="1457"/>
    </row>
    <row r="148" spans="1:14" x14ac:dyDescent="0.2">
      <c r="A148" s="3227"/>
      <c r="B148" s="3227"/>
      <c r="C148" s="3228"/>
      <c r="D148" s="1455"/>
      <c r="E148" s="1456"/>
      <c r="F148" s="1455"/>
      <c r="G148" s="1456"/>
      <c r="H148" s="1455"/>
      <c r="I148" s="1456"/>
      <c r="J148" s="1456"/>
      <c r="K148" s="1456"/>
      <c r="L148" s="1457"/>
      <c r="M148" s="1457"/>
      <c r="N148" s="1457"/>
    </row>
    <row r="149" spans="1:14" x14ac:dyDescent="0.2">
      <c r="A149" s="3227"/>
      <c r="B149" s="3227"/>
      <c r="C149" s="3228"/>
      <c r="D149" s="1455"/>
      <c r="E149" s="1456"/>
      <c r="F149" s="1455"/>
      <c r="G149" s="1456"/>
      <c r="H149" s="1455"/>
      <c r="I149" s="1456"/>
      <c r="J149" s="1456"/>
      <c r="K149" s="1456"/>
      <c r="L149" s="1457"/>
      <c r="M149" s="1457"/>
      <c r="N149" s="1457"/>
    </row>
  </sheetData>
  <mergeCells count="39">
    <mergeCell ref="A148:C148"/>
    <mergeCell ref="A149:C149"/>
    <mergeCell ref="A48:C48"/>
    <mergeCell ref="A42:C42"/>
    <mergeCell ref="A43:C43"/>
    <mergeCell ref="A44:C44"/>
    <mergeCell ref="A45:C45"/>
    <mergeCell ref="A46:C46"/>
    <mergeCell ref="A47:C47"/>
    <mergeCell ref="A41:C41"/>
    <mergeCell ref="A30:C30"/>
    <mergeCell ref="A31:C31"/>
    <mergeCell ref="A32:C32"/>
    <mergeCell ref="A33:C33"/>
    <mergeCell ref="A34:C34"/>
    <mergeCell ref="A35:C35"/>
    <mergeCell ref="A36:C36"/>
    <mergeCell ref="A37:C37"/>
    <mergeCell ref="A38:C38"/>
    <mergeCell ref="A39:C39"/>
    <mergeCell ref="A40:C40"/>
    <mergeCell ref="A29:C29"/>
    <mergeCell ref="A18:C18"/>
    <mergeCell ref="A19:C19"/>
    <mergeCell ref="A20:C20"/>
    <mergeCell ref="A21:C21"/>
    <mergeCell ref="A22:C22"/>
    <mergeCell ref="A23:C23"/>
    <mergeCell ref="A24:C24"/>
    <mergeCell ref="A25:C25"/>
    <mergeCell ref="A26:C26"/>
    <mergeCell ref="A27:C27"/>
    <mergeCell ref="A28:C28"/>
    <mergeCell ref="A17:C17"/>
    <mergeCell ref="A10:C10"/>
    <mergeCell ref="A11:C11"/>
    <mergeCell ref="A14:M14"/>
    <mergeCell ref="A15:C15"/>
    <mergeCell ref="A16:C16"/>
  </mergeCells>
  <printOptions horizontalCentered="1" verticalCentered="1"/>
  <pageMargins left="0.39370078740157483" right="0.39370078740157483" top="0.39370078740157483" bottom="0.39370078740157483" header="0.59055118110236227" footer="0"/>
  <pageSetup scale="64" fitToWidth="0" fitToHeight="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9" tint="-0.249977111117893"/>
    <pageSetUpPr fitToPage="1"/>
  </sheetPr>
  <dimension ref="A2:N218"/>
  <sheetViews>
    <sheetView showGridLines="0" topLeftCell="A7" zoomScale="85" zoomScaleNormal="85" workbookViewId="0">
      <selection activeCell="B57" sqref="B57"/>
    </sheetView>
  </sheetViews>
  <sheetFormatPr baseColWidth="10" defaultRowHeight="12.75" outlineLevelCol="1" x14ac:dyDescent="0.2"/>
  <cols>
    <col min="1" max="1" width="13.42578125" style="1457" customWidth="1"/>
    <col min="2" max="2" width="23.5703125" style="1457" customWidth="1"/>
    <col min="3" max="3" width="2.7109375" style="1457" customWidth="1"/>
    <col min="4" max="4" width="15.7109375" style="1455" customWidth="1"/>
    <col min="5" max="5" width="10" style="1456" customWidth="1"/>
    <col min="6" max="6" width="15.7109375" style="1455" customWidth="1"/>
    <col min="7" max="7" width="9.5703125" style="1456" customWidth="1"/>
    <col min="8" max="8" width="16" style="1455" customWidth="1"/>
    <col min="9" max="9" width="9.5703125" style="1456" customWidth="1"/>
    <col min="10" max="10" width="16" style="1456" hidden="1" customWidth="1" outlineLevel="1"/>
    <col min="11" max="11" width="9.5703125" style="1456" hidden="1" customWidth="1" outlineLevel="1"/>
    <col min="12" max="12" width="15.7109375" style="1457" hidden="1" customWidth="1" outlineLevel="1"/>
    <col min="13" max="13" width="9.85546875" style="1457" hidden="1" customWidth="1" outlineLevel="1"/>
    <col min="14" max="14" width="11.42578125" style="1457" collapsed="1"/>
    <col min="15" max="16384" width="11.42578125" style="1457"/>
  </cols>
  <sheetData>
    <row r="2" spans="1:14" x14ac:dyDescent="0.2">
      <c r="H2" s="1521"/>
    </row>
    <row r="3" spans="1:14" x14ac:dyDescent="0.2">
      <c r="H3" s="1521"/>
    </row>
    <row r="4" spans="1:14" x14ac:dyDescent="0.2">
      <c r="H4" s="1521"/>
    </row>
    <row r="5" spans="1:14" x14ac:dyDescent="0.2">
      <c r="B5" s="1446" t="s">
        <v>105</v>
      </c>
      <c r="C5" s="1522">
        <f>+General!D6</f>
        <v>0</v>
      </c>
      <c r="D5" s="1460"/>
      <c r="E5" s="1461"/>
      <c r="F5" s="1462"/>
      <c r="G5" s="1461"/>
      <c r="H5" s="1463"/>
      <c r="I5" s="1464"/>
    </row>
    <row r="6" spans="1:14" x14ac:dyDescent="0.2">
      <c r="B6" s="1446" t="s">
        <v>106</v>
      </c>
      <c r="C6" s="1522">
        <f>+General!D7</f>
        <v>0</v>
      </c>
      <c r="D6" s="1465"/>
      <c r="E6" s="1466"/>
      <c r="F6" s="1467"/>
      <c r="G6" s="1466"/>
      <c r="H6" s="1468"/>
      <c r="I6" s="1469"/>
    </row>
    <row r="7" spans="1:14" x14ac:dyDescent="0.2">
      <c r="B7" s="1475" t="str">
        <f>+Activos!B7</f>
        <v>NIT:</v>
      </c>
      <c r="C7" s="1522">
        <f>+General!D9</f>
        <v>0</v>
      </c>
      <c r="D7" s="1461"/>
      <c r="E7" s="1458"/>
      <c r="H7" s="1475" t="s">
        <v>272</v>
      </c>
      <c r="I7" s="1523" t="str">
        <f>General!D20</f>
        <v>NO</v>
      </c>
      <c r="J7" s="1524"/>
      <c r="K7" s="1524"/>
    </row>
    <row r="8" spans="1:14" s="1473" customFormat="1" x14ac:dyDescent="0.2">
      <c r="B8" s="1475" t="s">
        <v>109</v>
      </c>
      <c r="C8" s="1522">
        <f>General!D21</f>
        <v>0</v>
      </c>
      <c r="D8" s="1460"/>
      <c r="E8" s="1474"/>
      <c r="F8" s="1474"/>
      <c r="G8" s="1474"/>
      <c r="H8" s="1474"/>
      <c r="I8" s="1474"/>
      <c r="J8" s="1475"/>
      <c r="K8" s="1475"/>
    </row>
    <row r="9" spans="1:14" s="1473" customFormat="1" ht="13.5" thickBot="1" x14ac:dyDescent="0.25">
      <c r="A9" s="1475"/>
      <c r="B9" s="1475"/>
      <c r="C9" s="1525"/>
      <c r="D9" s="1525"/>
      <c r="E9" s="1526"/>
      <c r="F9" s="1527"/>
      <c r="G9" s="1526"/>
      <c r="H9" s="1527"/>
      <c r="I9" s="1526"/>
      <c r="J9" s="1526"/>
      <c r="K9" s="1526"/>
    </row>
    <row r="10" spans="1:14" s="1473" customFormat="1" ht="15" x14ac:dyDescent="0.25">
      <c r="A10" s="3243" t="s">
        <v>273</v>
      </c>
      <c r="B10" s="3243"/>
      <c r="C10" s="3243"/>
      <c r="D10" s="1478" t="str">
        <f>+Activos!D10</f>
        <v>NO</v>
      </c>
      <c r="E10" s="1479"/>
      <c r="F10" s="1478" t="str">
        <f>+Activos!F10</f>
        <v>NO</v>
      </c>
      <c r="G10" s="1479"/>
      <c r="H10" s="1478" t="str">
        <f>+Activos!H10</f>
        <v>NO</v>
      </c>
      <c r="I10" s="1479"/>
      <c r="J10" s="1478" t="str">
        <f>+Activos!J10</f>
        <v>NO</v>
      </c>
      <c r="K10" s="1479"/>
      <c r="L10" s="1478" t="str">
        <f>+Activos!L10</f>
        <v>NO</v>
      </c>
    </row>
    <row r="11" spans="1:14" s="1473" customFormat="1" ht="13.5" thickBot="1" x14ac:dyDescent="0.25">
      <c r="A11" s="3243" t="s">
        <v>274</v>
      </c>
      <c r="B11" s="3243"/>
      <c r="C11" s="3243"/>
      <c r="D11" s="1480">
        <f>+Activos!D11</f>
        <v>42735</v>
      </c>
      <c r="E11" s="1479"/>
      <c r="F11" s="1480">
        <f>+Activos!F11</f>
        <v>43100</v>
      </c>
      <c r="G11" s="1479"/>
      <c r="H11" s="1480">
        <f>+Activos!H11</f>
        <v>43465</v>
      </c>
      <c r="I11" s="1479"/>
      <c r="J11" s="1480">
        <f>+Activos!J11</f>
        <v>43281</v>
      </c>
      <c r="K11" s="1479"/>
      <c r="L11" s="1480">
        <f>+Activos!L11</f>
        <v>43646</v>
      </c>
    </row>
    <row r="12" spans="1:14" s="1473" customFormat="1" ht="13.5" thickBot="1" x14ac:dyDescent="0.25">
      <c r="D12" s="1527"/>
      <c r="E12" s="1526"/>
      <c r="F12" s="1527"/>
      <c r="G12" s="1526"/>
      <c r="H12" s="1527"/>
      <c r="I12" s="1526"/>
      <c r="J12" s="1527"/>
      <c r="K12" s="1526"/>
      <c r="L12" s="1527"/>
    </row>
    <row r="13" spans="1:14" s="1473" customFormat="1" ht="13.5" thickBot="1" x14ac:dyDescent="0.25">
      <c r="A13" s="1481"/>
      <c r="B13" s="1481"/>
      <c r="C13" s="1481"/>
      <c r="D13" s="1482" t="str">
        <f>+Activos!D13</f>
        <v>COP MM</v>
      </c>
      <c r="E13" s="1483" t="s">
        <v>275</v>
      </c>
      <c r="F13" s="1482" t="str">
        <f>+Activos!F13</f>
        <v>COP MM</v>
      </c>
      <c r="G13" s="1483" t="s">
        <v>275</v>
      </c>
      <c r="H13" s="1482" t="str">
        <f>+Activos!H13</f>
        <v>COP MM</v>
      </c>
      <c r="I13" s="1483" t="s">
        <v>275</v>
      </c>
      <c r="J13" s="1482" t="str">
        <f>+Activos!J13</f>
        <v>COP MM</v>
      </c>
      <c r="K13" s="1483" t="s">
        <v>275</v>
      </c>
      <c r="L13" s="1482" t="str">
        <f>+Activos!L13</f>
        <v>COP MM</v>
      </c>
      <c r="M13" s="1483" t="s">
        <v>275</v>
      </c>
    </row>
    <row r="14" spans="1:14" s="1445" customFormat="1" ht="15.75" thickBot="1" x14ac:dyDescent="0.3">
      <c r="A14" s="3211" t="s">
        <v>304</v>
      </c>
      <c r="B14" s="3212"/>
      <c r="C14" s="3212"/>
      <c r="D14" s="3212"/>
      <c r="E14" s="3212"/>
      <c r="F14" s="3212"/>
      <c r="G14" s="3212"/>
      <c r="H14" s="3212"/>
      <c r="I14" s="3212"/>
      <c r="J14" s="3212"/>
      <c r="K14" s="3212"/>
      <c r="L14" s="3212"/>
      <c r="M14" s="3212"/>
    </row>
    <row r="15" spans="1:14" s="1445" customFormat="1" x14ac:dyDescent="0.2">
      <c r="A15" s="3244" t="str">
        <f>'Info Entrada'!B215</f>
        <v>Obligaciones Financieras Corto Plazo</v>
      </c>
      <c r="B15" s="3245"/>
      <c r="C15" s="3245"/>
      <c r="D15" s="1528">
        <f>'Info Entrada'!C215</f>
        <v>0</v>
      </c>
      <c r="E15" s="1529" t="e">
        <f t="shared" ref="E15:E26" si="0">+D15/D$49</f>
        <v>#DIV/0!</v>
      </c>
      <c r="F15" s="1528">
        <f>'Info Entrada'!D215</f>
        <v>0</v>
      </c>
      <c r="G15" s="1529" t="e">
        <f t="shared" ref="G15:G26" si="1">+F15/F$49</f>
        <v>#DIV/0!</v>
      </c>
      <c r="H15" s="1528">
        <f>'Info Entrada'!E215</f>
        <v>0</v>
      </c>
      <c r="I15" s="1529" t="e">
        <f t="shared" ref="I15:I49" si="2">+H15/H$49</f>
        <v>#DIV/0!</v>
      </c>
      <c r="J15" s="1528">
        <f>'Info Entrada'!F215</f>
        <v>0</v>
      </c>
      <c r="K15" s="1529" t="e">
        <f t="shared" ref="K15:K49" si="3">+J15/J$49</f>
        <v>#DIV/0!</v>
      </c>
      <c r="L15" s="1528">
        <f>'Info Entrada'!G215</f>
        <v>0</v>
      </c>
      <c r="M15" s="1530" t="e">
        <f t="shared" ref="M15:M49" si="4">+L15/L$49</f>
        <v>#DIV/0!</v>
      </c>
      <c r="N15" s="1457"/>
    </row>
    <row r="16" spans="1:14" s="1445" customFormat="1" x14ac:dyDescent="0.2">
      <c r="A16" s="3257" t="str">
        <f>'Info Entrada'!B216</f>
        <v>Otra Deuda Financiera de Corto Plazo</v>
      </c>
      <c r="B16" s="3258"/>
      <c r="C16" s="3258"/>
      <c r="D16" s="1531">
        <f>'Info Entrada'!C216</f>
        <v>0</v>
      </c>
      <c r="E16" s="1532" t="e">
        <f t="shared" si="0"/>
        <v>#DIV/0!</v>
      </c>
      <c r="F16" s="1531">
        <f>'Info Entrada'!D216</f>
        <v>0</v>
      </c>
      <c r="G16" s="1532" t="e">
        <f t="shared" si="1"/>
        <v>#DIV/0!</v>
      </c>
      <c r="H16" s="1531">
        <f>'Info Entrada'!E216</f>
        <v>0</v>
      </c>
      <c r="I16" s="1532" t="e">
        <f t="shared" si="2"/>
        <v>#DIV/0!</v>
      </c>
      <c r="J16" s="1531">
        <f>'Info Entrada'!F216</f>
        <v>0</v>
      </c>
      <c r="K16" s="1532" t="e">
        <f t="shared" si="3"/>
        <v>#DIV/0!</v>
      </c>
      <c r="L16" s="1531">
        <f>'Info Entrada'!G216</f>
        <v>0</v>
      </c>
      <c r="M16" s="1533" t="e">
        <f t="shared" si="4"/>
        <v>#DIV/0!</v>
      </c>
      <c r="N16" s="1457"/>
    </row>
    <row r="17" spans="1:14" s="1445" customFormat="1" x14ac:dyDescent="0.2">
      <c r="A17" s="3257" t="str">
        <f>'Info Entrada'!B217</f>
        <v>Porción Circulante de Deuda de L/P</v>
      </c>
      <c r="B17" s="3258"/>
      <c r="C17" s="3258"/>
      <c r="D17" s="1531">
        <f>'Info Entrada'!C217</f>
        <v>0</v>
      </c>
      <c r="E17" s="1532" t="e">
        <f t="shared" si="0"/>
        <v>#DIV/0!</v>
      </c>
      <c r="F17" s="1531">
        <f>'Info Entrada'!D217</f>
        <v>0</v>
      </c>
      <c r="G17" s="1532" t="e">
        <f t="shared" si="1"/>
        <v>#DIV/0!</v>
      </c>
      <c r="H17" s="1531">
        <f>'Info Entrada'!E217</f>
        <v>0</v>
      </c>
      <c r="I17" s="1532" t="e">
        <f t="shared" si="2"/>
        <v>#DIV/0!</v>
      </c>
      <c r="J17" s="1531">
        <f>'Info Entrada'!F217</f>
        <v>0</v>
      </c>
      <c r="K17" s="1532" t="e">
        <f t="shared" si="3"/>
        <v>#DIV/0!</v>
      </c>
      <c r="L17" s="1531">
        <f>'Info Entrada'!G217</f>
        <v>0</v>
      </c>
      <c r="M17" s="1533" t="e">
        <f t="shared" si="4"/>
        <v>#DIV/0!</v>
      </c>
      <c r="N17" s="1457"/>
    </row>
    <row r="18" spans="1:14" s="1445" customFormat="1" x14ac:dyDescent="0.2">
      <c r="A18" s="3257" t="str">
        <f>'Info Entrada'!B218</f>
        <v>Proveedores</v>
      </c>
      <c r="B18" s="3258"/>
      <c r="C18" s="3258"/>
      <c r="D18" s="1531">
        <f>'Info Entrada'!C218</f>
        <v>0</v>
      </c>
      <c r="E18" s="1532" t="e">
        <f t="shared" si="0"/>
        <v>#DIV/0!</v>
      </c>
      <c r="F18" s="1531">
        <f>'Info Entrada'!D218</f>
        <v>0</v>
      </c>
      <c r="G18" s="1532" t="e">
        <f t="shared" si="1"/>
        <v>#DIV/0!</v>
      </c>
      <c r="H18" s="1531">
        <f>'Info Entrada'!E218</f>
        <v>0</v>
      </c>
      <c r="I18" s="1532" t="e">
        <f t="shared" si="2"/>
        <v>#DIV/0!</v>
      </c>
      <c r="J18" s="1531">
        <f>'Info Entrada'!F218</f>
        <v>0</v>
      </c>
      <c r="K18" s="1532" t="e">
        <f t="shared" si="3"/>
        <v>#DIV/0!</v>
      </c>
      <c r="L18" s="1531">
        <f>'Info Entrada'!G218</f>
        <v>0</v>
      </c>
      <c r="M18" s="1533" t="e">
        <f t="shared" si="4"/>
        <v>#DIV/0!</v>
      </c>
      <c r="N18" s="1457"/>
    </row>
    <row r="19" spans="1:14" s="1445" customFormat="1" x14ac:dyDescent="0.2">
      <c r="A19" s="3259" t="str">
        <f>'Info Entrada'!B219</f>
        <v>Proveedores Grupo</v>
      </c>
      <c r="B19" s="3260"/>
      <c r="C19" s="3247"/>
      <c r="D19" s="1534">
        <f>'Info Entrada'!C219</f>
        <v>0</v>
      </c>
      <c r="E19" s="1535" t="e">
        <f t="shared" si="0"/>
        <v>#DIV/0!</v>
      </c>
      <c r="F19" s="1534">
        <f>'Info Entrada'!D219</f>
        <v>0</v>
      </c>
      <c r="G19" s="1535" t="e">
        <f t="shared" si="1"/>
        <v>#DIV/0!</v>
      </c>
      <c r="H19" s="1534">
        <f>'Info Entrada'!E219</f>
        <v>0</v>
      </c>
      <c r="I19" s="1535" t="e">
        <f t="shared" si="2"/>
        <v>#DIV/0!</v>
      </c>
      <c r="J19" s="1534">
        <f>'Info Entrada'!F219</f>
        <v>0</v>
      </c>
      <c r="K19" s="1535" t="e">
        <f t="shared" si="3"/>
        <v>#DIV/0!</v>
      </c>
      <c r="L19" s="1531">
        <f>'Info Entrada'!G219</f>
        <v>0</v>
      </c>
      <c r="M19" s="1536" t="e">
        <f t="shared" si="4"/>
        <v>#DIV/0!</v>
      </c>
      <c r="N19" s="1457"/>
    </row>
    <row r="20" spans="1:14" s="1445" customFormat="1" x14ac:dyDescent="0.2">
      <c r="A20" s="3246" t="str">
        <f>'Info Entrada'!B220</f>
        <v>Cuentas Financieras a Pagar Grupo</v>
      </c>
      <c r="B20" s="3247"/>
      <c r="C20" s="3247"/>
      <c r="D20" s="1534">
        <f>'Info Entrada'!C220</f>
        <v>0</v>
      </c>
      <c r="E20" s="1535" t="e">
        <f t="shared" si="0"/>
        <v>#DIV/0!</v>
      </c>
      <c r="F20" s="1534">
        <f>'Info Entrada'!D220</f>
        <v>0</v>
      </c>
      <c r="G20" s="1535" t="e">
        <f t="shared" si="1"/>
        <v>#DIV/0!</v>
      </c>
      <c r="H20" s="1534">
        <f>'Info Entrada'!E220</f>
        <v>0</v>
      </c>
      <c r="I20" s="1535" t="e">
        <f t="shared" si="2"/>
        <v>#DIV/0!</v>
      </c>
      <c r="J20" s="1534">
        <f>'Info Entrada'!F220</f>
        <v>0</v>
      </c>
      <c r="K20" s="1535" t="e">
        <f t="shared" si="3"/>
        <v>#DIV/0!</v>
      </c>
      <c r="L20" s="1531">
        <f>'Info Entrada'!G220</f>
        <v>0</v>
      </c>
      <c r="M20" s="1536" t="e">
        <f t="shared" si="4"/>
        <v>#DIV/0!</v>
      </c>
      <c r="N20" s="1457"/>
    </row>
    <row r="21" spans="1:14" s="1445" customFormat="1" x14ac:dyDescent="0.2">
      <c r="A21" s="3246" t="str">
        <f>'Info Entrada'!B221</f>
        <v>Costos y Gastos por Pagar (Acreedores Varios)</v>
      </c>
      <c r="B21" s="3247"/>
      <c r="C21" s="3247"/>
      <c r="D21" s="1534">
        <f>'Info Entrada'!C221</f>
        <v>0</v>
      </c>
      <c r="E21" s="1535" t="e">
        <f t="shared" si="0"/>
        <v>#DIV/0!</v>
      </c>
      <c r="F21" s="1537">
        <f>'Info Entrada'!D221</f>
        <v>0</v>
      </c>
      <c r="G21" s="1535" t="e">
        <f t="shared" si="1"/>
        <v>#DIV/0!</v>
      </c>
      <c r="H21" s="1537">
        <f>'Info Entrada'!E221</f>
        <v>0</v>
      </c>
      <c r="I21" s="1535" t="e">
        <f t="shared" si="2"/>
        <v>#DIV/0!</v>
      </c>
      <c r="J21" s="1537">
        <f>'Info Entrada'!F221</f>
        <v>0</v>
      </c>
      <c r="K21" s="1535" t="e">
        <f t="shared" si="3"/>
        <v>#DIV/0!</v>
      </c>
      <c r="L21" s="1531">
        <f>'Info Entrada'!G221</f>
        <v>0</v>
      </c>
      <c r="M21" s="1536" t="e">
        <f t="shared" si="4"/>
        <v>#DIV/0!</v>
      </c>
      <c r="N21" s="1457"/>
    </row>
    <row r="22" spans="1:14" s="1445" customFormat="1" x14ac:dyDescent="0.2">
      <c r="A22" s="3246" t="str">
        <f>'Info Entrada'!B222</f>
        <v>Impuestos por Pagar</v>
      </c>
      <c r="B22" s="3247"/>
      <c r="C22" s="3247"/>
      <c r="D22" s="1534">
        <f>'Info Entrada'!C222</f>
        <v>0</v>
      </c>
      <c r="E22" s="1535" t="e">
        <f t="shared" si="0"/>
        <v>#DIV/0!</v>
      </c>
      <c r="F22" s="1534">
        <f>'Info Entrada'!D222</f>
        <v>0</v>
      </c>
      <c r="G22" s="1535" t="e">
        <f t="shared" si="1"/>
        <v>#DIV/0!</v>
      </c>
      <c r="H22" s="1534">
        <f>'Info Entrada'!E222</f>
        <v>0</v>
      </c>
      <c r="I22" s="1535" t="e">
        <f t="shared" si="2"/>
        <v>#DIV/0!</v>
      </c>
      <c r="J22" s="1534">
        <f>'Info Entrada'!F222</f>
        <v>0</v>
      </c>
      <c r="K22" s="1535" t="e">
        <f t="shared" si="3"/>
        <v>#DIV/0!</v>
      </c>
      <c r="L22" s="1531">
        <f>'Info Entrada'!G222</f>
        <v>0</v>
      </c>
      <c r="M22" s="1536" t="e">
        <f t="shared" si="4"/>
        <v>#DIV/0!</v>
      </c>
      <c r="N22" s="1457"/>
    </row>
    <row r="23" spans="1:14" s="1445" customFormat="1" x14ac:dyDescent="0.2">
      <c r="A23" s="3246" t="str">
        <f>'Info Entrada'!B223</f>
        <v>Dividendos por Pagar</v>
      </c>
      <c r="B23" s="3247"/>
      <c r="C23" s="3247"/>
      <c r="D23" s="1534">
        <f>'Info Entrada'!C223</f>
        <v>0</v>
      </c>
      <c r="E23" s="1535" t="e">
        <f t="shared" si="0"/>
        <v>#DIV/0!</v>
      </c>
      <c r="F23" s="1534">
        <f>'Info Entrada'!D223</f>
        <v>0</v>
      </c>
      <c r="G23" s="1535" t="e">
        <f t="shared" si="1"/>
        <v>#DIV/0!</v>
      </c>
      <c r="H23" s="1534">
        <f>'Info Entrada'!E223</f>
        <v>0</v>
      </c>
      <c r="I23" s="1535" t="e">
        <f t="shared" si="2"/>
        <v>#DIV/0!</v>
      </c>
      <c r="J23" s="1534">
        <f>'Info Entrada'!F223</f>
        <v>0</v>
      </c>
      <c r="K23" s="1535" t="e">
        <f t="shared" si="3"/>
        <v>#DIV/0!</v>
      </c>
      <c r="L23" s="1531">
        <f>'Info Entrada'!G223</f>
        <v>0</v>
      </c>
      <c r="M23" s="1536" t="e">
        <f t="shared" si="4"/>
        <v>#DIV/0!</v>
      </c>
      <c r="N23" s="1457"/>
    </row>
    <row r="24" spans="1:14" s="1445" customFormat="1" x14ac:dyDescent="0.2">
      <c r="A24" s="3246" t="str">
        <f>'Info Entrada'!B224</f>
        <v>Obligaciones Laborales</v>
      </c>
      <c r="B24" s="3247"/>
      <c r="C24" s="3247"/>
      <c r="D24" s="1534">
        <f>'Info Entrada'!C224</f>
        <v>0</v>
      </c>
      <c r="E24" s="1535" t="e">
        <f t="shared" si="0"/>
        <v>#DIV/0!</v>
      </c>
      <c r="F24" s="1534">
        <f>'Info Entrada'!D224</f>
        <v>0</v>
      </c>
      <c r="G24" s="1535" t="e">
        <f t="shared" si="1"/>
        <v>#DIV/0!</v>
      </c>
      <c r="H24" s="1534">
        <f>'Info Entrada'!E224</f>
        <v>0</v>
      </c>
      <c r="I24" s="1535" t="e">
        <f t="shared" si="2"/>
        <v>#DIV/0!</v>
      </c>
      <c r="J24" s="1534">
        <f>'Info Entrada'!F224</f>
        <v>0</v>
      </c>
      <c r="K24" s="1535" t="e">
        <f t="shared" si="3"/>
        <v>#DIV/0!</v>
      </c>
      <c r="L24" s="1531">
        <f>'Info Entrada'!G224</f>
        <v>0</v>
      </c>
      <c r="M24" s="1536" t="e">
        <f t="shared" si="4"/>
        <v>#DIV/0!</v>
      </c>
      <c r="N24" s="1457"/>
    </row>
    <row r="25" spans="1:14" s="1445" customFormat="1" x14ac:dyDescent="0.2">
      <c r="A25" s="3246" t="str">
        <f>'Info Entrada'!B225</f>
        <v>Otros Pasivos C/P</v>
      </c>
      <c r="B25" s="3247"/>
      <c r="C25" s="3247"/>
      <c r="D25" s="1537">
        <f>'Info Entrada'!C225</f>
        <v>0</v>
      </c>
      <c r="E25" s="1535" t="e">
        <f t="shared" si="0"/>
        <v>#DIV/0!</v>
      </c>
      <c r="F25" s="1534">
        <f>'Info Entrada'!D225</f>
        <v>0</v>
      </c>
      <c r="G25" s="1535" t="e">
        <f t="shared" si="1"/>
        <v>#DIV/0!</v>
      </c>
      <c r="H25" s="1534">
        <f>'Info Entrada'!E225</f>
        <v>0</v>
      </c>
      <c r="I25" s="1535" t="e">
        <f t="shared" si="2"/>
        <v>#DIV/0!</v>
      </c>
      <c r="J25" s="1534">
        <f>'Info Entrada'!F225</f>
        <v>0</v>
      </c>
      <c r="K25" s="1535" t="e">
        <f t="shared" si="3"/>
        <v>#DIV/0!</v>
      </c>
      <c r="L25" s="1531">
        <f>'Info Entrada'!G225</f>
        <v>0</v>
      </c>
      <c r="M25" s="1536" t="e">
        <f t="shared" si="4"/>
        <v>#DIV/0!</v>
      </c>
      <c r="N25" s="1457"/>
    </row>
    <row r="26" spans="1:14" s="1445" customFormat="1" ht="13.5" thickBot="1" x14ac:dyDescent="0.25">
      <c r="A26" s="3255" t="str">
        <f>'Info Entrada'!B226</f>
        <v>Anticipos recibidos</v>
      </c>
      <c r="B26" s="3256"/>
      <c r="C26" s="3256"/>
      <c r="D26" s="1538">
        <f>'Info Entrada'!C226</f>
        <v>0</v>
      </c>
      <c r="E26" s="1539" t="e">
        <f t="shared" si="0"/>
        <v>#DIV/0!</v>
      </c>
      <c r="F26" s="1538">
        <f>'Info Entrada'!D226</f>
        <v>0</v>
      </c>
      <c r="G26" s="1539" t="e">
        <f t="shared" si="1"/>
        <v>#DIV/0!</v>
      </c>
      <c r="H26" s="1538">
        <f>'Info Entrada'!E226</f>
        <v>0</v>
      </c>
      <c r="I26" s="1539" t="e">
        <f t="shared" si="2"/>
        <v>#DIV/0!</v>
      </c>
      <c r="J26" s="1538">
        <f>'Info Entrada'!F226</f>
        <v>0</v>
      </c>
      <c r="K26" s="1539" t="e">
        <f t="shared" si="3"/>
        <v>#DIV/0!</v>
      </c>
      <c r="L26" s="1538">
        <f>'Info Entrada'!G226</f>
        <v>0</v>
      </c>
      <c r="M26" s="1540" t="e">
        <f t="shared" si="4"/>
        <v>#DIV/0!</v>
      </c>
      <c r="N26" s="1457"/>
    </row>
    <row r="27" spans="1:14" s="1445" customFormat="1" ht="13.5" thickBot="1" x14ac:dyDescent="0.25">
      <c r="A27" s="3248" t="str">
        <f>'Info Entrada'!B227</f>
        <v>PASIVO CIRCULANTE</v>
      </c>
      <c r="B27" s="3249"/>
      <c r="C27" s="3250"/>
      <c r="D27" s="1541">
        <f>SUM(D15:D26)</f>
        <v>0</v>
      </c>
      <c r="E27" s="1542" t="e">
        <f t="shared" ref="E27:E49" si="5">+D27/D$49</f>
        <v>#DIV/0!</v>
      </c>
      <c r="F27" s="1541">
        <f>SUM(F15:F26)</f>
        <v>0</v>
      </c>
      <c r="G27" s="1542" t="e">
        <f t="shared" ref="G27:G43" si="6">+F27/F$49</f>
        <v>#DIV/0!</v>
      </c>
      <c r="H27" s="1541">
        <f>SUM(H15:H26)</f>
        <v>0</v>
      </c>
      <c r="I27" s="1542" t="e">
        <f t="shared" si="2"/>
        <v>#DIV/0!</v>
      </c>
      <c r="J27" s="1541">
        <f>SUM(J15:J26)</f>
        <v>0</v>
      </c>
      <c r="K27" s="1542" t="e">
        <f t="shared" si="3"/>
        <v>#DIV/0!</v>
      </c>
      <c r="L27" s="1541">
        <f>SUM(L15:L26)</f>
        <v>0</v>
      </c>
      <c r="M27" s="1543" t="e">
        <f t="shared" si="4"/>
        <v>#DIV/0!</v>
      </c>
      <c r="N27" s="1457"/>
    </row>
    <row r="28" spans="1:14" s="1445" customFormat="1" x14ac:dyDescent="0.2">
      <c r="A28" s="3251" t="str">
        <f>'Info Entrada'!B228</f>
        <v>Créditos Bancarios de L/P</v>
      </c>
      <c r="B28" s="3252"/>
      <c r="C28" s="3252"/>
      <c r="D28" s="1544">
        <f>'Info Entrada'!C228</f>
        <v>0</v>
      </c>
      <c r="E28" s="1545" t="e">
        <f t="shared" si="5"/>
        <v>#DIV/0!</v>
      </c>
      <c r="F28" s="1544">
        <f>'Info Entrada'!D228</f>
        <v>0</v>
      </c>
      <c r="G28" s="1545" t="e">
        <f t="shared" si="6"/>
        <v>#DIV/0!</v>
      </c>
      <c r="H28" s="1544">
        <f>'Info Entrada'!E228</f>
        <v>0</v>
      </c>
      <c r="I28" s="1545" t="e">
        <f t="shared" si="2"/>
        <v>#DIV/0!</v>
      </c>
      <c r="J28" s="1544">
        <f>'Info Entrada'!F228</f>
        <v>0</v>
      </c>
      <c r="K28" s="1545" t="e">
        <f t="shared" si="3"/>
        <v>#DIV/0!</v>
      </c>
      <c r="L28" s="1544">
        <f>'Info Entrada'!G228</f>
        <v>0</v>
      </c>
      <c r="M28" s="1546" t="e">
        <f t="shared" si="4"/>
        <v>#DIV/0!</v>
      </c>
      <c r="N28" s="1457"/>
    </row>
    <row r="29" spans="1:14" s="1445" customFormat="1" x14ac:dyDescent="0.2">
      <c r="A29" s="3246" t="str">
        <f>'Info Entrada'!B229</f>
        <v>Arrendamiento / Leasing</v>
      </c>
      <c r="B29" s="3247"/>
      <c r="C29" s="3247"/>
      <c r="D29" s="1534">
        <f>'Info Entrada'!C229</f>
        <v>0</v>
      </c>
      <c r="E29" s="1535" t="e">
        <f t="shared" si="5"/>
        <v>#DIV/0!</v>
      </c>
      <c r="F29" s="1534">
        <f>'Info Entrada'!D229</f>
        <v>0</v>
      </c>
      <c r="G29" s="1535" t="e">
        <f t="shared" si="6"/>
        <v>#DIV/0!</v>
      </c>
      <c r="H29" s="1534">
        <f>'Info Entrada'!E229</f>
        <v>0</v>
      </c>
      <c r="I29" s="1535" t="e">
        <f t="shared" si="2"/>
        <v>#DIV/0!</v>
      </c>
      <c r="J29" s="1534">
        <f>'Info Entrada'!F229</f>
        <v>0</v>
      </c>
      <c r="K29" s="1535" t="e">
        <f t="shared" si="3"/>
        <v>#DIV/0!</v>
      </c>
      <c r="L29" s="1534">
        <f>'Info Entrada'!G229</f>
        <v>0</v>
      </c>
      <c r="M29" s="1536" t="e">
        <f t="shared" si="4"/>
        <v>#DIV/0!</v>
      </c>
      <c r="N29" s="1457"/>
    </row>
    <row r="30" spans="1:14" s="1445" customFormat="1" x14ac:dyDescent="0.2">
      <c r="A30" s="3246" t="str">
        <f>'Info Entrada'!B230</f>
        <v>Cuentas por Pagar L/P</v>
      </c>
      <c r="B30" s="3247"/>
      <c r="C30" s="3247"/>
      <c r="D30" s="1534">
        <f>'Info Entrada'!C230</f>
        <v>0</v>
      </c>
      <c r="E30" s="1535" t="e">
        <f t="shared" si="5"/>
        <v>#DIV/0!</v>
      </c>
      <c r="F30" s="1534">
        <f>'Info Entrada'!D230</f>
        <v>0</v>
      </c>
      <c r="G30" s="1535" t="e">
        <f t="shared" si="6"/>
        <v>#DIV/0!</v>
      </c>
      <c r="H30" s="1534">
        <f>'Info Entrada'!E230</f>
        <v>0</v>
      </c>
      <c r="I30" s="1535" t="e">
        <f t="shared" si="2"/>
        <v>#DIV/0!</v>
      </c>
      <c r="J30" s="1534">
        <f>'Info Entrada'!F230</f>
        <v>0</v>
      </c>
      <c r="K30" s="1535" t="e">
        <f t="shared" si="3"/>
        <v>#DIV/0!</v>
      </c>
      <c r="L30" s="1534">
        <f>'Info Entrada'!G230</f>
        <v>0</v>
      </c>
      <c r="M30" s="1536" t="e">
        <f t="shared" si="4"/>
        <v>#DIV/0!</v>
      </c>
      <c r="N30" s="1457"/>
    </row>
    <row r="31" spans="1:14" s="1445" customFormat="1" x14ac:dyDescent="0.2">
      <c r="A31" s="3246" t="str">
        <f>'Info Entrada'!B231</f>
        <v>Cuentas por Pagar L/P Grupo y/o Asociadas</v>
      </c>
      <c r="B31" s="3247"/>
      <c r="C31" s="3247"/>
      <c r="D31" s="1534">
        <f>'Info Entrada'!C231</f>
        <v>0</v>
      </c>
      <c r="E31" s="1535" t="e">
        <f t="shared" si="5"/>
        <v>#DIV/0!</v>
      </c>
      <c r="F31" s="1534">
        <f>'Info Entrada'!D231</f>
        <v>0</v>
      </c>
      <c r="G31" s="1535" t="e">
        <f t="shared" si="6"/>
        <v>#DIV/0!</v>
      </c>
      <c r="H31" s="1534">
        <f>'Info Entrada'!E231</f>
        <v>0</v>
      </c>
      <c r="I31" s="1535" t="e">
        <f t="shared" si="2"/>
        <v>#DIV/0!</v>
      </c>
      <c r="J31" s="1534">
        <f>'Info Entrada'!F231</f>
        <v>0</v>
      </c>
      <c r="K31" s="1535" t="e">
        <f t="shared" si="3"/>
        <v>#DIV/0!</v>
      </c>
      <c r="L31" s="1534">
        <f>'Info Entrada'!G231</f>
        <v>0</v>
      </c>
      <c r="M31" s="1536" t="e">
        <f t="shared" si="4"/>
        <v>#DIV/0!</v>
      </c>
      <c r="N31" s="1457"/>
    </row>
    <row r="32" spans="1:14" s="1445" customFormat="1" x14ac:dyDescent="0.2">
      <c r="A32" s="3246" t="str">
        <f>'Info Entrada'!B232</f>
        <v>Impuestos por Pagar L/P</v>
      </c>
      <c r="B32" s="3247"/>
      <c r="C32" s="3247"/>
      <c r="D32" s="1534">
        <f>'Info Entrada'!C232</f>
        <v>0</v>
      </c>
      <c r="E32" s="1535" t="e">
        <f t="shared" si="5"/>
        <v>#DIV/0!</v>
      </c>
      <c r="F32" s="1534">
        <f>'Info Entrada'!D232</f>
        <v>0</v>
      </c>
      <c r="G32" s="1535" t="e">
        <f t="shared" si="6"/>
        <v>#DIV/0!</v>
      </c>
      <c r="H32" s="1534">
        <f>'Info Entrada'!E232</f>
        <v>0</v>
      </c>
      <c r="I32" s="1535" t="e">
        <f t="shared" si="2"/>
        <v>#DIV/0!</v>
      </c>
      <c r="J32" s="1534">
        <f>'Info Entrada'!F232</f>
        <v>0</v>
      </c>
      <c r="K32" s="1535" t="e">
        <f t="shared" si="3"/>
        <v>#DIV/0!</v>
      </c>
      <c r="L32" s="1534">
        <f>'Info Entrada'!G232</f>
        <v>0</v>
      </c>
      <c r="M32" s="1536" t="e">
        <f t="shared" si="4"/>
        <v>#DIV/0!</v>
      </c>
      <c r="N32" s="1457"/>
    </row>
    <row r="33" spans="1:14" s="1445" customFormat="1" x14ac:dyDescent="0.2">
      <c r="A33" s="3246" t="str">
        <f>'Info Entrada'!B233</f>
        <v>Pensiones de Jubilación</v>
      </c>
      <c r="B33" s="3247"/>
      <c r="C33" s="3247"/>
      <c r="D33" s="1534">
        <f>'Info Entrada'!C233</f>
        <v>0</v>
      </c>
      <c r="E33" s="1535" t="e">
        <f t="shared" si="5"/>
        <v>#DIV/0!</v>
      </c>
      <c r="F33" s="1534">
        <f>'Info Entrada'!D233</f>
        <v>0</v>
      </c>
      <c r="G33" s="1535" t="e">
        <f t="shared" si="6"/>
        <v>#DIV/0!</v>
      </c>
      <c r="H33" s="1534">
        <f>'Info Entrada'!E233</f>
        <v>0</v>
      </c>
      <c r="I33" s="1535" t="e">
        <f t="shared" si="2"/>
        <v>#DIV/0!</v>
      </c>
      <c r="J33" s="1534">
        <f>'Info Entrada'!F233</f>
        <v>0</v>
      </c>
      <c r="K33" s="1535" t="e">
        <f t="shared" si="3"/>
        <v>#DIV/0!</v>
      </c>
      <c r="L33" s="1534">
        <f>'Info Entrada'!G233</f>
        <v>0</v>
      </c>
      <c r="M33" s="1536" t="e">
        <f t="shared" si="4"/>
        <v>#DIV/0!</v>
      </c>
      <c r="N33" s="1457"/>
    </row>
    <row r="34" spans="1:14" s="1445" customFormat="1" x14ac:dyDescent="0.2">
      <c r="A34" s="3246" t="str">
        <f>'Info Entrada'!B234</f>
        <v>Pasivos Diferidos</v>
      </c>
      <c r="B34" s="3247"/>
      <c r="C34" s="3247"/>
      <c r="D34" s="1534">
        <f>'Info Entrada'!C234</f>
        <v>0</v>
      </c>
      <c r="E34" s="1535" t="e">
        <f t="shared" si="5"/>
        <v>#DIV/0!</v>
      </c>
      <c r="F34" s="1534">
        <f>'Info Entrada'!D234</f>
        <v>0</v>
      </c>
      <c r="G34" s="1535" t="e">
        <f t="shared" si="6"/>
        <v>#DIV/0!</v>
      </c>
      <c r="H34" s="1534">
        <f>'Info Entrada'!E234</f>
        <v>0</v>
      </c>
      <c r="I34" s="1535" t="e">
        <f t="shared" si="2"/>
        <v>#DIV/0!</v>
      </c>
      <c r="J34" s="1534">
        <f>'Info Entrada'!F234</f>
        <v>0</v>
      </c>
      <c r="K34" s="1535" t="e">
        <f t="shared" si="3"/>
        <v>#DIV/0!</v>
      </c>
      <c r="L34" s="1534">
        <f>'Info Entrada'!G234</f>
        <v>0</v>
      </c>
      <c r="M34" s="1536" t="e">
        <f t="shared" si="4"/>
        <v>#DIV/0!</v>
      </c>
      <c r="N34" s="1457"/>
    </row>
    <row r="35" spans="1:14" s="1445" customFormat="1" ht="13.5" thickBot="1" x14ac:dyDescent="0.25">
      <c r="A35" s="3255" t="str">
        <f>'Info Entrada'!B235</f>
        <v>Bonos y Papeles Comerciales LP</v>
      </c>
      <c r="B35" s="3256"/>
      <c r="C35" s="3256"/>
      <c r="D35" s="1538">
        <f>'Info Entrada'!C235</f>
        <v>0</v>
      </c>
      <c r="E35" s="1539" t="e">
        <f t="shared" si="5"/>
        <v>#DIV/0!</v>
      </c>
      <c r="F35" s="1538">
        <f>'Info Entrada'!D235</f>
        <v>0</v>
      </c>
      <c r="G35" s="1539" t="e">
        <f t="shared" si="6"/>
        <v>#DIV/0!</v>
      </c>
      <c r="H35" s="1538">
        <f>'Info Entrada'!E235</f>
        <v>0</v>
      </c>
      <c r="I35" s="1539" t="e">
        <f t="shared" si="2"/>
        <v>#DIV/0!</v>
      </c>
      <c r="J35" s="1538">
        <f>'Info Entrada'!F235</f>
        <v>0</v>
      </c>
      <c r="K35" s="1539" t="e">
        <f t="shared" si="3"/>
        <v>#DIV/0!</v>
      </c>
      <c r="L35" s="1538">
        <f>'Info Entrada'!G235</f>
        <v>0</v>
      </c>
      <c r="M35" s="1540" t="e">
        <f t="shared" si="4"/>
        <v>#DIV/0!</v>
      </c>
      <c r="N35" s="1457"/>
    </row>
    <row r="36" spans="1:14" s="1445" customFormat="1" ht="13.5" thickBot="1" x14ac:dyDescent="0.25">
      <c r="A36" s="3248" t="str">
        <f>'Info Entrada'!B236</f>
        <v>PASIVO LARGO PLAZO</v>
      </c>
      <c r="B36" s="3249"/>
      <c r="C36" s="3250"/>
      <c r="D36" s="1541">
        <f>SUM(D28:D35)</f>
        <v>0</v>
      </c>
      <c r="E36" s="1542" t="e">
        <f t="shared" si="5"/>
        <v>#DIV/0!</v>
      </c>
      <c r="F36" s="1541">
        <f>SUM(F28:F35)</f>
        <v>0</v>
      </c>
      <c r="G36" s="1542" t="e">
        <f t="shared" si="6"/>
        <v>#DIV/0!</v>
      </c>
      <c r="H36" s="1541">
        <f>SUM(H28:H35)</f>
        <v>0</v>
      </c>
      <c r="I36" s="1542" t="e">
        <f t="shared" si="2"/>
        <v>#DIV/0!</v>
      </c>
      <c r="J36" s="1541">
        <f>SUM(J28:J35)</f>
        <v>0</v>
      </c>
      <c r="K36" s="1542" t="e">
        <f t="shared" si="3"/>
        <v>#DIV/0!</v>
      </c>
      <c r="L36" s="1541">
        <f>SUM(L28:L35)</f>
        <v>0</v>
      </c>
      <c r="M36" s="1543" t="e">
        <f t="shared" si="4"/>
        <v>#DIV/0!</v>
      </c>
      <c r="N36" s="1457"/>
    </row>
    <row r="37" spans="1:14" s="1445" customFormat="1" x14ac:dyDescent="0.2">
      <c r="A37" s="3251" t="str">
        <f>'Info Entrada'!B241</f>
        <v>Capital Social, Suscrito y Pagado</v>
      </c>
      <c r="B37" s="3252"/>
      <c r="C37" s="3252"/>
      <c r="D37" s="1544">
        <f>'Info Entrada'!C241</f>
        <v>0</v>
      </c>
      <c r="E37" s="1545" t="e">
        <f t="shared" si="5"/>
        <v>#DIV/0!</v>
      </c>
      <c r="F37" s="1544">
        <f>'Info Entrada'!D241</f>
        <v>0</v>
      </c>
      <c r="G37" s="1545" t="e">
        <f t="shared" si="6"/>
        <v>#DIV/0!</v>
      </c>
      <c r="H37" s="1544">
        <f>'Info Entrada'!E241</f>
        <v>0</v>
      </c>
      <c r="I37" s="1545" t="e">
        <f t="shared" si="2"/>
        <v>#DIV/0!</v>
      </c>
      <c r="J37" s="1544">
        <f>'Info Entrada'!F241</f>
        <v>0</v>
      </c>
      <c r="K37" s="1545" t="e">
        <f t="shared" si="3"/>
        <v>#DIV/0!</v>
      </c>
      <c r="L37" s="1544">
        <f>'Info Entrada'!G241</f>
        <v>0</v>
      </c>
      <c r="M37" s="1546" t="e">
        <f t="shared" si="4"/>
        <v>#DIV/0!</v>
      </c>
      <c r="N37" s="1457"/>
    </row>
    <row r="38" spans="1:14" s="1445" customFormat="1" x14ac:dyDescent="0.2">
      <c r="A38" s="3253" t="str">
        <f>'Info Entrada'!B242</f>
        <v xml:space="preserve">Aportaciones para Futuros Aumentos de Capital </v>
      </c>
      <c r="B38" s="3254"/>
      <c r="C38" s="3254"/>
      <c r="D38" s="1534">
        <f>'Info Entrada'!C242</f>
        <v>0</v>
      </c>
      <c r="E38" s="1535" t="e">
        <f t="shared" si="5"/>
        <v>#DIV/0!</v>
      </c>
      <c r="F38" s="1534">
        <f>'Info Entrada'!D242</f>
        <v>0</v>
      </c>
      <c r="G38" s="1535" t="e">
        <f t="shared" si="6"/>
        <v>#DIV/0!</v>
      </c>
      <c r="H38" s="1534">
        <f>'Info Entrada'!E242</f>
        <v>0</v>
      </c>
      <c r="I38" s="1535" t="e">
        <f t="shared" si="2"/>
        <v>#DIV/0!</v>
      </c>
      <c r="J38" s="1534">
        <f>'Info Entrada'!F242</f>
        <v>0</v>
      </c>
      <c r="K38" s="1535" t="e">
        <f t="shared" si="3"/>
        <v>#DIV/0!</v>
      </c>
      <c r="L38" s="1534">
        <f>'Info Entrada'!G242</f>
        <v>0</v>
      </c>
      <c r="M38" s="1536" t="e">
        <f t="shared" si="4"/>
        <v>#DIV/0!</v>
      </c>
      <c r="N38" s="1457"/>
    </row>
    <row r="39" spans="1:14" s="1445" customFormat="1" x14ac:dyDescent="0.2">
      <c r="A39" s="3246" t="str">
        <f>'Info Entrada'!B243</f>
        <v>- Acciones Propias en tesorería / Autocartera</v>
      </c>
      <c r="B39" s="3247"/>
      <c r="C39" s="3247"/>
      <c r="D39" s="1534">
        <f>'Info Entrada'!C243</f>
        <v>0</v>
      </c>
      <c r="E39" s="1535" t="e">
        <f t="shared" si="5"/>
        <v>#DIV/0!</v>
      </c>
      <c r="F39" s="1534">
        <f>'Info Entrada'!D243</f>
        <v>0</v>
      </c>
      <c r="G39" s="1535" t="e">
        <f t="shared" si="6"/>
        <v>#DIV/0!</v>
      </c>
      <c r="H39" s="1534">
        <f>'Info Entrada'!E243</f>
        <v>0</v>
      </c>
      <c r="I39" s="1535" t="e">
        <f t="shared" si="2"/>
        <v>#DIV/0!</v>
      </c>
      <c r="J39" s="1534">
        <f>'Info Entrada'!F243</f>
        <v>0</v>
      </c>
      <c r="K39" s="1535" t="e">
        <f t="shared" si="3"/>
        <v>#DIV/0!</v>
      </c>
      <c r="L39" s="1534">
        <f>'Info Entrada'!G243</f>
        <v>0</v>
      </c>
      <c r="M39" s="1536" t="e">
        <f t="shared" si="4"/>
        <v>#DIV/0!</v>
      </c>
      <c r="N39" s="1457"/>
    </row>
    <row r="40" spans="1:14" s="1445" customFormat="1" x14ac:dyDescent="0.2">
      <c r="A40" s="3246" t="str">
        <f>'Info Entrada'!B244</f>
        <v>Prima en colocación de acciones</v>
      </c>
      <c r="B40" s="3247"/>
      <c r="C40" s="3247"/>
      <c r="D40" s="1537">
        <f>'Info Entrada'!C244</f>
        <v>0</v>
      </c>
      <c r="E40" s="1535" t="e">
        <f t="shared" si="5"/>
        <v>#DIV/0!</v>
      </c>
      <c r="F40" s="1534">
        <f>'Info Entrada'!D244</f>
        <v>0</v>
      </c>
      <c r="G40" s="1535" t="e">
        <f t="shared" si="6"/>
        <v>#DIV/0!</v>
      </c>
      <c r="H40" s="1534">
        <f>'Info Entrada'!E244</f>
        <v>0</v>
      </c>
      <c r="I40" s="1535" t="e">
        <f t="shared" si="2"/>
        <v>#DIV/0!</v>
      </c>
      <c r="J40" s="1534">
        <f>'Info Entrada'!F244</f>
        <v>0</v>
      </c>
      <c r="K40" s="1535" t="e">
        <f t="shared" si="3"/>
        <v>#DIV/0!</v>
      </c>
      <c r="L40" s="1534">
        <f>'Info Entrada'!G244</f>
        <v>0</v>
      </c>
      <c r="M40" s="1536" t="e">
        <f t="shared" si="4"/>
        <v>#DIV/0!</v>
      </c>
      <c r="N40" s="1457"/>
    </row>
    <row r="41" spans="1:14" s="1445" customFormat="1" x14ac:dyDescent="0.2">
      <c r="A41" s="3259" t="str">
        <f>'Info Entrada'!B245</f>
        <v>+/- Utilidades / Pérdidas Retenidas</v>
      </c>
      <c r="B41" s="3260"/>
      <c r="C41" s="3247"/>
      <c r="D41" s="1534">
        <f>'Info Entrada'!C245</f>
        <v>0</v>
      </c>
      <c r="E41" s="1535" t="e">
        <f t="shared" si="5"/>
        <v>#DIV/0!</v>
      </c>
      <c r="F41" s="1534">
        <f>'Info Entrada'!D245</f>
        <v>0</v>
      </c>
      <c r="G41" s="1535" t="e">
        <f t="shared" si="6"/>
        <v>#DIV/0!</v>
      </c>
      <c r="H41" s="1534">
        <f>'Info Entrada'!E245</f>
        <v>0</v>
      </c>
      <c r="I41" s="1535" t="e">
        <f t="shared" si="2"/>
        <v>#DIV/0!</v>
      </c>
      <c r="J41" s="1534">
        <f>'Info Entrada'!F245</f>
        <v>0</v>
      </c>
      <c r="K41" s="1535" t="e">
        <f t="shared" si="3"/>
        <v>#DIV/0!</v>
      </c>
      <c r="L41" s="1534">
        <f>'Info Entrada'!G245</f>
        <v>0</v>
      </c>
      <c r="M41" s="1536" t="e">
        <f t="shared" si="4"/>
        <v>#DIV/0!</v>
      </c>
      <c r="N41" s="1457"/>
    </row>
    <row r="42" spans="1:14" s="1445" customFormat="1" x14ac:dyDescent="0.2">
      <c r="A42" s="3259" t="str">
        <f>'Info Entrada'!B246</f>
        <v>+/-  Método de Participación</v>
      </c>
      <c r="B42" s="3260"/>
      <c r="C42" s="3247"/>
      <c r="D42" s="1534">
        <f>'Info Entrada'!C246</f>
        <v>0</v>
      </c>
      <c r="E42" s="1535" t="e">
        <f t="shared" si="5"/>
        <v>#DIV/0!</v>
      </c>
      <c r="F42" s="1534">
        <f>'Info Entrada'!D246</f>
        <v>0</v>
      </c>
      <c r="G42" s="1535" t="e">
        <f t="shared" si="6"/>
        <v>#DIV/0!</v>
      </c>
      <c r="H42" s="1534">
        <f>'Info Entrada'!E246</f>
        <v>0</v>
      </c>
      <c r="I42" s="1535" t="e">
        <f t="shared" si="2"/>
        <v>#DIV/0!</v>
      </c>
      <c r="J42" s="1534">
        <f>'Info Entrada'!F246</f>
        <v>0</v>
      </c>
      <c r="K42" s="1535" t="e">
        <f t="shared" si="3"/>
        <v>#DIV/0!</v>
      </c>
      <c r="L42" s="1534">
        <f>'Info Entrada'!G246</f>
        <v>0</v>
      </c>
      <c r="M42" s="1536" t="e">
        <f t="shared" si="4"/>
        <v>#DIV/0!</v>
      </c>
      <c r="N42" s="1457"/>
    </row>
    <row r="43" spans="1:14" s="1445" customFormat="1" x14ac:dyDescent="0.2">
      <c r="A43" s="3259" t="str">
        <f>'Info Entrada'!B247</f>
        <v>+/- Utilidad (Pérdida) del Ejercicio</v>
      </c>
      <c r="B43" s="3260"/>
      <c r="C43" s="3247"/>
      <c r="D43" s="1547">
        <f>'Info Entrada'!C247</f>
        <v>0</v>
      </c>
      <c r="E43" s="1535" t="e">
        <f t="shared" si="5"/>
        <v>#DIV/0!</v>
      </c>
      <c r="F43" s="1547">
        <f>'Info Entrada'!D247</f>
        <v>0</v>
      </c>
      <c r="G43" s="1535" t="e">
        <f t="shared" si="6"/>
        <v>#DIV/0!</v>
      </c>
      <c r="H43" s="1547">
        <f>'Info Entrada'!E247</f>
        <v>0</v>
      </c>
      <c r="I43" s="1535" t="e">
        <f t="shared" si="2"/>
        <v>#DIV/0!</v>
      </c>
      <c r="J43" s="1547">
        <f>'Info Entrada'!F247</f>
        <v>0</v>
      </c>
      <c r="K43" s="1535" t="e">
        <f t="shared" si="3"/>
        <v>#DIV/0!</v>
      </c>
      <c r="L43" s="1547">
        <f>'Info Entrada'!G247</f>
        <v>0</v>
      </c>
      <c r="M43" s="1536" t="e">
        <f t="shared" si="4"/>
        <v>#DIV/0!</v>
      </c>
      <c r="N43" s="1457"/>
    </row>
    <row r="44" spans="1:14" s="1445" customFormat="1" x14ac:dyDescent="0.2">
      <c r="A44" s="3246" t="str">
        <f>'Info Entrada'!B248</f>
        <v>Revalorización del Patrimonio</v>
      </c>
      <c r="B44" s="3247"/>
      <c r="C44" s="3247"/>
      <c r="D44" s="1534">
        <f>'Info Entrada'!C248</f>
        <v>0</v>
      </c>
      <c r="E44" s="1535" t="e">
        <f>+D44/D$49</f>
        <v>#DIV/0!</v>
      </c>
      <c r="F44" s="1534">
        <f>'Info Entrada'!D248</f>
        <v>0</v>
      </c>
      <c r="G44" s="1535" t="e">
        <f t="shared" ref="G44:G49" si="7">+F44/F$49</f>
        <v>#DIV/0!</v>
      </c>
      <c r="H44" s="1534">
        <f>'Info Entrada'!E248</f>
        <v>0</v>
      </c>
      <c r="I44" s="1535" t="e">
        <f t="shared" si="2"/>
        <v>#DIV/0!</v>
      </c>
      <c r="J44" s="1534">
        <f>'Info Entrada'!F248</f>
        <v>0</v>
      </c>
      <c r="K44" s="1535" t="e">
        <f t="shared" si="3"/>
        <v>#DIV/0!</v>
      </c>
      <c r="L44" s="1534">
        <f>'Info Entrada'!G248</f>
        <v>0</v>
      </c>
      <c r="M44" s="1536" t="e">
        <f t="shared" si="4"/>
        <v>#DIV/0!</v>
      </c>
      <c r="N44" s="1457"/>
    </row>
    <row r="45" spans="1:14" s="1445" customFormat="1" x14ac:dyDescent="0.2">
      <c r="A45" s="3246" t="str">
        <f>'Info Entrada'!B249</f>
        <v>Reservas (Legal + Otras Reservas)</v>
      </c>
      <c r="B45" s="3247"/>
      <c r="C45" s="3247"/>
      <c r="D45" s="1534">
        <f>'Info Entrada'!C249</f>
        <v>0</v>
      </c>
      <c r="E45" s="1535" t="e">
        <f>+D45/D$49</f>
        <v>#DIV/0!</v>
      </c>
      <c r="F45" s="1534">
        <f>'Info Entrada'!D249</f>
        <v>0</v>
      </c>
      <c r="G45" s="1535" t="e">
        <f t="shared" si="7"/>
        <v>#DIV/0!</v>
      </c>
      <c r="H45" s="1534">
        <f>'Info Entrada'!E249</f>
        <v>0</v>
      </c>
      <c r="I45" s="1535" t="e">
        <f t="shared" si="2"/>
        <v>#DIV/0!</v>
      </c>
      <c r="J45" s="1534">
        <f>'Info Entrada'!F249</f>
        <v>0</v>
      </c>
      <c r="K45" s="1535" t="e">
        <f t="shared" si="3"/>
        <v>#DIV/0!</v>
      </c>
      <c r="L45" s="1534">
        <f>'Info Entrada'!G249</f>
        <v>0</v>
      </c>
      <c r="M45" s="1536" t="e">
        <f t="shared" si="4"/>
        <v>#DIV/0!</v>
      </c>
      <c r="N45" s="1457"/>
    </row>
    <row r="46" spans="1:14" s="1445" customFormat="1" ht="13.5" thickBot="1" x14ac:dyDescent="0.25">
      <c r="A46" s="3255" t="str">
        <f>'Info Entrada'!B250</f>
        <v>Valorizaciones</v>
      </c>
      <c r="B46" s="3256"/>
      <c r="C46" s="3256"/>
      <c r="D46" s="1548">
        <f>'Info Entrada'!C250</f>
        <v>0</v>
      </c>
      <c r="E46" s="1539" t="e">
        <f t="shared" si="5"/>
        <v>#DIV/0!</v>
      </c>
      <c r="F46" s="1548">
        <f>'Info Entrada'!D250</f>
        <v>0</v>
      </c>
      <c r="G46" s="1539" t="e">
        <f t="shared" si="7"/>
        <v>#DIV/0!</v>
      </c>
      <c r="H46" s="1548">
        <f>'Info Entrada'!E250</f>
        <v>0</v>
      </c>
      <c r="I46" s="1539" t="e">
        <f t="shared" si="2"/>
        <v>#DIV/0!</v>
      </c>
      <c r="J46" s="1548">
        <f>'Info Entrada'!F250</f>
        <v>0</v>
      </c>
      <c r="K46" s="1539" t="e">
        <f t="shared" si="3"/>
        <v>#DIV/0!</v>
      </c>
      <c r="L46" s="1548">
        <f>'Info Entrada'!G250</f>
        <v>0</v>
      </c>
      <c r="M46" s="1540" t="e">
        <f t="shared" si="4"/>
        <v>#DIV/0!</v>
      </c>
      <c r="N46" s="1457"/>
    </row>
    <row r="47" spans="1:14" s="1445" customFormat="1" ht="13.5" thickBot="1" x14ac:dyDescent="0.25">
      <c r="A47" s="3248" t="s">
        <v>332</v>
      </c>
      <c r="B47" s="3249"/>
      <c r="C47" s="3250"/>
      <c r="D47" s="1541">
        <f>SUM(D37:D46)</f>
        <v>0</v>
      </c>
      <c r="E47" s="1542" t="e">
        <f t="shared" si="5"/>
        <v>#DIV/0!</v>
      </c>
      <c r="F47" s="1541">
        <f>SUM(F37:F46)</f>
        <v>0</v>
      </c>
      <c r="G47" s="1542" t="e">
        <f t="shared" si="7"/>
        <v>#DIV/0!</v>
      </c>
      <c r="H47" s="1541">
        <f>SUM(H37:H46)</f>
        <v>0</v>
      </c>
      <c r="I47" s="1542" t="e">
        <f t="shared" si="2"/>
        <v>#DIV/0!</v>
      </c>
      <c r="J47" s="1541">
        <f>SUM(J37:J46)</f>
        <v>0</v>
      </c>
      <c r="K47" s="1542" t="e">
        <f t="shared" si="3"/>
        <v>#DIV/0!</v>
      </c>
      <c r="L47" s="1541">
        <f>SUM(L37:L46)</f>
        <v>0</v>
      </c>
      <c r="M47" s="1543" t="e">
        <f t="shared" si="4"/>
        <v>#DIV/0!</v>
      </c>
      <c r="N47" s="1457"/>
    </row>
    <row r="48" spans="1:14" s="1445" customFormat="1" ht="13.5" thickBot="1" x14ac:dyDescent="0.25">
      <c r="A48" s="3235" t="s">
        <v>333</v>
      </c>
      <c r="B48" s="3236"/>
      <c r="C48" s="3236"/>
      <c r="D48" s="1549">
        <f>(D27+D36)</f>
        <v>0</v>
      </c>
      <c r="E48" s="1550" t="e">
        <f t="shared" si="5"/>
        <v>#DIV/0!</v>
      </c>
      <c r="F48" s="1549">
        <f>(F27+F36)</f>
        <v>0</v>
      </c>
      <c r="G48" s="1550" t="e">
        <f t="shared" si="7"/>
        <v>#DIV/0!</v>
      </c>
      <c r="H48" s="1549">
        <f>+H27+H36</f>
        <v>0</v>
      </c>
      <c r="I48" s="1550" t="e">
        <f t="shared" si="2"/>
        <v>#DIV/0!</v>
      </c>
      <c r="J48" s="1549">
        <f>+J27+J36</f>
        <v>0</v>
      </c>
      <c r="K48" s="1550" t="e">
        <f t="shared" si="3"/>
        <v>#DIV/0!</v>
      </c>
      <c r="L48" s="1551">
        <f>+L27+L36</f>
        <v>0</v>
      </c>
      <c r="M48" s="1552" t="e">
        <f t="shared" si="4"/>
        <v>#DIV/0!</v>
      </c>
      <c r="N48" s="1457"/>
    </row>
    <row r="49" spans="1:14" s="1445" customFormat="1" ht="13.5" thickBot="1" x14ac:dyDescent="0.25">
      <c r="A49" s="3237" t="s">
        <v>334</v>
      </c>
      <c r="B49" s="3238"/>
      <c r="C49" s="3239"/>
      <c r="D49" s="1553">
        <f>(D47+D48)</f>
        <v>0</v>
      </c>
      <c r="E49" s="1554" t="e">
        <f t="shared" si="5"/>
        <v>#DIV/0!</v>
      </c>
      <c r="F49" s="1553">
        <f>(F47+F48)</f>
        <v>0</v>
      </c>
      <c r="G49" s="1554" t="e">
        <f t="shared" si="7"/>
        <v>#DIV/0!</v>
      </c>
      <c r="H49" s="1553">
        <f>(H47+H48)</f>
        <v>0</v>
      </c>
      <c r="I49" s="1554" t="e">
        <f t="shared" si="2"/>
        <v>#DIV/0!</v>
      </c>
      <c r="J49" s="1553">
        <f>(J47+J48)</f>
        <v>0</v>
      </c>
      <c r="K49" s="1554" t="e">
        <f t="shared" si="3"/>
        <v>#DIV/0!</v>
      </c>
      <c r="L49" s="1553">
        <f>(L47+L48)</f>
        <v>0</v>
      </c>
      <c r="M49" s="1555" t="e">
        <f t="shared" si="4"/>
        <v>#DIV/0!</v>
      </c>
      <c r="N49" s="1457"/>
    </row>
    <row r="50" spans="1:14" x14ac:dyDescent="0.2">
      <c r="A50" s="3227"/>
      <c r="B50" s="3227"/>
      <c r="C50" s="3228"/>
      <c r="D50" s="1556"/>
      <c r="F50" s="1556"/>
      <c r="L50" s="1455"/>
      <c r="M50" s="1557"/>
    </row>
    <row r="51" spans="1:14" x14ac:dyDescent="0.2">
      <c r="A51" s="3240" t="s">
        <v>335</v>
      </c>
      <c r="B51" s="3241"/>
      <c r="C51" s="3242"/>
      <c r="D51" s="1768">
        <f>D49-Activos!D47</f>
        <v>0</v>
      </c>
      <c r="E51" s="1769"/>
      <c r="F51" s="1768">
        <f>F49-Activos!F47</f>
        <v>0</v>
      </c>
      <c r="G51" s="1769"/>
      <c r="H51" s="1768">
        <f>H49-Activos!H47</f>
        <v>0</v>
      </c>
      <c r="I51" s="1769"/>
      <c r="J51" s="1768">
        <f>J49-Activos!J47</f>
        <v>0</v>
      </c>
      <c r="K51" s="1769"/>
      <c r="L51" s="1768">
        <f>L49-Activos!L47</f>
        <v>0</v>
      </c>
      <c r="M51" s="1456"/>
    </row>
    <row r="52" spans="1:14" x14ac:dyDescent="0.2">
      <c r="A52" s="1558"/>
      <c r="B52" s="1558"/>
      <c r="C52" s="1558"/>
      <c r="D52" s="1559"/>
      <c r="F52" s="1559"/>
      <c r="H52" s="1560"/>
      <c r="J52" s="1560"/>
      <c r="L52" s="1560"/>
      <c r="M52" s="1456"/>
    </row>
    <row r="53" spans="1:14" x14ac:dyDescent="0.2">
      <c r="A53" s="3240" t="s">
        <v>358</v>
      </c>
      <c r="B53" s="3241"/>
      <c r="C53" s="3242"/>
      <c r="D53" s="1561">
        <f>'Info Entrada'!C253</f>
        <v>0</v>
      </c>
      <c r="F53" s="1561">
        <f>'Info Entrada'!D253</f>
        <v>0</v>
      </c>
      <c r="H53" s="1561">
        <f>'Info Entrada'!E253</f>
        <v>0</v>
      </c>
      <c r="J53" s="1561">
        <f>'Info Entrada'!F253</f>
        <v>0</v>
      </c>
      <c r="L53" s="1561">
        <f>'Info Entrada'!G253</f>
        <v>0</v>
      </c>
      <c r="M53" s="1456"/>
    </row>
    <row r="54" spans="1:14" ht="12.75" customHeight="1" x14ac:dyDescent="0.2">
      <c r="A54" s="3240" t="s">
        <v>357</v>
      </c>
      <c r="B54" s="3241"/>
      <c r="C54" s="3242"/>
      <c r="D54" s="1561">
        <f>'Info Entrada'!C254</f>
        <v>0</v>
      </c>
      <c r="F54" s="1561">
        <f>'Info Entrada'!D254</f>
        <v>0</v>
      </c>
      <c r="H54" s="1561">
        <f>'Info Entrada'!E254</f>
        <v>0</v>
      </c>
      <c r="J54" s="1561">
        <f>'Info Entrada'!F254</f>
        <v>0</v>
      </c>
      <c r="L54" s="1561">
        <f>'Info Entrada'!G254</f>
        <v>0</v>
      </c>
      <c r="M54" s="1456"/>
    </row>
    <row r="55" spans="1:14" x14ac:dyDescent="0.2">
      <c r="A55" s="1562"/>
      <c r="B55" s="1562"/>
      <c r="C55" s="1562"/>
      <c r="D55" s="1563"/>
      <c r="F55" s="1564"/>
      <c r="H55" s="1564"/>
      <c r="L55" s="1564"/>
      <c r="M55" s="1456"/>
    </row>
    <row r="56" spans="1:14" ht="13.5" thickBot="1" x14ac:dyDescent="0.25">
      <c r="A56" s="1565" t="s">
        <v>336</v>
      </c>
      <c r="B56" s="1565"/>
      <c r="D56" s="1566"/>
      <c r="L56" s="1455"/>
      <c r="M56" s="1456"/>
    </row>
    <row r="57" spans="1:14" x14ac:dyDescent="0.2">
      <c r="A57" s="1511" t="s">
        <v>303</v>
      </c>
      <c r="B57" s="1512"/>
      <c r="C57" s="1512"/>
      <c r="D57" s="1512"/>
      <c r="E57" s="1512"/>
      <c r="F57" s="1512"/>
      <c r="G57" s="1512"/>
      <c r="H57" s="1512"/>
      <c r="I57" s="1512"/>
      <c r="J57" s="1512"/>
      <c r="K57" s="1512"/>
      <c r="L57" s="1512"/>
      <c r="M57" s="1513"/>
    </row>
    <row r="58" spans="1:14" x14ac:dyDescent="0.2">
      <c r="A58" s="1514" t="s">
        <v>303</v>
      </c>
      <c r="B58" s="1515"/>
      <c r="C58" s="1515"/>
      <c r="D58" s="1515"/>
      <c r="E58" s="1515"/>
      <c r="F58" s="1515"/>
      <c r="G58" s="1515"/>
      <c r="H58" s="1515"/>
      <c r="I58" s="1515"/>
      <c r="J58" s="1515"/>
      <c r="K58" s="1515"/>
      <c r="L58" s="1515"/>
      <c r="M58" s="1516"/>
    </row>
    <row r="59" spans="1:14" x14ac:dyDescent="0.2">
      <c r="A59" s="1514"/>
      <c r="B59" s="1515"/>
      <c r="C59" s="1515"/>
      <c r="D59" s="1515"/>
      <c r="E59" s="1515"/>
      <c r="F59" s="1515"/>
      <c r="G59" s="1515"/>
      <c r="H59" s="1515"/>
      <c r="I59" s="1515"/>
      <c r="J59" s="1515"/>
      <c r="K59" s="1515"/>
      <c r="L59" s="1515"/>
      <c r="M59" s="1516"/>
    </row>
    <row r="60" spans="1:14" x14ac:dyDescent="0.2">
      <c r="A60" s="1514"/>
      <c r="B60" s="1515"/>
      <c r="C60" s="1515"/>
      <c r="D60" s="1515"/>
      <c r="E60" s="1515"/>
      <c r="F60" s="1515"/>
      <c r="G60" s="1515"/>
      <c r="H60" s="1515"/>
      <c r="I60" s="1515"/>
      <c r="J60" s="1515"/>
      <c r="K60" s="1515"/>
      <c r="L60" s="1515"/>
      <c r="M60" s="1516"/>
    </row>
    <row r="61" spans="1:14" x14ac:dyDescent="0.2">
      <c r="A61" s="1514"/>
      <c r="B61" s="1515"/>
      <c r="C61" s="1515"/>
      <c r="D61" s="1515"/>
      <c r="E61" s="1515"/>
      <c r="F61" s="1515"/>
      <c r="G61" s="1515"/>
      <c r="H61" s="1515"/>
      <c r="I61" s="1515"/>
      <c r="J61" s="1515"/>
      <c r="K61" s="1515"/>
      <c r="L61" s="1515"/>
      <c r="M61" s="1516"/>
    </row>
    <row r="62" spans="1:14" x14ac:dyDescent="0.2">
      <c r="A62" s="1514"/>
      <c r="B62" s="1515"/>
      <c r="C62" s="1515"/>
      <c r="D62" s="1515"/>
      <c r="E62" s="1515"/>
      <c r="F62" s="1515"/>
      <c r="G62" s="1515"/>
      <c r="H62" s="1515"/>
      <c r="I62" s="1515"/>
      <c r="J62" s="1515"/>
      <c r="K62" s="1515"/>
      <c r="L62" s="1515"/>
      <c r="M62" s="1516"/>
    </row>
    <row r="63" spans="1:14" x14ac:dyDescent="0.2">
      <c r="A63" s="1514"/>
      <c r="B63" s="1515"/>
      <c r="C63" s="1515"/>
      <c r="D63" s="1515"/>
      <c r="E63" s="1515"/>
      <c r="F63" s="1515"/>
      <c r="G63" s="1515"/>
      <c r="H63" s="1515"/>
      <c r="I63" s="1515"/>
      <c r="J63" s="1515"/>
      <c r="K63" s="1515"/>
      <c r="L63" s="1515"/>
      <c r="M63" s="1516"/>
    </row>
    <row r="64" spans="1:14" x14ac:dyDescent="0.2">
      <c r="A64" s="1514"/>
      <c r="B64" s="1515"/>
      <c r="C64" s="1515"/>
      <c r="D64" s="1515"/>
      <c r="E64" s="1515"/>
      <c r="F64" s="1515"/>
      <c r="G64" s="1515"/>
      <c r="H64" s="1515"/>
      <c r="I64" s="1515"/>
      <c r="J64" s="1515"/>
      <c r="K64" s="1515"/>
      <c r="L64" s="1515"/>
      <c r="M64" s="1516"/>
    </row>
    <row r="65" spans="1:13" x14ac:dyDescent="0.2">
      <c r="A65" s="1514"/>
      <c r="B65" s="1515"/>
      <c r="C65" s="1515"/>
      <c r="D65" s="1515"/>
      <c r="E65" s="1515"/>
      <c r="F65" s="1515"/>
      <c r="G65" s="1515"/>
      <c r="H65" s="1515"/>
      <c r="I65" s="1515"/>
      <c r="J65" s="1515"/>
      <c r="K65" s="1515"/>
      <c r="L65" s="1515"/>
      <c r="M65" s="1516"/>
    </row>
    <row r="66" spans="1:13" x14ac:dyDescent="0.2">
      <c r="A66" s="1514"/>
      <c r="B66" s="1515"/>
      <c r="C66" s="1515"/>
      <c r="D66" s="1515"/>
      <c r="E66" s="1515"/>
      <c r="F66" s="1515"/>
      <c r="G66" s="1515"/>
      <c r="H66" s="1515"/>
      <c r="I66" s="1515"/>
      <c r="J66" s="1515"/>
      <c r="K66" s="1515"/>
      <c r="L66" s="1515"/>
      <c r="M66" s="1516"/>
    </row>
    <row r="67" spans="1:13" x14ac:dyDescent="0.2">
      <c r="A67" s="1514"/>
      <c r="B67" s="1515"/>
      <c r="C67" s="1515"/>
      <c r="D67" s="1515"/>
      <c r="E67" s="1515"/>
      <c r="F67" s="1515"/>
      <c r="G67" s="1515"/>
      <c r="H67" s="1515"/>
      <c r="I67" s="1515"/>
      <c r="J67" s="1515"/>
      <c r="K67" s="1515"/>
      <c r="L67" s="1515"/>
      <c r="M67" s="1516"/>
    </row>
    <row r="68" spans="1:13" x14ac:dyDescent="0.2">
      <c r="A68" s="1514"/>
      <c r="B68" s="1515"/>
      <c r="C68" s="1515"/>
      <c r="D68" s="1515"/>
      <c r="E68" s="1515"/>
      <c r="F68" s="1515"/>
      <c r="G68" s="1515"/>
      <c r="H68" s="1515"/>
      <c r="I68" s="1515"/>
      <c r="J68" s="1515"/>
      <c r="K68" s="1515"/>
      <c r="L68" s="1515"/>
      <c r="M68" s="1516"/>
    </row>
    <row r="69" spans="1:13" x14ac:dyDescent="0.2">
      <c r="A69" s="1514"/>
      <c r="B69" s="1515"/>
      <c r="C69" s="1515"/>
      <c r="D69" s="1515"/>
      <c r="E69" s="1515"/>
      <c r="F69" s="1515"/>
      <c r="G69" s="1515"/>
      <c r="H69" s="1515"/>
      <c r="I69" s="1515"/>
      <c r="J69" s="1515"/>
      <c r="K69" s="1515"/>
      <c r="L69" s="1515"/>
      <c r="M69" s="1516"/>
    </row>
    <row r="70" spans="1:13" x14ac:dyDescent="0.2">
      <c r="A70" s="1514"/>
      <c r="B70" s="1515"/>
      <c r="C70" s="1515"/>
      <c r="D70" s="1515"/>
      <c r="E70" s="1515"/>
      <c r="F70" s="1515"/>
      <c r="G70" s="1515"/>
      <c r="H70" s="1515"/>
      <c r="I70" s="1515"/>
      <c r="J70" s="1515"/>
      <c r="K70" s="1515"/>
      <c r="L70" s="1515"/>
      <c r="M70" s="1516"/>
    </row>
    <row r="71" spans="1:13" x14ac:dyDescent="0.2">
      <c r="A71" s="1514"/>
      <c r="B71" s="1515"/>
      <c r="C71" s="1515"/>
      <c r="D71" s="1515"/>
      <c r="E71" s="1515"/>
      <c r="F71" s="1515"/>
      <c r="G71" s="1515"/>
      <c r="H71" s="1515"/>
      <c r="I71" s="1515"/>
      <c r="J71" s="1515"/>
      <c r="K71" s="1515"/>
      <c r="L71" s="1515"/>
      <c r="M71" s="1516"/>
    </row>
    <row r="72" spans="1:13" ht="13.5" thickBot="1" x14ac:dyDescent="0.25">
      <c r="A72" s="1517" t="s">
        <v>303</v>
      </c>
      <c r="B72" s="1518"/>
      <c r="C72" s="1518"/>
      <c r="D72" s="1518"/>
      <c r="E72" s="1518"/>
      <c r="F72" s="1518"/>
      <c r="G72" s="1518"/>
      <c r="H72" s="1518"/>
      <c r="I72" s="1518"/>
      <c r="J72" s="1518"/>
      <c r="K72" s="1518"/>
      <c r="L72" s="1518"/>
      <c r="M72" s="1519"/>
    </row>
    <row r="73" spans="1:13" x14ac:dyDescent="0.2">
      <c r="A73" s="3227"/>
      <c r="B73" s="3227"/>
      <c r="C73" s="3228"/>
    </row>
    <row r="74" spans="1:13" x14ac:dyDescent="0.2">
      <c r="A74" s="3227"/>
      <c r="B74" s="3227"/>
      <c r="C74" s="3228"/>
    </row>
    <row r="75" spans="1:13" x14ac:dyDescent="0.2">
      <c r="A75" s="3227"/>
      <c r="B75" s="3227"/>
      <c r="C75" s="3228"/>
    </row>
    <row r="76" spans="1:13" x14ac:dyDescent="0.2">
      <c r="A76" s="3227"/>
      <c r="B76" s="3227"/>
      <c r="C76" s="3228"/>
    </row>
    <row r="77" spans="1:13" x14ac:dyDescent="0.2">
      <c r="A77" s="3227"/>
      <c r="B77" s="3227"/>
      <c r="C77" s="3228"/>
    </row>
    <row r="78" spans="1:13" x14ac:dyDescent="0.2">
      <c r="A78" s="3227"/>
      <c r="B78" s="3227"/>
      <c r="C78" s="3228"/>
    </row>
    <row r="79" spans="1:13" x14ac:dyDescent="0.2">
      <c r="A79" s="3227"/>
      <c r="B79" s="3227"/>
      <c r="C79" s="3228"/>
    </row>
    <row r="80" spans="1:13" x14ac:dyDescent="0.2">
      <c r="A80" s="3227"/>
      <c r="B80" s="3227"/>
      <c r="C80" s="3228"/>
    </row>
    <row r="81" spans="1:3" x14ac:dyDescent="0.2">
      <c r="A81" s="3227"/>
      <c r="B81" s="3227"/>
      <c r="C81" s="3228"/>
    </row>
    <row r="82" spans="1:3" x14ac:dyDescent="0.2">
      <c r="A82" s="3227"/>
      <c r="B82" s="3227"/>
      <c r="C82" s="3228"/>
    </row>
    <row r="83" spans="1:3" x14ac:dyDescent="0.2">
      <c r="A83" s="3227"/>
      <c r="B83" s="3227"/>
      <c r="C83" s="3228"/>
    </row>
    <row r="84" spans="1:3" x14ac:dyDescent="0.2">
      <c r="A84" s="3227"/>
      <c r="B84" s="3227"/>
      <c r="C84" s="3228"/>
    </row>
    <row r="85" spans="1:3" x14ac:dyDescent="0.2">
      <c r="A85" s="3227"/>
      <c r="B85" s="3227"/>
      <c r="C85" s="3228"/>
    </row>
    <row r="86" spans="1:3" x14ac:dyDescent="0.2">
      <c r="A86" s="3227"/>
      <c r="B86" s="3227"/>
      <c r="C86" s="3228"/>
    </row>
    <row r="87" spans="1:3" x14ac:dyDescent="0.2">
      <c r="A87" s="3227"/>
      <c r="B87" s="3227"/>
      <c r="C87" s="3228"/>
    </row>
    <row r="88" spans="1:3" x14ac:dyDescent="0.2">
      <c r="A88" s="3227"/>
      <c r="B88" s="3227"/>
      <c r="C88" s="3228"/>
    </row>
    <row r="89" spans="1:3" x14ac:dyDescent="0.2">
      <c r="A89" s="3227"/>
      <c r="B89" s="3227"/>
      <c r="C89" s="3228"/>
    </row>
    <row r="90" spans="1:3" x14ac:dyDescent="0.2">
      <c r="A90" s="3227"/>
      <c r="B90" s="3227"/>
      <c r="C90" s="3228"/>
    </row>
    <row r="91" spans="1:3" x14ac:dyDescent="0.2">
      <c r="A91" s="3227"/>
      <c r="B91" s="3227"/>
      <c r="C91" s="3228"/>
    </row>
    <row r="92" spans="1:3" x14ac:dyDescent="0.2">
      <c r="A92" s="3227"/>
      <c r="B92" s="3227"/>
      <c r="C92" s="3228"/>
    </row>
    <row r="93" spans="1:3" x14ac:dyDescent="0.2">
      <c r="A93" s="3227"/>
      <c r="B93" s="3227"/>
      <c r="C93" s="3228"/>
    </row>
    <row r="94" spans="1:3" x14ac:dyDescent="0.2">
      <c r="A94" s="3227"/>
      <c r="B94" s="3227"/>
      <c r="C94" s="3228"/>
    </row>
    <row r="95" spans="1:3" x14ac:dyDescent="0.2">
      <c r="A95" s="3227"/>
      <c r="B95" s="3227"/>
      <c r="C95" s="3228"/>
    </row>
    <row r="96" spans="1:3" x14ac:dyDescent="0.2">
      <c r="A96" s="3227"/>
      <c r="B96" s="3227"/>
      <c r="C96" s="3228"/>
    </row>
    <row r="97" spans="1:3" x14ac:dyDescent="0.2">
      <c r="A97" s="3227"/>
      <c r="B97" s="3227"/>
      <c r="C97" s="3228"/>
    </row>
    <row r="98" spans="1:3" x14ac:dyDescent="0.2">
      <c r="A98" s="3227"/>
      <c r="B98" s="3227"/>
      <c r="C98" s="3228"/>
    </row>
    <row r="99" spans="1:3" x14ac:dyDescent="0.2">
      <c r="A99" s="3227"/>
      <c r="B99" s="3227"/>
      <c r="C99" s="3228"/>
    </row>
    <row r="100" spans="1:3" x14ac:dyDescent="0.2">
      <c r="A100" s="3227"/>
      <c r="B100" s="3227"/>
      <c r="C100" s="3228"/>
    </row>
    <row r="101" spans="1:3" x14ac:dyDescent="0.2">
      <c r="A101" s="3227"/>
      <c r="B101" s="3227"/>
      <c r="C101" s="3228"/>
    </row>
    <row r="102" spans="1:3" x14ac:dyDescent="0.2">
      <c r="A102" s="3227"/>
      <c r="B102" s="3227"/>
      <c r="C102" s="3228"/>
    </row>
    <row r="103" spans="1:3" x14ac:dyDescent="0.2">
      <c r="A103" s="3227"/>
      <c r="B103" s="3227"/>
      <c r="C103" s="3228"/>
    </row>
    <row r="104" spans="1:3" x14ac:dyDescent="0.2">
      <c r="A104" s="3227"/>
      <c r="B104" s="3227"/>
      <c r="C104" s="3228"/>
    </row>
    <row r="105" spans="1:3" x14ac:dyDescent="0.2">
      <c r="A105" s="3227"/>
      <c r="B105" s="3227"/>
      <c r="C105" s="3228"/>
    </row>
    <row r="106" spans="1:3" x14ac:dyDescent="0.2">
      <c r="A106" s="3227"/>
      <c r="B106" s="3227"/>
      <c r="C106" s="3228"/>
    </row>
    <row r="107" spans="1:3" x14ac:dyDescent="0.2">
      <c r="A107" s="3227"/>
      <c r="B107" s="3227"/>
      <c r="C107" s="3228"/>
    </row>
    <row r="108" spans="1:3" x14ac:dyDescent="0.2">
      <c r="A108" s="3227"/>
      <c r="B108" s="3227"/>
      <c r="C108" s="3228"/>
    </row>
    <row r="109" spans="1:3" x14ac:dyDescent="0.2">
      <c r="A109" s="3227"/>
      <c r="B109" s="3227"/>
      <c r="C109" s="3228"/>
    </row>
    <row r="110" spans="1:3" x14ac:dyDescent="0.2">
      <c r="A110" s="3227"/>
      <c r="B110" s="3227"/>
      <c r="C110" s="3228"/>
    </row>
    <row r="111" spans="1:3" x14ac:dyDescent="0.2">
      <c r="A111" s="3227"/>
      <c r="B111" s="3227"/>
      <c r="C111" s="3228"/>
    </row>
    <row r="112" spans="1:3" x14ac:dyDescent="0.2">
      <c r="A112" s="3227"/>
      <c r="B112" s="3227"/>
      <c r="C112" s="3228"/>
    </row>
    <row r="113" spans="1:3" x14ac:dyDescent="0.2">
      <c r="A113" s="3227"/>
      <c r="B113" s="3227"/>
      <c r="C113" s="3228"/>
    </row>
    <row r="114" spans="1:3" x14ac:dyDescent="0.2">
      <c r="A114" s="3227"/>
      <c r="B114" s="3227"/>
      <c r="C114" s="3228"/>
    </row>
    <row r="115" spans="1:3" x14ac:dyDescent="0.2">
      <c r="A115" s="3227"/>
      <c r="B115" s="3227"/>
      <c r="C115" s="3228"/>
    </row>
    <row r="116" spans="1:3" x14ac:dyDescent="0.2">
      <c r="A116" s="3227"/>
      <c r="B116" s="3227"/>
      <c r="C116" s="3228"/>
    </row>
    <row r="117" spans="1:3" x14ac:dyDescent="0.2">
      <c r="A117" s="3227"/>
      <c r="B117" s="3227"/>
      <c r="C117" s="3228"/>
    </row>
    <row r="118" spans="1:3" x14ac:dyDescent="0.2">
      <c r="A118" s="3227"/>
      <c r="B118" s="3227"/>
      <c r="C118" s="3228"/>
    </row>
    <row r="119" spans="1:3" x14ac:dyDescent="0.2">
      <c r="A119" s="3227"/>
      <c r="B119" s="3227"/>
      <c r="C119" s="3228"/>
    </row>
    <row r="120" spans="1:3" x14ac:dyDescent="0.2">
      <c r="A120" s="3227"/>
      <c r="B120" s="3227"/>
      <c r="C120" s="3228"/>
    </row>
    <row r="121" spans="1:3" x14ac:dyDescent="0.2">
      <c r="A121" s="3227"/>
      <c r="B121" s="3227"/>
      <c r="C121" s="3228"/>
    </row>
    <row r="122" spans="1:3" x14ac:dyDescent="0.2">
      <c r="A122" s="3227"/>
      <c r="B122" s="3227"/>
      <c r="C122" s="3228"/>
    </row>
    <row r="123" spans="1:3" x14ac:dyDescent="0.2">
      <c r="A123" s="3227"/>
      <c r="B123" s="3227"/>
      <c r="C123" s="3228"/>
    </row>
    <row r="124" spans="1:3" x14ac:dyDescent="0.2">
      <c r="A124" s="3227"/>
      <c r="B124" s="3227"/>
      <c r="C124" s="3228"/>
    </row>
    <row r="125" spans="1:3" x14ac:dyDescent="0.2">
      <c r="A125" s="3227"/>
      <c r="B125" s="3227"/>
      <c r="C125" s="3228"/>
    </row>
    <row r="126" spans="1:3" x14ac:dyDescent="0.2">
      <c r="A126" s="3227"/>
      <c r="B126" s="3227"/>
      <c r="C126" s="3228"/>
    </row>
    <row r="127" spans="1:3" x14ac:dyDescent="0.2">
      <c r="A127" s="3227"/>
      <c r="B127" s="3227"/>
      <c r="C127" s="3228"/>
    </row>
    <row r="128" spans="1:3" x14ac:dyDescent="0.2">
      <c r="A128" s="3227"/>
      <c r="B128" s="3227"/>
      <c r="C128" s="3228"/>
    </row>
    <row r="129" spans="1:3" x14ac:dyDescent="0.2">
      <c r="A129" s="3227"/>
      <c r="B129" s="3227"/>
      <c r="C129" s="3228"/>
    </row>
    <row r="130" spans="1:3" x14ac:dyDescent="0.2">
      <c r="A130" s="3227"/>
      <c r="B130" s="3227"/>
      <c r="C130" s="3228"/>
    </row>
    <row r="131" spans="1:3" x14ac:dyDescent="0.2">
      <c r="A131" s="3227"/>
      <c r="B131" s="3227"/>
      <c r="C131" s="3228"/>
    </row>
    <row r="132" spans="1:3" x14ac:dyDescent="0.2">
      <c r="A132" s="3227"/>
      <c r="B132" s="3227"/>
      <c r="C132" s="3228"/>
    </row>
    <row r="133" spans="1:3" x14ac:dyDescent="0.2">
      <c r="A133" s="3227"/>
      <c r="B133" s="3227"/>
      <c r="C133" s="3228"/>
    </row>
    <row r="134" spans="1:3" x14ac:dyDescent="0.2">
      <c r="A134" s="3227"/>
      <c r="B134" s="3227"/>
      <c r="C134" s="3228"/>
    </row>
    <row r="135" spans="1:3" x14ac:dyDescent="0.2">
      <c r="A135" s="3227"/>
      <c r="B135" s="3227"/>
      <c r="C135" s="3228"/>
    </row>
    <row r="136" spans="1:3" x14ac:dyDescent="0.2">
      <c r="A136" s="3227"/>
      <c r="B136" s="3227"/>
      <c r="C136" s="3228"/>
    </row>
    <row r="137" spans="1:3" x14ac:dyDescent="0.2">
      <c r="A137" s="3227"/>
      <c r="B137" s="3227"/>
      <c r="C137" s="3228"/>
    </row>
    <row r="138" spans="1:3" x14ac:dyDescent="0.2">
      <c r="A138" s="3227"/>
      <c r="B138" s="3227"/>
      <c r="C138" s="3228"/>
    </row>
    <row r="139" spans="1:3" x14ac:dyDescent="0.2">
      <c r="A139" s="3227"/>
      <c r="B139" s="3227"/>
      <c r="C139" s="3228"/>
    </row>
    <row r="140" spans="1:3" x14ac:dyDescent="0.2">
      <c r="A140" s="3227"/>
      <c r="B140" s="3227"/>
      <c r="C140" s="3228"/>
    </row>
    <row r="141" spans="1:3" x14ac:dyDescent="0.2">
      <c r="A141" s="3227"/>
      <c r="B141" s="3227"/>
      <c r="C141" s="3228"/>
    </row>
    <row r="142" spans="1:3" x14ac:dyDescent="0.2">
      <c r="A142" s="3227"/>
      <c r="B142" s="3227"/>
      <c r="C142" s="3228"/>
    </row>
    <row r="143" spans="1:3" x14ac:dyDescent="0.2">
      <c r="A143" s="3227"/>
      <c r="B143" s="3227"/>
      <c r="C143" s="3228"/>
    </row>
    <row r="144" spans="1:3" x14ac:dyDescent="0.2">
      <c r="A144" s="3227"/>
      <c r="B144" s="3227"/>
      <c r="C144" s="3228"/>
    </row>
    <row r="145" spans="1:3" x14ac:dyDescent="0.2">
      <c r="A145" s="3227"/>
      <c r="B145" s="3227"/>
      <c r="C145" s="3228"/>
    </row>
    <row r="146" spans="1:3" x14ac:dyDescent="0.2">
      <c r="A146" s="3227"/>
      <c r="B146" s="3227"/>
      <c r="C146" s="3228"/>
    </row>
    <row r="147" spans="1:3" x14ac:dyDescent="0.2">
      <c r="A147" s="3227"/>
      <c r="B147" s="3227"/>
      <c r="C147" s="3228"/>
    </row>
    <row r="148" spans="1:3" x14ac:dyDescent="0.2">
      <c r="A148" s="3227"/>
      <c r="B148" s="3227"/>
      <c r="C148" s="3228"/>
    </row>
    <row r="149" spans="1:3" x14ac:dyDescent="0.2">
      <c r="A149" s="3227"/>
      <c r="B149" s="3227"/>
      <c r="C149" s="3228"/>
    </row>
    <row r="150" spans="1:3" x14ac:dyDescent="0.2">
      <c r="A150" s="3227"/>
      <c r="B150" s="3227"/>
      <c r="C150" s="3228"/>
    </row>
    <row r="151" spans="1:3" x14ac:dyDescent="0.2">
      <c r="A151" s="3227"/>
      <c r="B151" s="3227"/>
      <c r="C151" s="3228"/>
    </row>
    <row r="152" spans="1:3" x14ac:dyDescent="0.2">
      <c r="A152" s="3227"/>
      <c r="B152" s="3227"/>
      <c r="C152" s="3228"/>
    </row>
    <row r="153" spans="1:3" x14ac:dyDescent="0.2">
      <c r="A153" s="3227"/>
      <c r="B153" s="3227"/>
      <c r="C153" s="3228"/>
    </row>
    <row r="154" spans="1:3" x14ac:dyDescent="0.2">
      <c r="A154" s="3227"/>
      <c r="B154" s="3227"/>
      <c r="C154" s="3228"/>
    </row>
    <row r="155" spans="1:3" x14ac:dyDescent="0.2">
      <c r="A155" s="3227"/>
      <c r="B155" s="3227"/>
      <c r="C155" s="3228"/>
    </row>
    <row r="156" spans="1:3" x14ac:dyDescent="0.2">
      <c r="A156" s="3227"/>
      <c r="B156" s="3227"/>
      <c r="C156" s="3228"/>
    </row>
    <row r="157" spans="1:3" x14ac:dyDescent="0.2">
      <c r="A157" s="3227"/>
      <c r="B157" s="3227"/>
      <c r="C157" s="3228"/>
    </row>
    <row r="158" spans="1:3" x14ac:dyDescent="0.2">
      <c r="A158" s="3227"/>
      <c r="B158" s="3227"/>
      <c r="C158" s="3228"/>
    </row>
    <row r="159" spans="1:3" x14ac:dyDescent="0.2">
      <c r="A159" s="3227"/>
      <c r="B159" s="3227"/>
      <c r="C159" s="3228"/>
    </row>
    <row r="160" spans="1:3" x14ac:dyDescent="0.2">
      <c r="A160" s="3227"/>
      <c r="B160" s="3227"/>
      <c r="C160" s="3228"/>
    </row>
    <row r="161" spans="1:3" x14ac:dyDescent="0.2">
      <c r="A161" s="3227"/>
      <c r="B161" s="3227"/>
      <c r="C161" s="3228"/>
    </row>
    <row r="162" spans="1:3" x14ac:dyDescent="0.2">
      <c r="A162" s="3227"/>
      <c r="B162" s="3227"/>
      <c r="C162" s="3228"/>
    </row>
    <row r="163" spans="1:3" x14ac:dyDescent="0.2">
      <c r="A163" s="3227"/>
      <c r="B163" s="3227"/>
      <c r="C163" s="3228"/>
    </row>
    <row r="164" spans="1:3" x14ac:dyDescent="0.2">
      <c r="A164" s="3227"/>
      <c r="B164" s="3227"/>
      <c r="C164" s="3228"/>
    </row>
    <row r="165" spans="1:3" x14ac:dyDescent="0.2">
      <c r="A165" s="3227"/>
      <c r="B165" s="3227"/>
      <c r="C165" s="3228"/>
    </row>
    <row r="166" spans="1:3" x14ac:dyDescent="0.2">
      <c r="A166" s="3227"/>
      <c r="B166" s="3227"/>
      <c r="C166" s="3228"/>
    </row>
    <row r="167" spans="1:3" x14ac:dyDescent="0.2">
      <c r="A167" s="3227"/>
      <c r="B167" s="3227"/>
      <c r="C167" s="3228"/>
    </row>
    <row r="168" spans="1:3" x14ac:dyDescent="0.2">
      <c r="A168" s="3227"/>
      <c r="B168" s="3227"/>
      <c r="C168" s="3228"/>
    </row>
    <row r="169" spans="1:3" x14ac:dyDescent="0.2">
      <c r="A169" s="3227"/>
      <c r="B169" s="3227"/>
      <c r="C169" s="3228"/>
    </row>
    <row r="170" spans="1:3" x14ac:dyDescent="0.2">
      <c r="A170" s="3227"/>
      <c r="B170" s="3227"/>
      <c r="C170" s="3228"/>
    </row>
    <row r="171" spans="1:3" x14ac:dyDescent="0.2">
      <c r="A171" s="3227"/>
      <c r="B171" s="3227"/>
      <c r="C171" s="3228"/>
    </row>
    <row r="172" spans="1:3" x14ac:dyDescent="0.2">
      <c r="A172" s="3227"/>
      <c r="B172" s="3227"/>
      <c r="C172" s="3228"/>
    </row>
    <row r="173" spans="1:3" x14ac:dyDescent="0.2">
      <c r="A173" s="3227"/>
      <c r="B173" s="3227"/>
      <c r="C173" s="3228"/>
    </row>
    <row r="174" spans="1:3" x14ac:dyDescent="0.2">
      <c r="A174" s="3227"/>
      <c r="B174" s="3227"/>
      <c r="C174" s="3228"/>
    </row>
    <row r="175" spans="1:3" x14ac:dyDescent="0.2">
      <c r="A175" s="3227"/>
      <c r="B175" s="3227"/>
      <c r="C175" s="3228"/>
    </row>
    <row r="176" spans="1:3" x14ac:dyDescent="0.2">
      <c r="A176" s="3227"/>
      <c r="B176" s="3227"/>
      <c r="C176" s="3228"/>
    </row>
    <row r="177" spans="1:3" x14ac:dyDescent="0.2">
      <c r="A177" s="3227"/>
      <c r="B177" s="3227"/>
      <c r="C177" s="3228"/>
    </row>
    <row r="178" spans="1:3" x14ac:dyDescent="0.2">
      <c r="A178" s="3227"/>
      <c r="B178" s="3227"/>
      <c r="C178" s="3228"/>
    </row>
    <row r="179" spans="1:3" x14ac:dyDescent="0.2">
      <c r="A179" s="3227"/>
      <c r="B179" s="3227"/>
      <c r="C179" s="3228"/>
    </row>
    <row r="180" spans="1:3" x14ac:dyDescent="0.2">
      <c r="A180" s="3227"/>
      <c r="B180" s="3227"/>
      <c r="C180" s="3228"/>
    </row>
    <row r="181" spans="1:3" x14ac:dyDescent="0.2">
      <c r="A181" s="3227"/>
      <c r="B181" s="3227"/>
      <c r="C181" s="3228"/>
    </row>
    <row r="182" spans="1:3" x14ac:dyDescent="0.2">
      <c r="A182" s="3227"/>
      <c r="B182" s="3227"/>
      <c r="C182" s="3228"/>
    </row>
    <row r="183" spans="1:3" x14ac:dyDescent="0.2">
      <c r="A183" s="3227"/>
      <c r="B183" s="3227"/>
      <c r="C183" s="3228"/>
    </row>
    <row r="184" spans="1:3" x14ac:dyDescent="0.2">
      <c r="A184" s="3227"/>
      <c r="B184" s="3227"/>
      <c r="C184" s="3228"/>
    </row>
    <row r="185" spans="1:3" x14ac:dyDescent="0.2">
      <c r="A185" s="3227"/>
      <c r="B185" s="3227"/>
      <c r="C185" s="3228"/>
    </row>
    <row r="186" spans="1:3" x14ac:dyDescent="0.2">
      <c r="A186" s="3227"/>
      <c r="B186" s="3227"/>
      <c r="C186" s="3228"/>
    </row>
    <row r="187" spans="1:3" x14ac:dyDescent="0.2">
      <c r="A187" s="3227"/>
      <c r="B187" s="3227"/>
      <c r="C187" s="3228"/>
    </row>
    <row r="188" spans="1:3" x14ac:dyDescent="0.2">
      <c r="A188" s="3227"/>
      <c r="B188" s="3227"/>
      <c r="C188" s="3228"/>
    </row>
    <row r="189" spans="1:3" x14ac:dyDescent="0.2">
      <c r="A189" s="3227"/>
      <c r="B189" s="3227"/>
      <c r="C189" s="3228"/>
    </row>
    <row r="190" spans="1:3" x14ac:dyDescent="0.2">
      <c r="A190" s="3227"/>
      <c r="B190" s="3227"/>
      <c r="C190" s="3228"/>
    </row>
    <row r="191" spans="1:3" x14ac:dyDescent="0.2">
      <c r="A191" s="3227"/>
      <c r="B191" s="3227"/>
      <c r="C191" s="3228"/>
    </row>
    <row r="192" spans="1:3" x14ac:dyDescent="0.2">
      <c r="A192" s="3227"/>
      <c r="B192" s="3227"/>
      <c r="C192" s="3228"/>
    </row>
    <row r="193" spans="1:3" x14ac:dyDescent="0.2">
      <c r="A193" s="3227"/>
      <c r="B193" s="3227"/>
      <c r="C193" s="3228"/>
    </row>
    <row r="194" spans="1:3" x14ac:dyDescent="0.2">
      <c r="A194" s="3227"/>
      <c r="B194" s="3227"/>
      <c r="C194" s="3228"/>
    </row>
    <row r="195" spans="1:3" x14ac:dyDescent="0.2">
      <c r="A195" s="3227"/>
      <c r="B195" s="3227"/>
      <c r="C195" s="3228"/>
    </row>
    <row r="196" spans="1:3" x14ac:dyDescent="0.2">
      <c r="A196" s="3227"/>
      <c r="B196" s="3227"/>
      <c r="C196" s="3228"/>
    </row>
    <row r="197" spans="1:3" x14ac:dyDescent="0.2">
      <c r="A197" s="3227"/>
      <c r="B197" s="3227"/>
      <c r="C197" s="3228"/>
    </row>
    <row r="198" spans="1:3" x14ac:dyDescent="0.2">
      <c r="A198" s="3227"/>
      <c r="B198" s="3227"/>
      <c r="C198" s="3228"/>
    </row>
    <row r="199" spans="1:3" x14ac:dyDescent="0.2">
      <c r="A199" s="3227"/>
      <c r="B199" s="3227"/>
      <c r="C199" s="3228"/>
    </row>
    <row r="200" spans="1:3" x14ac:dyDescent="0.2">
      <c r="A200" s="3227"/>
      <c r="B200" s="3227"/>
      <c r="C200" s="3228"/>
    </row>
    <row r="201" spans="1:3" x14ac:dyDescent="0.2">
      <c r="A201" s="3227"/>
      <c r="B201" s="3227"/>
      <c r="C201" s="3228"/>
    </row>
    <row r="202" spans="1:3" x14ac:dyDescent="0.2">
      <c r="A202" s="3227"/>
      <c r="B202" s="3227"/>
      <c r="C202" s="3228"/>
    </row>
    <row r="203" spans="1:3" x14ac:dyDescent="0.2">
      <c r="A203" s="3227"/>
      <c r="B203" s="3227"/>
      <c r="C203" s="3228"/>
    </row>
    <row r="204" spans="1:3" x14ac:dyDescent="0.2">
      <c r="A204" s="3227"/>
      <c r="B204" s="3227"/>
      <c r="C204" s="3228"/>
    </row>
    <row r="205" spans="1:3" x14ac:dyDescent="0.2">
      <c r="A205" s="3227"/>
      <c r="B205" s="3227"/>
      <c r="C205" s="3228"/>
    </row>
    <row r="206" spans="1:3" x14ac:dyDescent="0.2">
      <c r="A206" s="3227"/>
      <c r="B206" s="3227"/>
      <c r="C206" s="3228"/>
    </row>
    <row r="207" spans="1:3" x14ac:dyDescent="0.2">
      <c r="A207" s="3227"/>
      <c r="B207" s="3227"/>
      <c r="C207" s="3228"/>
    </row>
    <row r="208" spans="1:3" x14ac:dyDescent="0.2">
      <c r="A208" s="3227"/>
      <c r="B208" s="3227"/>
      <c r="C208" s="3228"/>
    </row>
    <row r="209" spans="1:3" x14ac:dyDescent="0.2">
      <c r="A209" s="3227"/>
      <c r="B209" s="3227"/>
      <c r="C209" s="3228"/>
    </row>
    <row r="210" spans="1:3" x14ac:dyDescent="0.2">
      <c r="A210" s="3227"/>
      <c r="B210" s="3227"/>
      <c r="C210" s="3228"/>
    </row>
    <row r="211" spans="1:3" x14ac:dyDescent="0.2">
      <c r="A211" s="3227"/>
      <c r="B211" s="3227"/>
      <c r="C211" s="3228"/>
    </row>
    <row r="212" spans="1:3" x14ac:dyDescent="0.2">
      <c r="A212" s="3227"/>
      <c r="B212" s="3227"/>
      <c r="C212" s="3228"/>
    </row>
    <row r="213" spans="1:3" x14ac:dyDescent="0.2">
      <c r="A213" s="3227"/>
      <c r="B213" s="3227"/>
      <c r="C213" s="3228"/>
    </row>
    <row r="214" spans="1:3" x14ac:dyDescent="0.2">
      <c r="A214" s="3227"/>
      <c r="B214" s="3227"/>
      <c r="C214" s="3228"/>
    </row>
    <row r="215" spans="1:3" x14ac:dyDescent="0.2">
      <c r="A215" s="3227"/>
      <c r="B215" s="3227"/>
      <c r="C215" s="3228"/>
    </row>
    <row r="216" spans="1:3" x14ac:dyDescent="0.2">
      <c r="A216" s="3227"/>
      <c r="B216" s="3227"/>
      <c r="C216" s="3228"/>
    </row>
    <row r="217" spans="1:3" x14ac:dyDescent="0.2">
      <c r="A217" s="3227"/>
      <c r="B217" s="3227"/>
      <c r="C217" s="3228"/>
    </row>
    <row r="218" spans="1:3" x14ac:dyDescent="0.2">
      <c r="A218" s="3227"/>
      <c r="B218" s="3227"/>
      <c r="C218" s="3228"/>
    </row>
  </sheetData>
  <mergeCells count="188">
    <mergeCell ref="A25:C25"/>
    <mergeCell ref="A26:C26"/>
    <mergeCell ref="A27:C27"/>
    <mergeCell ref="A39:C39"/>
    <mergeCell ref="A46:C46"/>
    <mergeCell ref="A47:C47"/>
    <mergeCell ref="A40:C40"/>
    <mergeCell ref="A41:C41"/>
    <mergeCell ref="A42:C42"/>
    <mergeCell ref="A43:C43"/>
    <mergeCell ref="A44:C44"/>
    <mergeCell ref="A45:C45"/>
    <mergeCell ref="A10:C10"/>
    <mergeCell ref="A11:C11"/>
    <mergeCell ref="A15:C15"/>
    <mergeCell ref="A20:C20"/>
    <mergeCell ref="A21:C21"/>
    <mergeCell ref="A14:M14"/>
    <mergeCell ref="A36:C36"/>
    <mergeCell ref="A37:C37"/>
    <mergeCell ref="A38:C38"/>
    <mergeCell ref="A35:C35"/>
    <mergeCell ref="A28:C28"/>
    <mergeCell ref="A29:C29"/>
    <mergeCell ref="A30:C30"/>
    <mergeCell ref="A31:C31"/>
    <mergeCell ref="A22:C22"/>
    <mergeCell ref="A23:C23"/>
    <mergeCell ref="A16:C16"/>
    <mergeCell ref="A17:C17"/>
    <mergeCell ref="A18:C18"/>
    <mergeCell ref="A19:C19"/>
    <mergeCell ref="A32:C32"/>
    <mergeCell ref="A33:C33"/>
    <mergeCell ref="A34:C34"/>
    <mergeCell ref="A24:C24"/>
    <mergeCell ref="A74:C74"/>
    <mergeCell ref="A75:C75"/>
    <mergeCell ref="A76:C76"/>
    <mergeCell ref="A48:C48"/>
    <mergeCell ref="A49:C49"/>
    <mergeCell ref="A50:C50"/>
    <mergeCell ref="A51:C51"/>
    <mergeCell ref="A73:C73"/>
    <mergeCell ref="A53:C53"/>
    <mergeCell ref="A54:C54"/>
    <mergeCell ref="A85:C85"/>
    <mergeCell ref="A86:C86"/>
    <mergeCell ref="A87:C87"/>
    <mergeCell ref="A88:C88"/>
    <mergeCell ref="A81:C81"/>
    <mergeCell ref="A82:C82"/>
    <mergeCell ref="A83:C83"/>
    <mergeCell ref="A84:C84"/>
    <mergeCell ref="A77:C77"/>
    <mergeCell ref="A78:C78"/>
    <mergeCell ref="A79:C79"/>
    <mergeCell ref="A80:C80"/>
    <mergeCell ref="A97:C97"/>
    <mergeCell ref="A98:C98"/>
    <mergeCell ref="A89:C89"/>
    <mergeCell ref="A90:C90"/>
    <mergeCell ref="A91:C91"/>
    <mergeCell ref="A92:C92"/>
    <mergeCell ref="A99:C99"/>
    <mergeCell ref="A100:C100"/>
    <mergeCell ref="A93:C93"/>
    <mergeCell ref="A94:C94"/>
    <mergeCell ref="A95:C95"/>
    <mergeCell ref="A96:C96"/>
    <mergeCell ref="A109:C109"/>
    <mergeCell ref="A110:C110"/>
    <mergeCell ref="A111:C111"/>
    <mergeCell ref="A112:C112"/>
    <mergeCell ref="A105:C105"/>
    <mergeCell ref="A106:C106"/>
    <mergeCell ref="A107:C107"/>
    <mergeCell ref="A108:C108"/>
    <mergeCell ref="A101:C101"/>
    <mergeCell ref="A102:C102"/>
    <mergeCell ref="A103:C103"/>
    <mergeCell ref="A104:C104"/>
    <mergeCell ref="A121:C121"/>
    <mergeCell ref="A122:C122"/>
    <mergeCell ref="A113:C113"/>
    <mergeCell ref="A114:C114"/>
    <mergeCell ref="A115:C115"/>
    <mergeCell ref="A116:C116"/>
    <mergeCell ref="A123:C123"/>
    <mergeCell ref="A124:C124"/>
    <mergeCell ref="A117:C117"/>
    <mergeCell ref="A118:C118"/>
    <mergeCell ref="A119:C119"/>
    <mergeCell ref="A120:C120"/>
    <mergeCell ref="A133:C133"/>
    <mergeCell ref="A134:C134"/>
    <mergeCell ref="A135:C135"/>
    <mergeCell ref="A136:C136"/>
    <mergeCell ref="A129:C129"/>
    <mergeCell ref="A130:C130"/>
    <mergeCell ref="A131:C131"/>
    <mergeCell ref="A132:C132"/>
    <mergeCell ref="A125:C125"/>
    <mergeCell ref="A126:C126"/>
    <mergeCell ref="A127:C127"/>
    <mergeCell ref="A128:C128"/>
    <mergeCell ref="A145:C145"/>
    <mergeCell ref="A146:C146"/>
    <mergeCell ref="A137:C137"/>
    <mergeCell ref="A138:C138"/>
    <mergeCell ref="A139:C139"/>
    <mergeCell ref="A140:C140"/>
    <mergeCell ref="A147:C147"/>
    <mergeCell ref="A148:C148"/>
    <mergeCell ref="A141:C141"/>
    <mergeCell ref="A142:C142"/>
    <mergeCell ref="A143:C143"/>
    <mergeCell ref="A144:C144"/>
    <mergeCell ref="A157:C157"/>
    <mergeCell ref="A158:C158"/>
    <mergeCell ref="A159:C159"/>
    <mergeCell ref="A160:C160"/>
    <mergeCell ref="A153:C153"/>
    <mergeCell ref="A154:C154"/>
    <mergeCell ref="A155:C155"/>
    <mergeCell ref="A156:C156"/>
    <mergeCell ref="A149:C149"/>
    <mergeCell ref="A150:C150"/>
    <mergeCell ref="A151:C151"/>
    <mergeCell ref="A152:C152"/>
    <mergeCell ref="A169:C169"/>
    <mergeCell ref="A170:C170"/>
    <mergeCell ref="A161:C161"/>
    <mergeCell ref="A162:C162"/>
    <mergeCell ref="A163:C163"/>
    <mergeCell ref="A164:C164"/>
    <mergeCell ref="A171:C171"/>
    <mergeCell ref="A172:C172"/>
    <mergeCell ref="A165:C165"/>
    <mergeCell ref="A166:C166"/>
    <mergeCell ref="A167:C167"/>
    <mergeCell ref="A168:C168"/>
    <mergeCell ref="A181:C181"/>
    <mergeCell ref="A182:C182"/>
    <mergeCell ref="A183:C183"/>
    <mergeCell ref="A184:C184"/>
    <mergeCell ref="A177:C177"/>
    <mergeCell ref="A178:C178"/>
    <mergeCell ref="A179:C179"/>
    <mergeCell ref="A180:C180"/>
    <mergeCell ref="A173:C173"/>
    <mergeCell ref="A174:C174"/>
    <mergeCell ref="A175:C175"/>
    <mergeCell ref="A176:C176"/>
    <mergeCell ref="A193:C193"/>
    <mergeCell ref="A194:C194"/>
    <mergeCell ref="A185:C185"/>
    <mergeCell ref="A186:C186"/>
    <mergeCell ref="A187:C187"/>
    <mergeCell ref="A188:C188"/>
    <mergeCell ref="A195:C195"/>
    <mergeCell ref="A196:C196"/>
    <mergeCell ref="A189:C189"/>
    <mergeCell ref="A190:C190"/>
    <mergeCell ref="A191:C191"/>
    <mergeCell ref="A192:C192"/>
    <mergeCell ref="A217:C217"/>
    <mergeCell ref="A218:C218"/>
    <mergeCell ref="A213:C213"/>
    <mergeCell ref="A214:C214"/>
    <mergeCell ref="A215:C215"/>
    <mergeCell ref="A216:C216"/>
    <mergeCell ref="A209:C209"/>
    <mergeCell ref="A210:C210"/>
    <mergeCell ref="A211:C211"/>
    <mergeCell ref="A212:C212"/>
    <mergeCell ref="A197:C197"/>
    <mergeCell ref="A198:C198"/>
    <mergeCell ref="A199:C199"/>
    <mergeCell ref="A200:C200"/>
    <mergeCell ref="A205:C205"/>
    <mergeCell ref="A206:C206"/>
    <mergeCell ref="A207:C207"/>
    <mergeCell ref="A208:C208"/>
    <mergeCell ref="A201:C201"/>
    <mergeCell ref="A202:C202"/>
    <mergeCell ref="A203:C203"/>
    <mergeCell ref="A204:C204"/>
  </mergeCells>
  <phoneticPr fontId="0" type="noConversion"/>
  <printOptions horizontalCentered="1" verticalCentered="1"/>
  <pageMargins left="0.39370078740157483" right="0.39370078740157483" top="0.39370078740157483" bottom="0.39370078740157483" header="0.59055118110236227" footer="0"/>
  <pageSetup scale="75"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9" tint="-0.249977111117893"/>
    <pageSetUpPr fitToPage="1"/>
  </sheetPr>
  <dimension ref="A2:XFD132"/>
  <sheetViews>
    <sheetView showGridLines="0" topLeftCell="A7" zoomScale="80" zoomScaleNormal="80" workbookViewId="0">
      <selection activeCell="H27" sqref="H27"/>
    </sheetView>
  </sheetViews>
  <sheetFormatPr baseColWidth="10" defaultRowHeight="12.75" outlineLevelCol="1" x14ac:dyDescent="0.2"/>
  <cols>
    <col min="1" max="1" width="13.42578125" style="1457" customWidth="1"/>
    <col min="2" max="2" width="23.5703125" style="1457" customWidth="1"/>
    <col min="3" max="3" width="9.5703125" style="1457" customWidth="1"/>
    <col min="4" max="4" width="15.7109375" style="1455" customWidth="1"/>
    <col min="5" max="5" width="9.85546875" style="1456" customWidth="1"/>
    <col min="6" max="6" width="15.7109375" style="1455" customWidth="1"/>
    <col min="7" max="7" width="10.42578125" style="1456" customWidth="1"/>
    <col min="8" max="8" width="15.85546875" style="1455" customWidth="1"/>
    <col min="9" max="9" width="9.7109375" style="1456" customWidth="1"/>
    <col min="10" max="10" width="14.5703125" style="1456" hidden="1" customWidth="1" outlineLevel="1"/>
    <col min="11" max="11" width="9.85546875" style="1456" hidden="1" customWidth="1" outlineLevel="1"/>
    <col min="12" max="12" width="14.5703125" style="1457" hidden="1" customWidth="1" outlineLevel="1"/>
    <col min="13" max="13" width="10" style="1457" hidden="1" customWidth="1" outlineLevel="1"/>
    <col min="14" max="14" width="11.42578125" style="1457" collapsed="1"/>
    <col min="15" max="16373" width="11.42578125" style="1457"/>
    <col min="16374" max="16374" width="11.42578125" style="1650"/>
    <col min="16375" max="16375" width="33" style="1650" bestFit="1" customWidth="1"/>
    <col min="16376" max="16382" width="11.42578125" style="1650"/>
    <col min="16383" max="16384" width="11.42578125" style="1457"/>
  </cols>
  <sheetData>
    <row r="2" spans="1:14 16374:16383" x14ac:dyDescent="0.2">
      <c r="H2" s="1521"/>
      <c r="XEU2" s="1656"/>
      <c r="XEV2" s="1656"/>
      <c r="XEW2" s="1656"/>
      <c r="XEX2" s="1656"/>
      <c r="XEY2" s="1664"/>
      <c r="XEZ2" s="1664"/>
      <c r="XFA2" s="1664"/>
      <c r="XFB2" s="1664"/>
      <c r="XFC2" s="1664"/>
    </row>
    <row r="3" spans="1:14 16374:16383" x14ac:dyDescent="0.2">
      <c r="H3" s="1521"/>
      <c r="XEU3" s="1657"/>
      <c r="XEV3" s="1658"/>
      <c r="XEW3" s="1658"/>
      <c r="XEX3" s="1658"/>
      <c r="XEY3" s="1667"/>
      <c r="XEZ3" s="1667"/>
      <c r="XFA3" s="1667"/>
      <c r="XFB3" s="1667"/>
      <c r="XFC3" s="1667"/>
    </row>
    <row r="4" spans="1:14 16374:16383" x14ac:dyDescent="0.2">
      <c r="XEU4" s="1657"/>
      <c r="XEV4" s="1658"/>
      <c r="XEW4" s="1658"/>
      <c r="XEX4" s="1658"/>
      <c r="XEY4" s="1667"/>
      <c r="XEZ4" s="1667"/>
      <c r="XFA4" s="1667"/>
      <c r="XFB4" s="1667"/>
      <c r="XFC4" s="1667"/>
    </row>
    <row r="5" spans="1:14 16374:16383" x14ac:dyDescent="0.2">
      <c r="B5" s="1446" t="s">
        <v>105</v>
      </c>
      <c r="C5" s="1522">
        <f>+General!D6</f>
        <v>0</v>
      </c>
      <c r="D5" s="1460"/>
      <c r="E5" s="1461"/>
      <c r="F5" s="1462"/>
      <c r="G5" s="1461"/>
      <c r="H5" s="1463"/>
      <c r="I5" s="1464"/>
      <c r="XEU5" s="1657"/>
      <c r="XEV5" s="1658"/>
      <c r="XEW5" s="1658"/>
      <c r="XEX5" s="1658"/>
      <c r="XEY5" s="1667"/>
      <c r="XEZ5" s="1667"/>
      <c r="XFA5" s="1667"/>
      <c r="XFB5" s="1667"/>
      <c r="XFC5" s="1667"/>
    </row>
    <row r="6" spans="1:14 16374:16383" s="1473" customFormat="1" x14ac:dyDescent="0.2">
      <c r="B6" s="1446" t="s">
        <v>106</v>
      </c>
      <c r="C6" s="1522">
        <f>+General!D7</f>
        <v>0</v>
      </c>
      <c r="D6" s="1465"/>
      <c r="E6" s="1466"/>
      <c r="F6" s="1467"/>
      <c r="G6" s="1466"/>
      <c r="H6" s="1468"/>
      <c r="I6" s="1469"/>
      <c r="J6" s="1456"/>
      <c r="K6" s="1456"/>
      <c r="XET6" s="1651"/>
      <c r="XEU6" s="1657"/>
      <c r="XEV6" s="1658"/>
      <c r="XEW6" s="1658"/>
      <c r="XEX6" s="1658"/>
      <c r="XEY6" s="1667"/>
      <c r="XEZ6" s="1667"/>
      <c r="XFA6" s="1667"/>
      <c r="XFB6" s="1667"/>
      <c r="XFC6" s="1667"/>
    </row>
    <row r="7" spans="1:14 16374:16383" s="1473" customFormat="1" x14ac:dyDescent="0.2">
      <c r="B7" s="1446" t="str">
        <f>+Pasivos!B7</f>
        <v>NIT:</v>
      </c>
      <c r="C7" s="1522">
        <f>+General!D9</f>
        <v>0</v>
      </c>
      <c r="D7" s="1522"/>
      <c r="E7" s="1475"/>
      <c r="H7" s="1475" t="s">
        <v>272</v>
      </c>
      <c r="I7" s="1523" t="str">
        <f>General!D20</f>
        <v>NO</v>
      </c>
      <c r="J7" s="1524"/>
      <c r="K7" s="1524"/>
      <c r="XET7" s="1651"/>
      <c r="XEU7" s="1657"/>
      <c r="XEV7" s="1658"/>
      <c r="XEW7" s="1658"/>
      <c r="XEX7" s="1658"/>
      <c r="XEY7" s="1667"/>
      <c r="XEZ7" s="1667"/>
      <c r="XFA7" s="1667"/>
      <c r="XFB7" s="1667"/>
      <c r="XFC7" s="1667"/>
    </row>
    <row r="8" spans="1:14 16374:16383" s="1473" customFormat="1" x14ac:dyDescent="0.2">
      <c r="B8" s="1475" t="s">
        <v>109</v>
      </c>
      <c r="C8" s="1522">
        <f>General!D21</f>
        <v>0</v>
      </c>
      <c r="D8" s="1460"/>
      <c r="E8" s="1474"/>
      <c r="F8" s="1474"/>
      <c r="G8" s="1474"/>
      <c r="H8" s="1474"/>
      <c r="I8" s="1474"/>
      <c r="J8" s="1475"/>
      <c r="K8" s="1475"/>
      <c r="XET8" s="1651"/>
      <c r="XEU8" s="1656"/>
      <c r="XEV8" s="1659"/>
      <c r="XEW8" s="1659"/>
      <c r="XEX8" s="1659"/>
      <c r="XEY8" s="1668"/>
      <c r="XEZ8" s="1668"/>
      <c r="XFA8" s="1668"/>
      <c r="XFB8" s="1668"/>
      <c r="XFC8" s="1668"/>
    </row>
    <row r="9" spans="1:14 16374:16383" s="1473" customFormat="1" ht="13.5" thickBot="1" x14ac:dyDescent="0.25">
      <c r="A9" s="1475"/>
      <c r="B9" s="1475"/>
      <c r="C9" s="1475"/>
      <c r="D9" s="1527"/>
      <c r="E9" s="1526"/>
      <c r="F9" s="1527"/>
      <c r="G9" s="1526"/>
      <c r="H9" s="1527"/>
      <c r="I9" s="1526"/>
      <c r="J9" s="1526"/>
      <c r="K9" s="1526"/>
      <c r="XET9" s="1651"/>
      <c r="XEU9" s="1655"/>
      <c r="XEV9" s="1655"/>
      <c r="XEW9" s="1655"/>
      <c r="XEX9" s="1655"/>
      <c r="XEY9" s="1660"/>
      <c r="XEZ9" s="1660"/>
      <c r="XFA9" s="1660"/>
      <c r="XFB9" s="1660"/>
      <c r="XFC9" s="1661"/>
    </row>
    <row r="10" spans="1:14 16374:16383" s="1473" customFormat="1" ht="15" x14ac:dyDescent="0.25">
      <c r="A10" s="3243" t="s">
        <v>273</v>
      </c>
      <c r="B10" s="3243"/>
      <c r="C10" s="3291"/>
      <c r="D10" s="1478" t="str">
        <f>+Pasivos!D10</f>
        <v>NO</v>
      </c>
      <c r="E10" s="1479"/>
      <c r="F10" s="1478" t="str">
        <f>+Pasivos!F10</f>
        <v>NO</v>
      </c>
      <c r="G10" s="1479"/>
      <c r="H10" s="1478" t="str">
        <f>+Pasivos!H10</f>
        <v>NO</v>
      </c>
      <c r="I10" s="1479"/>
      <c r="J10" s="1478" t="str">
        <f>+Pasivos!J10</f>
        <v>NO</v>
      </c>
      <c r="K10" s="1479"/>
      <c r="L10" s="1478" t="str">
        <f>+Pasivos!L10</f>
        <v>NO</v>
      </c>
      <c r="XET10" s="1651"/>
      <c r="XEU10" s="1655"/>
      <c r="XEV10" s="1655"/>
      <c r="XEW10" s="1655"/>
      <c r="XEX10" s="1655"/>
      <c r="XEY10" s="1660"/>
      <c r="XEZ10" s="1660"/>
      <c r="XFA10" s="1660"/>
      <c r="XFB10" s="1660"/>
      <c r="XFC10" s="1661"/>
    </row>
    <row r="11" spans="1:14 16374:16383" s="1473" customFormat="1" ht="13.5" thickBot="1" x14ac:dyDescent="0.25">
      <c r="A11" s="3243" t="s">
        <v>274</v>
      </c>
      <c r="B11" s="3243"/>
      <c r="C11" s="3291"/>
      <c r="D11" s="1480">
        <f>+Pasivos!D11</f>
        <v>42735</v>
      </c>
      <c r="E11" s="1479"/>
      <c r="F11" s="1480">
        <f>+Pasivos!F11</f>
        <v>43100</v>
      </c>
      <c r="G11" s="1479"/>
      <c r="H11" s="1480">
        <f>+Pasivos!H11</f>
        <v>43465</v>
      </c>
      <c r="I11" s="1479"/>
      <c r="J11" s="1480">
        <f>+Pasivos!J11</f>
        <v>43281</v>
      </c>
      <c r="K11" s="1479"/>
      <c r="L11" s="1480">
        <f>+Pasivos!L11</f>
        <v>43646</v>
      </c>
      <c r="XET11" s="1651"/>
      <c r="XEU11" s="1656"/>
      <c r="XEV11" s="1656"/>
      <c r="XEW11" s="1656"/>
      <c r="XEX11" s="1656"/>
      <c r="XEY11" s="1664"/>
      <c r="XEZ11" s="1664"/>
      <c r="XFA11" s="1664"/>
      <c r="XFB11" s="1664"/>
      <c r="XFC11" s="1664"/>
    </row>
    <row r="12" spans="1:14 16374:16383" s="1473" customFormat="1" ht="13.5" thickBot="1" x14ac:dyDescent="0.25">
      <c r="D12" s="1527"/>
      <c r="E12" s="1526"/>
      <c r="F12" s="1527"/>
      <c r="G12" s="1526"/>
      <c r="H12" s="1527"/>
      <c r="I12" s="1526"/>
      <c r="J12" s="1527"/>
      <c r="K12" s="1526"/>
      <c r="L12" s="1527"/>
      <c r="XET12" s="1651"/>
      <c r="XEU12" s="1657"/>
      <c r="XEV12" s="1658"/>
      <c r="XEW12" s="1658"/>
      <c r="XEX12" s="1658"/>
      <c r="XEY12" s="1667"/>
      <c r="XEZ12" s="1667"/>
      <c r="XFA12" s="1667"/>
      <c r="XFB12" s="1667"/>
      <c r="XFC12" s="1667"/>
    </row>
    <row r="13" spans="1:14 16374:16383" s="1473" customFormat="1" ht="13.5" thickBot="1" x14ac:dyDescent="0.25">
      <c r="D13" s="1482" t="str">
        <f>+Pasivos!D13</f>
        <v>COP MM</v>
      </c>
      <c r="E13" s="1483" t="s">
        <v>275</v>
      </c>
      <c r="F13" s="1482" t="str">
        <f>+Pasivos!F13</f>
        <v>COP MM</v>
      </c>
      <c r="G13" s="1483" t="s">
        <v>275</v>
      </c>
      <c r="H13" s="1482" t="str">
        <f>+Pasivos!H13</f>
        <v>COP MM</v>
      </c>
      <c r="I13" s="1483" t="s">
        <v>275</v>
      </c>
      <c r="J13" s="1482" t="str">
        <f>+Pasivos!J13</f>
        <v>COP MM</v>
      </c>
      <c r="K13" s="1483" t="s">
        <v>275</v>
      </c>
      <c r="L13" s="1482" t="str">
        <f>+Pasivos!L13</f>
        <v>COP MM</v>
      </c>
      <c r="M13" s="1483" t="s">
        <v>275</v>
      </c>
      <c r="XET13" s="1651"/>
      <c r="XEU13" s="1657"/>
      <c r="XEV13" s="1658"/>
      <c r="XEW13" s="1658"/>
      <c r="XEX13" s="1658"/>
      <c r="XEY13" s="1667"/>
      <c r="XEZ13" s="1667"/>
      <c r="XFA13" s="1667"/>
      <c r="XFB13" s="1667"/>
      <c r="XFC13" s="1667"/>
    </row>
    <row r="14" spans="1:14 16374:16383" s="1445" customFormat="1" ht="15.75" thickBot="1" x14ac:dyDescent="0.3">
      <c r="A14" s="3297" t="s">
        <v>337</v>
      </c>
      <c r="B14" s="3298"/>
      <c r="C14" s="3298"/>
      <c r="D14" s="3298"/>
      <c r="E14" s="3298"/>
      <c r="F14" s="3298"/>
      <c r="G14" s="3298"/>
      <c r="H14" s="3298"/>
      <c r="I14" s="3298"/>
      <c r="J14" s="3298"/>
      <c r="K14" s="3298"/>
      <c r="L14" s="3298"/>
      <c r="M14" s="3298"/>
      <c r="XET14" s="1652"/>
      <c r="XEU14" s="1657"/>
      <c r="XEV14" s="1658"/>
      <c r="XEW14" s="1658"/>
      <c r="XEX14" s="1658"/>
      <c r="XEY14" s="1667"/>
      <c r="XEZ14" s="1667"/>
      <c r="XFA14" s="1667"/>
      <c r="XFB14" s="1667"/>
      <c r="XFC14" s="1667"/>
    </row>
    <row r="15" spans="1:14 16374:16383" s="1445" customFormat="1" ht="13.5" customHeight="1" x14ac:dyDescent="0.2">
      <c r="A15" s="3244" t="s">
        <v>338</v>
      </c>
      <c r="B15" s="3245"/>
      <c r="C15" s="3245"/>
      <c r="D15" s="1484">
        <f>'Info Entrada'!C77</f>
        <v>0</v>
      </c>
      <c r="E15" s="1567" t="e">
        <f>+D15/D$15</f>
        <v>#DIV/0!</v>
      </c>
      <c r="F15" s="1484">
        <f>'Info Entrada'!D77</f>
        <v>0</v>
      </c>
      <c r="G15" s="1567" t="e">
        <f>+F15/F$15</f>
        <v>#DIV/0!</v>
      </c>
      <c r="H15" s="1484">
        <f>'Info Entrada'!E77</f>
        <v>0</v>
      </c>
      <c r="I15" s="1567" t="e">
        <f t="shared" ref="I15:I44" si="0">+H15/H$15</f>
        <v>#DIV/0!</v>
      </c>
      <c r="J15" s="1484">
        <f>'Info Entrada'!F77</f>
        <v>0</v>
      </c>
      <c r="K15" s="1567" t="e">
        <f t="shared" ref="K15:K44" si="1">+J15/J$15</f>
        <v>#DIV/0!</v>
      </c>
      <c r="L15" s="1484">
        <f>'Info Entrada'!G77</f>
        <v>0</v>
      </c>
      <c r="M15" s="1568" t="e">
        <f t="shared" ref="M15:M44" si="2">+L15/L$15</f>
        <v>#DIV/0!</v>
      </c>
      <c r="N15" s="1569"/>
      <c r="XET15" s="1652"/>
      <c r="XEU15" s="1657"/>
      <c r="XEV15" s="1658"/>
      <c r="XEW15" s="1658"/>
      <c r="XEX15" s="1658"/>
      <c r="XEY15" s="1667"/>
      <c r="XEZ15" s="1667"/>
      <c r="XFA15" s="1667"/>
      <c r="XFB15" s="1667"/>
      <c r="XFC15" s="1667"/>
    </row>
    <row r="16" spans="1:14 16374:16383" s="1445" customFormat="1" ht="13.5" customHeight="1" thickBot="1" x14ac:dyDescent="0.25">
      <c r="A16" s="3276" t="s">
        <v>339</v>
      </c>
      <c r="B16" s="3277"/>
      <c r="C16" s="3272"/>
      <c r="D16" s="1492">
        <f>'Info Entrada'!C89</f>
        <v>0</v>
      </c>
      <c r="E16" s="1570" t="e">
        <f t="shared" ref="E16:G31" si="3">+D16/D$15</f>
        <v>#DIV/0!</v>
      </c>
      <c r="F16" s="1492">
        <f>'Info Entrada'!D89</f>
        <v>0</v>
      </c>
      <c r="G16" s="1570" t="e">
        <f t="shared" si="3"/>
        <v>#DIV/0!</v>
      </c>
      <c r="H16" s="1492">
        <f>'Info Entrada'!E89</f>
        <v>0</v>
      </c>
      <c r="I16" s="1570" t="e">
        <f t="shared" si="0"/>
        <v>#DIV/0!</v>
      </c>
      <c r="J16" s="1492">
        <f>'Info Entrada'!F89</f>
        <v>0</v>
      </c>
      <c r="K16" s="1570" t="e">
        <f t="shared" si="1"/>
        <v>#DIV/0!</v>
      </c>
      <c r="L16" s="1492">
        <f>'Info Entrada'!G89</f>
        <v>0</v>
      </c>
      <c r="M16" s="1571" t="e">
        <f t="shared" si="2"/>
        <v>#DIV/0!</v>
      </c>
      <c r="N16" s="1569"/>
      <c r="XET16" s="1652"/>
      <c r="XEU16" s="1657"/>
      <c r="XEV16" s="1658"/>
      <c r="XEW16" s="1658"/>
      <c r="XEX16" s="1658"/>
      <c r="XEY16" s="1667"/>
      <c r="XEZ16" s="1667"/>
      <c r="XFA16" s="1667"/>
      <c r="XFB16" s="1667"/>
      <c r="XFC16" s="1667"/>
    </row>
    <row r="17" spans="1:14 16374:16384" s="1572" customFormat="1" ht="13.5" thickBot="1" x14ac:dyDescent="0.25">
      <c r="A17" s="3266" t="s">
        <v>340</v>
      </c>
      <c r="B17" s="3267"/>
      <c r="C17" s="3268"/>
      <c r="D17" s="1541">
        <f>D15-D16</f>
        <v>0</v>
      </c>
      <c r="E17" s="1542" t="e">
        <f t="shared" si="3"/>
        <v>#DIV/0!</v>
      </c>
      <c r="F17" s="1541">
        <f>F15-F16</f>
        <v>0</v>
      </c>
      <c r="G17" s="1542" t="e">
        <f t="shared" si="3"/>
        <v>#DIV/0!</v>
      </c>
      <c r="H17" s="1541">
        <f>H15-H16</f>
        <v>0</v>
      </c>
      <c r="I17" s="1542" t="e">
        <f t="shared" si="0"/>
        <v>#DIV/0!</v>
      </c>
      <c r="J17" s="1541">
        <f>J15-J16</f>
        <v>0</v>
      </c>
      <c r="K17" s="1542" t="e">
        <f t="shared" si="1"/>
        <v>#DIV/0!</v>
      </c>
      <c r="L17" s="1541">
        <f>L15-L16</f>
        <v>0</v>
      </c>
      <c r="M17" s="1543" t="e">
        <f t="shared" si="2"/>
        <v>#DIV/0!</v>
      </c>
      <c r="N17" s="1569"/>
      <c r="XET17" s="1653"/>
      <c r="XEU17" s="1657"/>
      <c r="XEV17" s="1658"/>
      <c r="XEW17" s="1658"/>
      <c r="XEX17" s="1658"/>
      <c r="XEY17" s="1667"/>
      <c r="XEZ17" s="1667"/>
      <c r="XFA17" s="1667"/>
      <c r="XFB17" s="1667"/>
      <c r="XFC17" s="1667"/>
    </row>
    <row r="18" spans="1:14 16374:16384" s="1445" customFormat="1" ht="13.5" customHeight="1" x14ac:dyDescent="0.2">
      <c r="A18" s="3273" t="s">
        <v>341</v>
      </c>
      <c r="B18" s="3274"/>
      <c r="C18" s="3299"/>
      <c r="D18" s="1496">
        <f>'Info Entrada'!C94</f>
        <v>0</v>
      </c>
      <c r="E18" s="1573" t="e">
        <f t="shared" si="3"/>
        <v>#DIV/0!</v>
      </c>
      <c r="F18" s="1496">
        <f>'Info Entrada'!D94</f>
        <v>0</v>
      </c>
      <c r="G18" s="1573" t="e">
        <f t="shared" si="3"/>
        <v>#DIV/0!</v>
      </c>
      <c r="H18" s="1496">
        <f>'Info Entrada'!E94</f>
        <v>0</v>
      </c>
      <c r="I18" s="1573" t="e">
        <f t="shared" si="0"/>
        <v>#DIV/0!</v>
      </c>
      <c r="J18" s="1496">
        <f>'Info Entrada'!F94</f>
        <v>0</v>
      </c>
      <c r="K18" s="1573" t="e">
        <f t="shared" si="1"/>
        <v>#DIV/0!</v>
      </c>
      <c r="L18" s="1496">
        <f>'Info Entrada'!G94</f>
        <v>0</v>
      </c>
      <c r="M18" s="1574" t="e">
        <f t="shared" si="2"/>
        <v>#DIV/0!</v>
      </c>
      <c r="N18" s="1569"/>
      <c r="XET18" s="1652"/>
      <c r="XEU18" s="1656"/>
      <c r="XEV18" s="1659"/>
      <c r="XEW18" s="1659"/>
      <c r="XEX18" s="1659"/>
      <c r="XEY18" s="1667"/>
      <c r="XEZ18" s="1667"/>
      <c r="XFA18" s="1667"/>
      <c r="XFB18" s="1667"/>
      <c r="XFC18" s="1667"/>
    </row>
    <row r="19" spans="1:14 16374:16384" s="1445" customFormat="1" ht="12.75" customHeight="1" x14ac:dyDescent="0.2">
      <c r="A19" s="3300" t="s">
        <v>342</v>
      </c>
      <c r="B19" s="3301"/>
      <c r="C19" s="3302"/>
      <c r="D19" s="1487">
        <f>'Info Entrada'!C103</f>
        <v>0</v>
      </c>
      <c r="E19" s="1575" t="e">
        <f t="shared" si="3"/>
        <v>#DIV/0!</v>
      </c>
      <c r="F19" s="1487">
        <f>'Info Entrada'!D103</f>
        <v>0</v>
      </c>
      <c r="G19" s="1575" t="e">
        <f t="shared" si="3"/>
        <v>#DIV/0!</v>
      </c>
      <c r="H19" s="1487">
        <f>'Info Entrada'!E103</f>
        <v>0</v>
      </c>
      <c r="I19" s="1575" t="e">
        <f t="shared" si="0"/>
        <v>#DIV/0!</v>
      </c>
      <c r="J19" s="1487">
        <f>'Info Entrada'!F103</f>
        <v>0</v>
      </c>
      <c r="K19" s="1575" t="e">
        <f t="shared" si="1"/>
        <v>#DIV/0!</v>
      </c>
      <c r="L19" s="1487">
        <f>'Info Entrada'!G103</f>
        <v>0</v>
      </c>
      <c r="M19" s="1576" t="e">
        <f t="shared" si="2"/>
        <v>#DIV/0!</v>
      </c>
      <c r="N19" s="1569"/>
      <c r="XET19" s="1652"/>
      <c r="XEU19" s="1656"/>
      <c r="XEV19" s="1666"/>
      <c r="XEW19" s="1666"/>
      <c r="XEX19" s="1666"/>
      <c r="XEY19" s="1662"/>
      <c r="XEZ19" s="1662"/>
      <c r="XFA19" s="1662"/>
      <c r="XFB19" s="1662"/>
      <c r="XFC19" s="1663"/>
    </row>
    <row r="20" spans="1:14 16374:16384" s="1445" customFormat="1" ht="12.75" customHeight="1" x14ac:dyDescent="0.2">
      <c r="A20" s="3279" t="s">
        <v>343</v>
      </c>
      <c r="B20" s="3280"/>
      <c r="C20" s="3258"/>
      <c r="D20" s="1499">
        <f>'Info Entrada'!C116</f>
        <v>0</v>
      </c>
      <c r="E20" s="1575" t="e">
        <f t="shared" si="3"/>
        <v>#DIV/0!</v>
      </c>
      <c r="F20" s="1499">
        <f>'Info Entrada'!D116</f>
        <v>0</v>
      </c>
      <c r="G20" s="1575" t="e">
        <f t="shared" si="3"/>
        <v>#DIV/0!</v>
      </c>
      <c r="H20" s="1499">
        <f>'Info Entrada'!E116</f>
        <v>0</v>
      </c>
      <c r="I20" s="1575" t="e">
        <f t="shared" si="0"/>
        <v>#DIV/0!</v>
      </c>
      <c r="J20" s="1499">
        <f>'Info Entrada'!F116</f>
        <v>0</v>
      </c>
      <c r="K20" s="1575" t="e">
        <f t="shared" si="1"/>
        <v>#DIV/0!</v>
      </c>
      <c r="L20" s="1487">
        <f>'Info Entrada'!G116</f>
        <v>0</v>
      </c>
      <c r="M20" s="1576" t="e">
        <f t="shared" si="2"/>
        <v>#DIV/0!</v>
      </c>
      <c r="N20" s="1569"/>
      <c r="XET20" s="1652"/>
      <c r="XEU20" s="1656"/>
      <c r="XEV20" s="1659"/>
      <c r="XEW20" s="1659"/>
      <c r="XEX20" s="1659"/>
      <c r="XEY20" s="1662"/>
      <c r="XEZ20" s="1662"/>
      <c r="XFA20" s="1662"/>
      <c r="XFB20" s="1667"/>
      <c r="XFC20" s="1667"/>
    </row>
    <row r="21" spans="1:14 16374:16384" s="1445" customFormat="1" ht="12.75" customHeight="1" x14ac:dyDescent="0.2">
      <c r="A21" s="3294" t="s">
        <v>344</v>
      </c>
      <c r="B21" s="3295"/>
      <c r="C21" s="3296"/>
      <c r="D21" s="1487">
        <f>'Info Entrada'!C117</f>
        <v>0</v>
      </c>
      <c r="E21" s="1575" t="e">
        <f t="shared" si="3"/>
        <v>#DIV/0!</v>
      </c>
      <c r="F21" s="1487">
        <f>'Info Entrada'!D117</f>
        <v>0</v>
      </c>
      <c r="G21" s="1575" t="e">
        <f t="shared" si="3"/>
        <v>#DIV/0!</v>
      </c>
      <c r="H21" s="1487">
        <f>'Info Entrada'!E117</f>
        <v>0</v>
      </c>
      <c r="I21" s="1575" t="e">
        <f t="shared" si="0"/>
        <v>#DIV/0!</v>
      </c>
      <c r="J21" s="1487">
        <f>'Info Entrada'!F117</f>
        <v>0</v>
      </c>
      <c r="K21" s="1575" t="e">
        <f t="shared" si="1"/>
        <v>#DIV/0!</v>
      </c>
      <c r="L21" s="1487">
        <f>'Info Entrada'!G117</f>
        <v>0</v>
      </c>
      <c r="M21" s="1576" t="e">
        <f t="shared" si="2"/>
        <v>#DIV/0!</v>
      </c>
      <c r="N21" s="1569"/>
      <c r="XET21" s="1652"/>
      <c r="XEU21" s="1663"/>
      <c r="XEV21" s="1663"/>
      <c r="XEW21" s="1663"/>
      <c r="XEX21" s="1663"/>
      <c r="XEY21" s="1662"/>
      <c r="XEZ21" s="1662"/>
      <c r="XFA21" s="1662"/>
      <c r="XFB21" s="1662"/>
      <c r="XFC21" s="1663"/>
    </row>
    <row r="22" spans="1:14 16374:16384" s="1473" customFormat="1" ht="13.5" customHeight="1" thickBot="1" x14ac:dyDescent="0.25">
      <c r="A22" s="3288" t="s">
        <v>345</v>
      </c>
      <c r="B22" s="3289"/>
      <c r="C22" s="3290"/>
      <c r="D22" s="1577">
        <f>SUM(D18:D21)</f>
        <v>0</v>
      </c>
      <c r="E22" s="1578" t="e">
        <f t="shared" si="3"/>
        <v>#DIV/0!</v>
      </c>
      <c r="F22" s="1577">
        <f>SUM(F18:F21)</f>
        <v>0</v>
      </c>
      <c r="G22" s="1578" t="e">
        <f t="shared" si="3"/>
        <v>#DIV/0!</v>
      </c>
      <c r="H22" s="1577">
        <f>SUM(H18:H21)</f>
        <v>0</v>
      </c>
      <c r="I22" s="1578" t="e">
        <f t="shared" si="0"/>
        <v>#DIV/0!</v>
      </c>
      <c r="J22" s="1577">
        <f>SUM(J18:J21)</f>
        <v>0</v>
      </c>
      <c r="K22" s="1578" t="e">
        <f t="shared" si="1"/>
        <v>#DIV/0!</v>
      </c>
      <c r="L22" s="1577">
        <f>SUM(L18:L21)</f>
        <v>0</v>
      </c>
      <c r="M22" s="1579" t="e">
        <f t="shared" si="2"/>
        <v>#DIV/0!</v>
      </c>
      <c r="N22" s="1569"/>
      <c r="XET22" s="1651"/>
      <c r="XEU22" s="1661"/>
      <c r="XEV22" s="1661"/>
      <c r="XEW22" s="1661"/>
      <c r="XEX22" s="1661"/>
      <c r="XEY22" s="1660"/>
      <c r="XEZ22" s="1660"/>
      <c r="XFA22" s="1660"/>
      <c r="XFB22" s="1660"/>
      <c r="XFC22" s="1661"/>
    </row>
    <row r="23" spans="1:14 16374:16384" s="1572" customFormat="1" ht="13.5" thickBot="1" x14ac:dyDescent="0.25">
      <c r="A23" s="3266" t="s">
        <v>346</v>
      </c>
      <c r="B23" s="3267"/>
      <c r="C23" s="3268"/>
      <c r="D23" s="1541">
        <f>D17-D22</f>
        <v>0</v>
      </c>
      <c r="E23" s="1542" t="e">
        <f t="shared" si="3"/>
        <v>#DIV/0!</v>
      </c>
      <c r="F23" s="1541">
        <f>F17-F22</f>
        <v>0</v>
      </c>
      <c r="G23" s="1542" t="e">
        <f t="shared" si="3"/>
        <v>#DIV/0!</v>
      </c>
      <c r="H23" s="1541">
        <f>H17-H22</f>
        <v>0</v>
      </c>
      <c r="I23" s="1542" t="e">
        <f t="shared" si="0"/>
        <v>#DIV/0!</v>
      </c>
      <c r="J23" s="1541">
        <f>J17-J22</f>
        <v>0</v>
      </c>
      <c r="K23" s="1542" t="e">
        <f t="shared" si="1"/>
        <v>#DIV/0!</v>
      </c>
      <c r="L23" s="1541">
        <f>L17-L22</f>
        <v>0</v>
      </c>
      <c r="M23" s="1543" t="e">
        <f t="shared" si="2"/>
        <v>#DIV/0!</v>
      </c>
      <c r="N23" s="1569"/>
      <c r="XET23" s="1653"/>
      <c r="XEU23" s="1656"/>
      <c r="XEV23" s="1656"/>
      <c r="XEW23" s="1656"/>
      <c r="XEX23" s="1656"/>
      <c r="XEY23" s="1664"/>
      <c r="XEZ23" s="1664"/>
      <c r="XFA23" s="1664"/>
      <c r="XFB23" s="1664"/>
      <c r="XFC23" s="1664"/>
    </row>
    <row r="24" spans="1:14 16374:16384" s="1445" customFormat="1" ht="13.5" customHeight="1" x14ac:dyDescent="0.2">
      <c r="A24" s="3273" t="s">
        <v>347</v>
      </c>
      <c r="B24" s="3274"/>
      <c r="C24" s="3270"/>
      <c r="D24" s="1496">
        <f>'Info Entrada'!C110</f>
        <v>0</v>
      </c>
      <c r="E24" s="1573" t="e">
        <f t="shared" si="3"/>
        <v>#DIV/0!</v>
      </c>
      <c r="F24" s="1496">
        <f>'Info Entrada'!D110</f>
        <v>0</v>
      </c>
      <c r="G24" s="1573" t="e">
        <f t="shared" si="3"/>
        <v>#DIV/0!</v>
      </c>
      <c r="H24" s="1496">
        <f>'Info Entrada'!E110</f>
        <v>0</v>
      </c>
      <c r="I24" s="1573" t="e">
        <f t="shared" si="0"/>
        <v>#DIV/0!</v>
      </c>
      <c r="J24" s="1496">
        <f>'Info Entrada'!F110</f>
        <v>0</v>
      </c>
      <c r="K24" s="1573" t="e">
        <f t="shared" si="1"/>
        <v>#DIV/0!</v>
      </c>
      <c r="L24" s="1496">
        <f>'Info Entrada'!G110</f>
        <v>0</v>
      </c>
      <c r="M24" s="1574" t="e">
        <f t="shared" si="2"/>
        <v>#DIV/0!</v>
      </c>
      <c r="N24" s="1569"/>
      <c r="XET24" s="1652"/>
      <c r="XEU24" s="1657"/>
      <c r="XEV24" s="1658"/>
      <c r="XEW24" s="1658"/>
      <c r="XEX24" s="1658"/>
      <c r="XEY24" s="1667"/>
      <c r="XEZ24" s="1667"/>
      <c r="XFA24" s="1667"/>
      <c r="XFB24" s="1667"/>
      <c r="XFC24" s="1667"/>
    </row>
    <row r="25" spans="1:14 16374:16384" s="1445" customFormat="1" ht="13.5" thickBot="1" x14ac:dyDescent="0.25">
      <c r="A25" s="3292" t="s">
        <v>1031</v>
      </c>
      <c r="B25" s="3293"/>
      <c r="C25" s="3256"/>
      <c r="D25" s="1492">
        <f>'Info Entrada'!C111</f>
        <v>0</v>
      </c>
      <c r="E25" s="1570" t="e">
        <f t="shared" si="3"/>
        <v>#DIV/0!</v>
      </c>
      <c r="F25" s="1492">
        <f>'Info Entrada'!D111</f>
        <v>0</v>
      </c>
      <c r="G25" s="1570" t="e">
        <f t="shared" si="3"/>
        <v>#DIV/0!</v>
      </c>
      <c r="H25" s="1492">
        <f>'Info Entrada'!E111</f>
        <v>0</v>
      </c>
      <c r="I25" s="1570" t="e">
        <f t="shared" si="0"/>
        <v>#DIV/0!</v>
      </c>
      <c r="J25" s="1492">
        <f>'Info Entrada'!F111</f>
        <v>0</v>
      </c>
      <c r="K25" s="1570" t="e">
        <f t="shared" si="1"/>
        <v>#DIV/0!</v>
      </c>
      <c r="L25" s="1492">
        <f>'Info Entrada'!G111</f>
        <v>0</v>
      </c>
      <c r="M25" s="1571" t="e">
        <f t="shared" si="2"/>
        <v>#DIV/0!</v>
      </c>
      <c r="N25" s="1569"/>
      <c r="XET25" s="1652"/>
      <c r="XEU25" s="1657"/>
      <c r="XEV25" s="1658"/>
      <c r="XEW25" s="1658"/>
      <c r="XEX25" s="1658"/>
      <c r="XEY25" s="1667"/>
      <c r="XEZ25" s="1667"/>
      <c r="XFA25" s="1667"/>
      <c r="XFB25" s="1667"/>
      <c r="XFC25" s="1667"/>
    </row>
    <row r="26" spans="1:14 16374:16384" s="1572" customFormat="1" ht="13.5" thickBot="1" x14ac:dyDescent="0.25">
      <c r="A26" s="3266" t="s">
        <v>348</v>
      </c>
      <c r="B26" s="3267"/>
      <c r="C26" s="3268"/>
      <c r="D26" s="1541">
        <f>D23-D24+D25</f>
        <v>0</v>
      </c>
      <c r="E26" s="1542" t="e">
        <f t="shared" si="3"/>
        <v>#DIV/0!</v>
      </c>
      <c r="F26" s="1541">
        <f>F23-F24+F25</f>
        <v>0</v>
      </c>
      <c r="G26" s="1542" t="e">
        <f t="shared" si="3"/>
        <v>#DIV/0!</v>
      </c>
      <c r="H26" s="1541">
        <f>H23-H24+H25</f>
        <v>0</v>
      </c>
      <c r="I26" s="1542" t="e">
        <f t="shared" si="0"/>
        <v>#DIV/0!</v>
      </c>
      <c r="J26" s="1541">
        <f>J23-J24+J25</f>
        <v>0</v>
      </c>
      <c r="K26" s="1542" t="e">
        <f t="shared" si="1"/>
        <v>#DIV/0!</v>
      </c>
      <c r="L26" s="1541">
        <f>L23-L24+L25</f>
        <v>0</v>
      </c>
      <c r="M26" s="1543" t="e">
        <f t="shared" si="2"/>
        <v>#DIV/0!</v>
      </c>
      <c r="N26" s="1569"/>
      <c r="XET26" s="1653"/>
      <c r="XEU26" s="1657"/>
      <c r="XEV26" s="1658"/>
      <c r="XEW26" s="1658"/>
      <c r="XEX26" s="1658"/>
      <c r="XEY26" s="1667"/>
      <c r="XEZ26" s="1667"/>
      <c r="XFA26" s="1667"/>
      <c r="XFB26" s="1667"/>
      <c r="XFC26" s="1667"/>
    </row>
    <row r="27" spans="1:14 16374:16384" s="1445" customFormat="1" ht="13.5" customHeight="1" x14ac:dyDescent="0.2">
      <c r="A27" s="3273" t="s">
        <v>349</v>
      </c>
      <c r="B27" s="3274"/>
      <c r="C27" s="3270"/>
      <c r="D27" s="1496">
        <f>'Info Entrada'!C123</f>
        <v>0</v>
      </c>
      <c r="E27" s="1573" t="e">
        <f t="shared" si="3"/>
        <v>#DIV/0!</v>
      </c>
      <c r="F27" s="1496">
        <f>'Info Entrada'!D123</f>
        <v>0</v>
      </c>
      <c r="G27" s="1573" t="e">
        <f t="shared" si="3"/>
        <v>#DIV/0!</v>
      </c>
      <c r="H27" s="1496">
        <f>'Info Entrada'!E123</f>
        <v>0</v>
      </c>
      <c r="I27" s="1573" t="e">
        <f t="shared" si="0"/>
        <v>#DIV/0!</v>
      </c>
      <c r="J27" s="1496">
        <f>'Info Entrada'!F123</f>
        <v>0</v>
      </c>
      <c r="K27" s="1573" t="e">
        <f t="shared" si="1"/>
        <v>#DIV/0!</v>
      </c>
      <c r="L27" s="1496">
        <f>'Info Entrada'!G123</f>
        <v>0</v>
      </c>
      <c r="M27" s="1574" t="e">
        <f t="shared" si="2"/>
        <v>#DIV/0!</v>
      </c>
      <c r="N27" s="1569"/>
      <c r="XET27" s="1652"/>
      <c r="XEU27" s="1657"/>
      <c r="XEV27" s="1658"/>
      <c r="XEW27" s="1658"/>
      <c r="XEX27" s="1658"/>
      <c r="XEY27" s="1667"/>
      <c r="XEZ27" s="1667"/>
      <c r="XFA27" s="1667"/>
      <c r="XFB27" s="1667"/>
      <c r="XFC27" s="1667"/>
    </row>
    <row r="28" spans="1:14 16374:16384" s="1445" customFormat="1" ht="12.75" customHeight="1" x14ac:dyDescent="0.2">
      <c r="A28" s="3279" t="s">
        <v>350</v>
      </c>
      <c r="B28" s="3280"/>
      <c r="C28" s="3258"/>
      <c r="D28" s="1487">
        <f>'Info Entrada'!C124</f>
        <v>0</v>
      </c>
      <c r="E28" s="1575" t="e">
        <f t="shared" si="3"/>
        <v>#DIV/0!</v>
      </c>
      <c r="F28" s="1487">
        <f>'Info Entrada'!D124</f>
        <v>0</v>
      </c>
      <c r="G28" s="1575" t="e">
        <f t="shared" si="3"/>
        <v>#DIV/0!</v>
      </c>
      <c r="H28" s="1487">
        <f>'Info Entrada'!E124</f>
        <v>0</v>
      </c>
      <c r="I28" s="1575" t="e">
        <f t="shared" si="0"/>
        <v>#DIV/0!</v>
      </c>
      <c r="J28" s="1487">
        <f>'Info Entrada'!F124</f>
        <v>0</v>
      </c>
      <c r="K28" s="1575" t="e">
        <f t="shared" si="1"/>
        <v>#DIV/0!</v>
      </c>
      <c r="L28" s="1487">
        <f>'Info Entrada'!G124</f>
        <v>0</v>
      </c>
      <c r="M28" s="1576" t="e">
        <f t="shared" si="2"/>
        <v>#DIV/0!</v>
      </c>
      <c r="N28" s="1569"/>
      <c r="XET28" s="1652"/>
      <c r="XEU28" s="1657"/>
      <c r="XEV28" s="1658"/>
      <c r="XEW28" s="1658"/>
      <c r="XEX28" s="1658"/>
      <c r="XEY28" s="1667"/>
      <c r="XEZ28" s="1667"/>
      <c r="XFA28" s="1667"/>
      <c r="XFB28" s="1667"/>
      <c r="XFC28" s="1667"/>
    </row>
    <row r="29" spans="1:14 16374:16384" s="1473" customFormat="1" ht="12.75" customHeight="1" x14ac:dyDescent="0.2">
      <c r="A29" s="3284" t="s">
        <v>351</v>
      </c>
      <c r="B29" s="3285"/>
      <c r="C29" s="3286"/>
      <c r="D29" s="1580">
        <f>+D27-D28</f>
        <v>0</v>
      </c>
      <c r="E29" s="1581" t="e">
        <f t="shared" si="3"/>
        <v>#DIV/0!</v>
      </c>
      <c r="F29" s="1580">
        <f>+F27-F28</f>
        <v>0</v>
      </c>
      <c r="G29" s="1581" t="e">
        <f t="shared" si="3"/>
        <v>#DIV/0!</v>
      </c>
      <c r="H29" s="1580">
        <f>+H27-H28</f>
        <v>0</v>
      </c>
      <c r="I29" s="1581" t="e">
        <f t="shared" si="0"/>
        <v>#DIV/0!</v>
      </c>
      <c r="J29" s="1580">
        <f>+J27-J28</f>
        <v>0</v>
      </c>
      <c r="K29" s="1581" t="e">
        <f t="shared" si="1"/>
        <v>#DIV/0!</v>
      </c>
      <c r="L29" s="1580">
        <f>+L27-L28</f>
        <v>0</v>
      </c>
      <c r="M29" s="1582" t="e">
        <f t="shared" si="2"/>
        <v>#DIV/0!</v>
      </c>
      <c r="N29" s="1569"/>
      <c r="XET29" s="1651"/>
      <c r="XEU29" s="1656"/>
      <c r="XEV29" s="1659"/>
      <c r="XEW29" s="1659"/>
      <c r="XEX29" s="1659"/>
      <c r="XEY29" s="1667"/>
      <c r="XEZ29" s="1667"/>
      <c r="XFA29" s="1667"/>
      <c r="XFB29" s="1667"/>
      <c r="XFC29" s="1667"/>
      <c r="XFD29" s="1658"/>
    </row>
    <row r="30" spans="1:14 16374:16384" s="1445" customFormat="1" ht="12.75" customHeight="1" x14ac:dyDescent="0.2">
      <c r="A30" s="3279" t="s">
        <v>352</v>
      </c>
      <c r="B30" s="3280"/>
      <c r="C30" s="3258"/>
      <c r="D30" s="1487">
        <f>'Info Entrada'!C127</f>
        <v>0</v>
      </c>
      <c r="E30" s="1575" t="e">
        <f t="shared" si="3"/>
        <v>#DIV/0!</v>
      </c>
      <c r="F30" s="1487">
        <f>'Info Entrada'!D127</f>
        <v>0</v>
      </c>
      <c r="G30" s="1575" t="e">
        <f t="shared" si="3"/>
        <v>#DIV/0!</v>
      </c>
      <c r="H30" s="1487">
        <f>'Info Entrada'!E127</f>
        <v>0</v>
      </c>
      <c r="I30" s="1575" t="e">
        <f t="shared" si="0"/>
        <v>#DIV/0!</v>
      </c>
      <c r="J30" s="1487">
        <f>'Info Entrada'!F127</f>
        <v>0</v>
      </c>
      <c r="K30" s="1575" t="e">
        <f t="shared" si="1"/>
        <v>#DIV/0!</v>
      </c>
      <c r="L30" s="1487">
        <f>'Info Entrada'!G127</f>
        <v>0</v>
      </c>
      <c r="M30" s="1576" t="e">
        <f t="shared" si="2"/>
        <v>#DIV/0!</v>
      </c>
      <c r="N30" s="1569"/>
      <c r="XET30" s="1652"/>
      <c r="XEU30" s="1656"/>
      <c r="XEV30" s="1666"/>
      <c r="XEW30" s="1666"/>
      <c r="XEX30" s="1666"/>
      <c r="XEY30" s="1667"/>
      <c r="XEZ30" s="1667"/>
      <c r="XFA30" s="1667"/>
      <c r="XFB30" s="1667"/>
      <c r="XFC30" s="1667"/>
    </row>
    <row r="31" spans="1:14 16374:16384" s="1445" customFormat="1" ht="12.75" customHeight="1" x14ac:dyDescent="0.2">
      <c r="A31" s="3287" t="s">
        <v>353</v>
      </c>
      <c r="B31" s="3286"/>
      <c r="C31" s="3286"/>
      <c r="D31" s="1580">
        <f>SUM(D29:D30)</f>
        <v>0</v>
      </c>
      <c r="E31" s="1581" t="e">
        <f t="shared" si="3"/>
        <v>#DIV/0!</v>
      </c>
      <c r="F31" s="1580">
        <f>SUM(F29:F30)</f>
        <v>0</v>
      </c>
      <c r="G31" s="1581" t="e">
        <f t="shared" si="3"/>
        <v>#DIV/0!</v>
      </c>
      <c r="H31" s="1580">
        <f>SUM(H29:H30)</f>
        <v>0</v>
      </c>
      <c r="I31" s="1581" t="e">
        <f t="shared" si="0"/>
        <v>#DIV/0!</v>
      </c>
      <c r="J31" s="1580">
        <f>SUM(J29:J30)</f>
        <v>0</v>
      </c>
      <c r="K31" s="1581" t="e">
        <f t="shared" si="1"/>
        <v>#DIV/0!</v>
      </c>
      <c r="L31" s="1580">
        <f>SUM(L29:L30)</f>
        <v>0</v>
      </c>
      <c r="M31" s="1582" t="e">
        <f t="shared" si="2"/>
        <v>#DIV/0!</v>
      </c>
      <c r="N31" s="1569"/>
      <c r="XET31" s="1652"/>
      <c r="XEU31" s="1656"/>
      <c r="XEV31" s="1659"/>
      <c r="XEW31" s="1659"/>
      <c r="XEX31" s="1659"/>
      <c r="XEY31" s="1667"/>
      <c r="XEZ31" s="1667"/>
      <c r="XFA31" s="1667"/>
      <c r="XFB31" s="1667"/>
      <c r="XFC31" s="1667"/>
    </row>
    <row r="32" spans="1:14 16374:16384" s="1445" customFormat="1" ht="12.75" customHeight="1" x14ac:dyDescent="0.2">
      <c r="A32" s="3279" t="s">
        <v>1032</v>
      </c>
      <c r="B32" s="3280"/>
      <c r="C32" s="3258"/>
      <c r="D32" s="1487">
        <f>'Info Entrada'!C122</f>
        <v>0</v>
      </c>
      <c r="E32" s="1575" t="e">
        <f t="shared" ref="E32:G44" si="4">+D32/D$15</f>
        <v>#DIV/0!</v>
      </c>
      <c r="F32" s="1487">
        <f>'Info Entrada'!D122</f>
        <v>0</v>
      </c>
      <c r="G32" s="1575" t="e">
        <f t="shared" si="4"/>
        <v>#DIV/0!</v>
      </c>
      <c r="H32" s="1487">
        <f>'Info Entrada'!E122</f>
        <v>0</v>
      </c>
      <c r="I32" s="1575" t="e">
        <f t="shared" si="0"/>
        <v>#DIV/0!</v>
      </c>
      <c r="J32" s="1487">
        <f>'Info Entrada'!F122</f>
        <v>0</v>
      </c>
      <c r="K32" s="1575" t="e">
        <f t="shared" si="1"/>
        <v>#DIV/0!</v>
      </c>
      <c r="L32" s="1487">
        <f>'Info Entrada'!G122</f>
        <v>0</v>
      </c>
      <c r="M32" s="1576" t="e">
        <f t="shared" si="2"/>
        <v>#DIV/0!</v>
      </c>
      <c r="N32" s="1569"/>
      <c r="XET32" s="1652"/>
      <c r="XEU32" s="1662"/>
      <c r="XEV32" s="1662"/>
      <c r="XEW32" s="1662"/>
      <c r="XEX32" s="1662"/>
      <c r="XEY32" s="1662"/>
      <c r="XEZ32" s="1662"/>
      <c r="XFA32" s="1662"/>
      <c r="XFB32" s="1662"/>
      <c r="XFC32" s="1663"/>
    </row>
    <row r="33" spans="1:14 16374:16383" s="1445" customFormat="1" ht="12.75" customHeight="1" x14ac:dyDescent="0.2">
      <c r="A33" s="3279" t="s">
        <v>501</v>
      </c>
      <c r="B33" s="3280"/>
      <c r="C33" s="3258"/>
      <c r="D33" s="1487">
        <f>'Info Entrada'!C145</f>
        <v>0</v>
      </c>
      <c r="E33" s="1575" t="e">
        <f t="shared" si="4"/>
        <v>#DIV/0!</v>
      </c>
      <c r="F33" s="1487">
        <f>'Info Entrada'!D145</f>
        <v>0</v>
      </c>
      <c r="G33" s="1575" t="e">
        <f t="shared" si="4"/>
        <v>#DIV/0!</v>
      </c>
      <c r="H33" s="1487">
        <f>'Info Entrada'!E145</f>
        <v>0</v>
      </c>
      <c r="I33" s="1575" t="e">
        <f t="shared" si="0"/>
        <v>#DIV/0!</v>
      </c>
      <c r="J33" s="1487">
        <f>'Info Entrada'!F145</f>
        <v>0</v>
      </c>
      <c r="K33" s="1575" t="e">
        <f t="shared" si="1"/>
        <v>#DIV/0!</v>
      </c>
      <c r="L33" s="1487">
        <f>'Info Entrada'!G145</f>
        <v>0</v>
      </c>
      <c r="M33" s="1576" t="e">
        <f t="shared" si="2"/>
        <v>#DIV/0!</v>
      </c>
      <c r="N33" s="1569"/>
      <c r="XET33" s="1652"/>
      <c r="XEU33" s="1662"/>
      <c r="XEV33" s="1662"/>
      <c r="XEW33" s="1662"/>
      <c r="XEX33" s="1662"/>
      <c r="XEY33" s="1662"/>
      <c r="XEZ33" s="1662"/>
      <c r="XFA33" s="1662"/>
      <c r="XFB33" s="1662"/>
      <c r="XFC33" s="1663"/>
    </row>
    <row r="34" spans="1:14 16374:16383" s="1445" customFormat="1" ht="13.5" thickBot="1" x14ac:dyDescent="0.25">
      <c r="A34" s="3276" t="s">
        <v>354</v>
      </c>
      <c r="B34" s="3277"/>
      <c r="C34" s="3272"/>
      <c r="D34" s="1492">
        <f>'Info Entrada'!C149</f>
        <v>0</v>
      </c>
      <c r="E34" s="1570" t="e">
        <f t="shared" si="4"/>
        <v>#DIV/0!</v>
      </c>
      <c r="F34" s="1492">
        <f>'Info Entrada'!D149</f>
        <v>0</v>
      </c>
      <c r="G34" s="1570" t="e">
        <f t="shared" si="4"/>
        <v>#DIV/0!</v>
      </c>
      <c r="H34" s="1492">
        <f>'Info Entrada'!E149</f>
        <v>0</v>
      </c>
      <c r="I34" s="1570" t="e">
        <f t="shared" si="0"/>
        <v>#DIV/0!</v>
      </c>
      <c r="J34" s="1492">
        <f>'Info Entrada'!F149</f>
        <v>0</v>
      </c>
      <c r="K34" s="1570" t="e">
        <f t="shared" si="1"/>
        <v>#DIV/0!</v>
      </c>
      <c r="L34" s="1492">
        <f>'Info Entrada'!G149</f>
        <v>0</v>
      </c>
      <c r="M34" s="1571" t="e">
        <f t="shared" si="2"/>
        <v>#DIV/0!</v>
      </c>
      <c r="N34" s="1569"/>
      <c r="XET34" s="1652"/>
      <c r="XEU34" s="1662"/>
      <c r="XEV34" s="1662"/>
      <c r="XEW34" s="1662"/>
      <c r="XEX34" s="1662"/>
      <c r="XEY34" s="1662"/>
      <c r="XEZ34" s="1662"/>
      <c r="XFA34" s="1662"/>
      <c r="XFB34" s="1662"/>
      <c r="XFC34" s="1663"/>
    </row>
    <row r="35" spans="1:14 16374:16383" s="1572" customFormat="1" ht="14.25" customHeight="1" thickBot="1" x14ac:dyDescent="0.25">
      <c r="A35" s="3281" t="s">
        <v>355</v>
      </c>
      <c r="B35" s="3282"/>
      <c r="C35" s="3283"/>
      <c r="D35" s="1541">
        <f>+D26+D31+D32+D33-D34</f>
        <v>0</v>
      </c>
      <c r="E35" s="1542" t="e">
        <f t="shared" si="4"/>
        <v>#DIV/0!</v>
      </c>
      <c r="F35" s="1541">
        <f>+F26+F31+F32+F33-F34</f>
        <v>0</v>
      </c>
      <c r="G35" s="1542" t="e">
        <f t="shared" si="4"/>
        <v>#DIV/0!</v>
      </c>
      <c r="H35" s="1541">
        <f>+H26+H31+H32+H33-H34</f>
        <v>0</v>
      </c>
      <c r="I35" s="1542" t="e">
        <f t="shared" si="0"/>
        <v>#DIV/0!</v>
      </c>
      <c r="J35" s="1541">
        <f>+J26+J31+J32+J33-J34</f>
        <v>0</v>
      </c>
      <c r="K35" s="1542" t="e">
        <f t="shared" si="1"/>
        <v>#DIV/0!</v>
      </c>
      <c r="L35" s="1541">
        <f>+L26+L31+L32+L33-L34</f>
        <v>0</v>
      </c>
      <c r="M35" s="1543" t="e">
        <f t="shared" si="2"/>
        <v>#DIV/0!</v>
      </c>
      <c r="N35" s="1569"/>
      <c r="XET35" s="1653"/>
      <c r="XEU35" s="1664"/>
      <c r="XEV35" s="1664"/>
      <c r="XEW35" s="1664"/>
      <c r="XEX35" s="1664"/>
      <c r="XEY35" s="1664"/>
      <c r="XEZ35" s="1664"/>
      <c r="XFA35" s="1664"/>
      <c r="XFB35" s="1664"/>
      <c r="XFC35" s="1665"/>
    </row>
    <row r="36" spans="1:14 16374:16383" s="1445" customFormat="1" ht="13.5" customHeight="1" x14ac:dyDescent="0.2">
      <c r="A36" s="3273" t="s">
        <v>356</v>
      </c>
      <c r="B36" s="3274"/>
      <c r="C36" s="3270"/>
      <c r="D36" s="1496">
        <f>'Info Entrada'!C157</f>
        <v>0</v>
      </c>
      <c r="E36" s="1573" t="e">
        <f t="shared" si="4"/>
        <v>#DIV/0!</v>
      </c>
      <c r="F36" s="1496">
        <f>'Info Entrada'!D157</f>
        <v>0</v>
      </c>
      <c r="G36" s="1573" t="e">
        <f t="shared" si="4"/>
        <v>#DIV/0!</v>
      </c>
      <c r="H36" s="1496">
        <f>'Info Entrada'!E157</f>
        <v>0</v>
      </c>
      <c r="I36" s="1573" t="e">
        <f t="shared" si="0"/>
        <v>#DIV/0!</v>
      </c>
      <c r="J36" s="1496">
        <f>'Info Entrada'!F157</f>
        <v>0</v>
      </c>
      <c r="K36" s="1573" t="e">
        <f t="shared" si="1"/>
        <v>#DIV/0!</v>
      </c>
      <c r="L36" s="1496">
        <f>'Info Entrada'!G157</f>
        <v>0</v>
      </c>
      <c r="M36" s="1574" t="e">
        <f t="shared" si="2"/>
        <v>#DIV/0!</v>
      </c>
      <c r="N36" s="1569"/>
      <c r="XET36" s="1652"/>
      <c r="XEU36" s="1662"/>
      <c r="XEV36" s="1662"/>
      <c r="XEW36" s="1662"/>
      <c r="XEX36" s="1662"/>
      <c r="XEY36" s="1662"/>
      <c r="XEZ36" s="1662"/>
      <c r="XFA36" s="1662"/>
      <c r="XFB36" s="1662"/>
      <c r="XFC36" s="1663"/>
    </row>
    <row r="37" spans="1:14 16374:16383" s="1445" customFormat="1" ht="13.5" customHeight="1" x14ac:dyDescent="0.2">
      <c r="A37" s="3259" t="s">
        <v>359</v>
      </c>
      <c r="B37" s="3260"/>
      <c r="C37" s="3275"/>
      <c r="D37" s="1487">
        <f>'Info Entrada'!C153</f>
        <v>0</v>
      </c>
      <c r="E37" s="1575" t="e">
        <f t="shared" si="4"/>
        <v>#DIV/0!</v>
      </c>
      <c r="F37" s="1487">
        <f>'Info Entrada'!D153</f>
        <v>0</v>
      </c>
      <c r="G37" s="1575" t="e">
        <f t="shared" si="4"/>
        <v>#DIV/0!</v>
      </c>
      <c r="H37" s="1487">
        <f>'Info Entrada'!E153</f>
        <v>0</v>
      </c>
      <c r="I37" s="1575" t="e">
        <f t="shared" si="0"/>
        <v>#DIV/0!</v>
      </c>
      <c r="J37" s="1487">
        <f>'Info Entrada'!F153</f>
        <v>0</v>
      </c>
      <c r="K37" s="1575" t="e">
        <f t="shared" si="1"/>
        <v>#DIV/0!</v>
      </c>
      <c r="L37" s="1487">
        <f>'Info Entrada'!G153</f>
        <v>0</v>
      </c>
      <c r="M37" s="1576" t="e">
        <f t="shared" si="2"/>
        <v>#DIV/0!</v>
      </c>
      <c r="N37" s="1569"/>
      <c r="XET37" s="1652"/>
      <c r="XEU37" s="1662"/>
      <c r="XEV37" s="1662"/>
      <c r="XEW37" s="1662"/>
      <c r="XEX37" s="1662"/>
      <c r="XEY37" s="1662"/>
      <c r="XEZ37" s="1662"/>
      <c r="XFA37" s="1662"/>
      <c r="XFB37" s="1662"/>
      <c r="XFC37" s="1663"/>
    </row>
    <row r="38" spans="1:14 16374:16383" s="1445" customFormat="1" ht="13.5" customHeight="1" thickBot="1" x14ac:dyDescent="0.25">
      <c r="A38" s="3276" t="s">
        <v>360</v>
      </c>
      <c r="B38" s="3277"/>
      <c r="C38" s="3278"/>
      <c r="D38" s="1548">
        <f>+'Info Entrada'!C131</f>
        <v>0</v>
      </c>
      <c r="E38" s="1539" t="e">
        <f>+D38/D$15</f>
        <v>#DIV/0!</v>
      </c>
      <c r="F38" s="1548">
        <f>+'Info Entrada'!D131</f>
        <v>0</v>
      </c>
      <c r="G38" s="1539" t="e">
        <f>+F38/F$15</f>
        <v>#DIV/0!</v>
      </c>
      <c r="H38" s="1548">
        <f>+'Info Entrada'!E131</f>
        <v>0</v>
      </c>
      <c r="I38" s="1539" t="e">
        <f t="shared" si="0"/>
        <v>#DIV/0!</v>
      </c>
      <c r="J38" s="1548">
        <f>+'Info Entrada'!F131</f>
        <v>0</v>
      </c>
      <c r="K38" s="1539" t="e">
        <f t="shared" si="1"/>
        <v>#DIV/0!</v>
      </c>
      <c r="L38" s="1548">
        <f>+'Info Entrada'!G131</f>
        <v>0</v>
      </c>
      <c r="M38" s="1540" t="e">
        <f t="shared" si="2"/>
        <v>#DIV/0!</v>
      </c>
      <c r="N38" s="1569"/>
      <c r="XET38" s="1652"/>
      <c r="XEU38" s="1662"/>
      <c r="XEV38" s="1662"/>
      <c r="XEW38" s="1662"/>
      <c r="XEX38" s="1662"/>
      <c r="XEY38" s="1662"/>
      <c r="XEZ38" s="1662"/>
      <c r="XFA38" s="1662"/>
      <c r="XFB38" s="1662"/>
      <c r="XFC38" s="1663"/>
    </row>
    <row r="39" spans="1:14 16374:16383" s="1572" customFormat="1" ht="13.5" thickBot="1" x14ac:dyDescent="0.25">
      <c r="A39" s="3266" t="s">
        <v>361</v>
      </c>
      <c r="B39" s="3267"/>
      <c r="C39" s="3268"/>
      <c r="D39" s="1541">
        <f>+D35-D36+D37+D38</f>
        <v>0</v>
      </c>
      <c r="E39" s="1542" t="e">
        <f t="shared" si="4"/>
        <v>#DIV/0!</v>
      </c>
      <c r="F39" s="1541">
        <f>+F35-F36+F37+F38</f>
        <v>0</v>
      </c>
      <c r="G39" s="1542" t="e">
        <f t="shared" si="4"/>
        <v>#DIV/0!</v>
      </c>
      <c r="H39" s="1541">
        <f>+H35-H36+H37+H38</f>
        <v>0</v>
      </c>
      <c r="I39" s="1542" t="e">
        <f t="shared" si="0"/>
        <v>#DIV/0!</v>
      </c>
      <c r="J39" s="1541">
        <f>+J35-J36+J37+J38</f>
        <v>0</v>
      </c>
      <c r="K39" s="1542" t="e">
        <f t="shared" si="1"/>
        <v>#DIV/0!</v>
      </c>
      <c r="L39" s="1541">
        <f>+L35-L36+L37+L38</f>
        <v>0</v>
      </c>
      <c r="M39" s="1543" t="e">
        <f t="shared" si="2"/>
        <v>#DIV/0!</v>
      </c>
      <c r="N39" s="1569"/>
      <c r="XET39" s="1653"/>
      <c r="XEU39" s="1664"/>
      <c r="XEV39" s="1664"/>
      <c r="XEW39" s="1664"/>
      <c r="XEX39" s="1664"/>
      <c r="XEY39" s="1664"/>
      <c r="XEZ39" s="1664"/>
      <c r="XFA39" s="1664"/>
      <c r="XFB39" s="1664"/>
      <c r="XFC39" s="1665"/>
    </row>
    <row r="40" spans="1:14 16374:16383" s="1445" customFormat="1" ht="14.25" customHeight="1" thickBot="1" x14ac:dyDescent="0.25">
      <c r="A40" s="3264" t="s">
        <v>362</v>
      </c>
      <c r="B40" s="3265"/>
      <c r="C40" s="3236"/>
      <c r="D40" s="1583">
        <f>'Info Entrada'!C164</f>
        <v>0</v>
      </c>
      <c r="E40" s="1584" t="e">
        <f t="shared" si="4"/>
        <v>#DIV/0!</v>
      </c>
      <c r="F40" s="1585">
        <f>'Info Entrada'!D164</f>
        <v>0</v>
      </c>
      <c r="G40" s="1584" t="e">
        <f t="shared" si="4"/>
        <v>#DIV/0!</v>
      </c>
      <c r="H40" s="1585">
        <f>'Info Entrada'!E164</f>
        <v>0</v>
      </c>
      <c r="I40" s="1584" t="e">
        <f t="shared" si="0"/>
        <v>#DIV/0!</v>
      </c>
      <c r="J40" s="1585">
        <f>'Info Entrada'!F164</f>
        <v>0</v>
      </c>
      <c r="K40" s="1584" t="e">
        <f t="shared" si="1"/>
        <v>#DIV/0!</v>
      </c>
      <c r="L40" s="1585">
        <f>'Info Entrada'!G164</f>
        <v>0</v>
      </c>
      <c r="M40" s="1586" t="e">
        <f t="shared" si="2"/>
        <v>#DIV/0!</v>
      </c>
      <c r="N40" s="1569"/>
      <c r="XET40" s="1652"/>
      <c r="XEU40" s="1662"/>
      <c r="XEV40" s="1662"/>
      <c r="XEW40" s="1662"/>
      <c r="XEX40" s="1662"/>
      <c r="XEY40" s="1662"/>
      <c r="XEZ40" s="1662"/>
      <c r="XFA40" s="1662"/>
      <c r="XFB40" s="1662"/>
      <c r="XFC40" s="1663"/>
    </row>
    <row r="41" spans="1:14 16374:16383" s="1572" customFormat="1" ht="13.5" thickBot="1" x14ac:dyDescent="0.25">
      <c r="A41" s="3266" t="s">
        <v>363</v>
      </c>
      <c r="B41" s="3267"/>
      <c r="C41" s="3268"/>
      <c r="D41" s="1541">
        <f>+D39-D40</f>
        <v>0</v>
      </c>
      <c r="E41" s="1542" t="e">
        <f t="shared" si="4"/>
        <v>#DIV/0!</v>
      </c>
      <c r="F41" s="1541">
        <f>+F39-F40</f>
        <v>0</v>
      </c>
      <c r="G41" s="1542" t="e">
        <f t="shared" si="4"/>
        <v>#DIV/0!</v>
      </c>
      <c r="H41" s="1541">
        <f>+H39-H40</f>
        <v>0</v>
      </c>
      <c r="I41" s="1542" t="e">
        <f t="shared" si="0"/>
        <v>#DIV/0!</v>
      </c>
      <c r="J41" s="1541">
        <f>+J39-J40</f>
        <v>0</v>
      </c>
      <c r="K41" s="1542" t="e">
        <f t="shared" si="1"/>
        <v>#DIV/0!</v>
      </c>
      <c r="L41" s="1541">
        <f>+L39-L40</f>
        <v>0</v>
      </c>
      <c r="M41" s="1543" t="e">
        <f t="shared" si="2"/>
        <v>#DIV/0!</v>
      </c>
      <c r="N41" s="1569"/>
      <c r="XET41" s="1653"/>
      <c r="XEU41" s="1664"/>
      <c r="XEV41" s="1664"/>
      <c r="XEW41" s="1664"/>
      <c r="XEX41" s="1664"/>
      <c r="XEY41" s="1664"/>
      <c r="XEZ41" s="1664"/>
      <c r="XFA41" s="1664"/>
      <c r="XFB41" s="1664"/>
      <c r="XFC41" s="1665"/>
    </row>
    <row r="42" spans="1:14 16374:16383" s="1445" customFormat="1" ht="13.5" customHeight="1" x14ac:dyDescent="0.2">
      <c r="A42" s="3269" t="s">
        <v>1196</v>
      </c>
      <c r="B42" s="3270"/>
      <c r="C42" s="3270"/>
      <c r="D42" s="1496">
        <f>'Info Entrada'!C166</f>
        <v>0</v>
      </c>
      <c r="E42" s="1573" t="e">
        <f t="shared" si="4"/>
        <v>#DIV/0!</v>
      </c>
      <c r="F42" s="1496">
        <f>'Info Entrada'!D166</f>
        <v>0</v>
      </c>
      <c r="G42" s="1573" t="e">
        <f t="shared" si="4"/>
        <v>#DIV/0!</v>
      </c>
      <c r="H42" s="1496">
        <f>'Info Entrada'!E166</f>
        <v>0</v>
      </c>
      <c r="I42" s="1573" t="e">
        <f t="shared" si="0"/>
        <v>#DIV/0!</v>
      </c>
      <c r="J42" s="1496">
        <f>'Info Entrada'!F166</f>
        <v>0</v>
      </c>
      <c r="K42" s="1573" t="e">
        <f t="shared" si="1"/>
        <v>#DIV/0!</v>
      </c>
      <c r="L42" s="1496">
        <f>'Info Entrada'!G166</f>
        <v>0</v>
      </c>
      <c r="M42" s="1574" t="e">
        <f t="shared" si="2"/>
        <v>#DIV/0!</v>
      </c>
      <c r="N42" s="1569"/>
      <c r="XET42" s="1652"/>
      <c r="XEU42" s="1662"/>
      <c r="XEV42" s="1662"/>
      <c r="XEW42" s="1662"/>
      <c r="XEX42" s="1662"/>
      <c r="XEY42" s="1662"/>
      <c r="XEZ42" s="1662"/>
      <c r="XFA42" s="1662"/>
      <c r="XFB42" s="1662"/>
      <c r="XFC42" s="1663"/>
    </row>
    <row r="43" spans="1:14 16374:16383" s="1445" customFormat="1" ht="13.5" thickBot="1" x14ac:dyDescent="0.25">
      <c r="A43" s="3271" t="s">
        <v>482</v>
      </c>
      <c r="B43" s="3272"/>
      <c r="C43" s="3272"/>
      <c r="D43" s="1492">
        <f>'Info Entrada'!C167</f>
        <v>0</v>
      </c>
      <c r="E43" s="1570" t="e">
        <f t="shared" si="4"/>
        <v>#DIV/0!</v>
      </c>
      <c r="F43" s="1492">
        <f>'Info Entrada'!D167</f>
        <v>0</v>
      </c>
      <c r="G43" s="1570" t="e">
        <f t="shared" si="4"/>
        <v>#DIV/0!</v>
      </c>
      <c r="H43" s="1492">
        <f>'Info Entrada'!E167</f>
        <v>0</v>
      </c>
      <c r="I43" s="1570" t="e">
        <f t="shared" si="0"/>
        <v>#DIV/0!</v>
      </c>
      <c r="J43" s="1492">
        <f>'Info Entrada'!F167</f>
        <v>0</v>
      </c>
      <c r="K43" s="1570" t="e">
        <f t="shared" si="1"/>
        <v>#DIV/0!</v>
      </c>
      <c r="L43" s="1492">
        <f>'Info Entrada'!G167</f>
        <v>0</v>
      </c>
      <c r="M43" s="1571" t="e">
        <f t="shared" si="2"/>
        <v>#DIV/0!</v>
      </c>
      <c r="N43" s="1569"/>
      <c r="XET43" s="1652"/>
      <c r="XEU43" s="1662"/>
      <c r="XEV43" s="1662"/>
      <c r="XEW43" s="1662"/>
      <c r="XEX43" s="1662"/>
      <c r="XEY43" s="1662"/>
      <c r="XEZ43" s="1662"/>
      <c r="XFA43" s="1662"/>
      <c r="XFB43" s="1662"/>
      <c r="XFC43" s="1663"/>
    </row>
    <row r="44" spans="1:14 16374:16383" s="1572" customFormat="1" ht="13.5" thickBot="1" x14ac:dyDescent="0.25">
      <c r="A44" s="3261" t="s">
        <v>364</v>
      </c>
      <c r="B44" s="3262"/>
      <c r="C44" s="3263"/>
      <c r="D44" s="1553">
        <f>+D41-D42-D43</f>
        <v>0</v>
      </c>
      <c r="E44" s="1554" t="e">
        <f t="shared" si="4"/>
        <v>#DIV/0!</v>
      </c>
      <c r="F44" s="1553">
        <f>+F41-F42-F43</f>
        <v>0</v>
      </c>
      <c r="G44" s="1554" t="e">
        <f t="shared" si="4"/>
        <v>#DIV/0!</v>
      </c>
      <c r="H44" s="1553">
        <f>+H41-H42-H43</f>
        <v>0</v>
      </c>
      <c r="I44" s="1554" t="e">
        <f t="shared" si="0"/>
        <v>#DIV/0!</v>
      </c>
      <c r="J44" s="1553">
        <f>+J41-J42-J43</f>
        <v>0</v>
      </c>
      <c r="K44" s="1554" t="e">
        <f t="shared" si="1"/>
        <v>#DIV/0!</v>
      </c>
      <c r="L44" s="1553">
        <f>+L41-L42-L43</f>
        <v>0</v>
      </c>
      <c r="M44" s="1555" t="e">
        <f t="shared" si="2"/>
        <v>#DIV/0!</v>
      </c>
      <c r="N44" s="1569"/>
      <c r="XET44" s="1653"/>
      <c r="XEU44" s="1664"/>
      <c r="XEV44" s="1664"/>
      <c r="XEW44" s="1664"/>
      <c r="XEX44" s="1664"/>
      <c r="XEY44" s="1664"/>
      <c r="XEZ44" s="1664"/>
      <c r="XFA44" s="1664"/>
      <c r="XFB44" s="1664"/>
      <c r="XFC44" s="1665"/>
    </row>
    <row r="45" spans="1:14 16374:16383" x14ac:dyDescent="0.2">
      <c r="A45" s="3228"/>
      <c r="B45" s="3228"/>
      <c r="C45" s="3228"/>
      <c r="XEU45" s="1655"/>
      <c r="XEV45" s="1655"/>
      <c r="XEW45" s="1655"/>
      <c r="XEX45" s="1655"/>
      <c r="XEY45" s="1655"/>
      <c r="XEZ45" s="1655"/>
      <c r="XFA45" s="1655"/>
      <c r="XFB45" s="1655"/>
      <c r="XFC45" s="1649"/>
    </row>
    <row r="46" spans="1:14 16374:16383" ht="13.5" thickBot="1" x14ac:dyDescent="0.25">
      <c r="A46" s="1565" t="s">
        <v>365</v>
      </c>
      <c r="B46" s="1565"/>
      <c r="D46" s="1566"/>
      <c r="N46" s="1445"/>
    </row>
    <row r="47" spans="1:14 16374:16383" x14ac:dyDescent="0.2">
      <c r="A47" s="1511"/>
      <c r="B47" s="1512"/>
      <c r="C47" s="1512"/>
      <c r="D47" s="1512"/>
      <c r="E47" s="1512"/>
      <c r="F47" s="1512"/>
      <c r="G47" s="1512"/>
      <c r="H47" s="1512"/>
      <c r="I47" s="1512"/>
      <c r="J47" s="1512"/>
      <c r="K47" s="1512"/>
      <c r="L47" s="1512"/>
      <c r="M47" s="1513"/>
      <c r="N47" s="1445"/>
    </row>
    <row r="48" spans="1:14 16374:16383" x14ac:dyDescent="0.2">
      <c r="A48" s="1514" t="s">
        <v>303</v>
      </c>
      <c r="B48" s="1515"/>
      <c r="C48" s="1515"/>
      <c r="D48" s="1515"/>
      <c r="E48" s="1515"/>
      <c r="F48" s="1515"/>
      <c r="G48" s="1515"/>
      <c r="H48" s="1515"/>
      <c r="I48" s="1515"/>
      <c r="J48" s="1515"/>
      <c r="K48" s="1515"/>
      <c r="L48" s="1515"/>
      <c r="M48" s="1516"/>
      <c r="N48" s="1445"/>
    </row>
    <row r="49" spans="1:14 16374:16379" x14ac:dyDescent="0.2">
      <c r="A49" s="1514"/>
      <c r="B49" s="1515"/>
      <c r="C49" s="1515"/>
      <c r="D49" s="1515"/>
      <c r="E49" s="1515"/>
      <c r="F49" s="1515"/>
      <c r="G49" s="1515"/>
      <c r="H49" s="1515"/>
      <c r="I49" s="1515"/>
      <c r="J49" s="1515"/>
      <c r="K49" s="1515"/>
      <c r="L49" s="1515"/>
      <c r="M49" s="1516"/>
      <c r="N49" s="1445"/>
      <c r="XET49" s="1654"/>
      <c r="XEU49" s="1654"/>
      <c r="XEV49" s="1654"/>
      <c r="XEW49" s="1654"/>
      <c r="XEX49" s="1654"/>
      <c r="XEY49" s="1654"/>
    </row>
    <row r="50" spans="1:14 16374:16379" x14ac:dyDescent="0.2">
      <c r="A50" s="1514"/>
      <c r="B50" s="1515"/>
      <c r="C50" s="1515"/>
      <c r="D50" s="1515"/>
      <c r="E50" s="1515"/>
      <c r="F50" s="1515"/>
      <c r="G50" s="1515"/>
      <c r="H50" s="1515"/>
      <c r="I50" s="1515"/>
      <c r="J50" s="1515"/>
      <c r="K50" s="1515"/>
      <c r="L50" s="1515"/>
      <c r="M50" s="1516"/>
      <c r="N50" s="1445"/>
      <c r="XET50" s="1654"/>
      <c r="XEU50" s="1655"/>
      <c r="XEV50" s="1655"/>
      <c r="XEW50" s="1655"/>
      <c r="XEX50" s="1655"/>
      <c r="XEY50" s="1655"/>
    </row>
    <row r="51" spans="1:14 16374:16379" x14ac:dyDescent="0.2">
      <c r="A51" s="1514"/>
      <c r="B51" s="1515"/>
      <c r="C51" s="1515"/>
      <c r="D51" s="1515"/>
      <c r="E51" s="1515"/>
      <c r="F51" s="1515"/>
      <c r="G51" s="1515"/>
      <c r="H51" s="1515"/>
      <c r="I51" s="1515"/>
      <c r="J51" s="1515"/>
      <c r="K51" s="1515"/>
      <c r="L51" s="1515"/>
      <c r="M51" s="1516"/>
      <c r="N51" s="1445"/>
      <c r="XET51" s="1654"/>
      <c r="XEY51" s="1655"/>
    </row>
    <row r="52" spans="1:14 16374:16379" x14ac:dyDescent="0.2">
      <c r="A52" s="1514"/>
      <c r="B52" s="1515"/>
      <c r="C52" s="1515"/>
      <c r="D52" s="1515"/>
      <c r="E52" s="1515"/>
      <c r="F52" s="1515"/>
      <c r="G52" s="1515"/>
      <c r="H52" s="1515"/>
      <c r="I52" s="1515"/>
      <c r="J52" s="1515"/>
      <c r="K52" s="1515"/>
      <c r="L52" s="1515"/>
      <c r="M52" s="1516"/>
      <c r="N52" s="1445"/>
      <c r="XET52" s="1654"/>
      <c r="XEY52" s="1655"/>
    </row>
    <row r="53" spans="1:14 16374:16379" x14ac:dyDescent="0.2">
      <c r="A53" s="1514"/>
      <c r="B53" s="1515"/>
      <c r="C53" s="1515"/>
      <c r="D53" s="1515"/>
      <c r="E53" s="1515"/>
      <c r="F53" s="1515"/>
      <c r="G53" s="1515"/>
      <c r="H53" s="1515"/>
      <c r="I53" s="1515"/>
      <c r="J53" s="1515"/>
      <c r="K53" s="1515"/>
      <c r="L53" s="1515"/>
      <c r="M53" s="1516"/>
      <c r="N53" s="1445"/>
      <c r="XET53" s="1654"/>
      <c r="XEY53" s="1655"/>
    </row>
    <row r="54" spans="1:14 16374:16379" x14ac:dyDescent="0.2">
      <c r="A54" s="1514"/>
      <c r="B54" s="1515"/>
      <c r="C54" s="1515"/>
      <c r="D54" s="1515"/>
      <c r="E54" s="1515"/>
      <c r="F54" s="1515"/>
      <c r="G54" s="1515"/>
      <c r="H54" s="1515"/>
      <c r="I54" s="1515"/>
      <c r="J54" s="1515"/>
      <c r="K54" s="1515"/>
      <c r="L54" s="1515"/>
      <c r="M54" s="1516"/>
      <c r="N54" s="1445"/>
      <c r="XET54" s="1654"/>
      <c r="XEY54" s="1655"/>
    </row>
    <row r="55" spans="1:14 16374:16379" x14ac:dyDescent="0.2">
      <c r="A55" s="1514"/>
      <c r="B55" s="1515"/>
      <c r="C55" s="1515"/>
      <c r="D55" s="1515"/>
      <c r="E55" s="1515"/>
      <c r="F55" s="1515"/>
      <c r="G55" s="1515"/>
      <c r="H55" s="1515"/>
      <c r="I55" s="1515"/>
      <c r="J55" s="1515"/>
      <c r="K55" s="1515"/>
      <c r="L55" s="1515"/>
      <c r="M55" s="1516"/>
      <c r="N55" s="1445"/>
      <c r="XET55" s="1654"/>
      <c r="XEY55" s="1655"/>
    </row>
    <row r="56" spans="1:14 16374:16379" x14ac:dyDescent="0.2">
      <c r="A56" s="1514"/>
      <c r="B56" s="1515"/>
      <c r="C56" s="1515"/>
      <c r="D56" s="1515"/>
      <c r="E56" s="1515"/>
      <c r="F56" s="1515"/>
      <c r="G56" s="1515"/>
      <c r="H56" s="1515"/>
      <c r="I56" s="1515"/>
      <c r="J56" s="1515"/>
      <c r="K56" s="1515"/>
      <c r="L56" s="1515"/>
      <c r="M56" s="1516"/>
      <c r="N56" s="1445"/>
      <c r="XET56" s="1654"/>
      <c r="XEY56" s="1655"/>
    </row>
    <row r="57" spans="1:14 16374:16379" x14ac:dyDescent="0.2">
      <c r="A57" s="1514"/>
      <c r="B57" s="1515"/>
      <c r="C57" s="1515"/>
      <c r="D57" s="1515"/>
      <c r="E57" s="1515"/>
      <c r="F57" s="1515"/>
      <c r="G57" s="1515"/>
      <c r="H57" s="1515"/>
      <c r="I57" s="1515"/>
      <c r="J57" s="1515"/>
      <c r="K57" s="1515"/>
      <c r="L57" s="1515"/>
      <c r="M57" s="1516"/>
      <c r="N57" s="1445"/>
      <c r="XET57" s="1654"/>
      <c r="XEY57" s="1655"/>
    </row>
    <row r="58" spans="1:14 16374:16379" x14ac:dyDescent="0.2">
      <c r="A58" s="1514"/>
      <c r="B58" s="1515"/>
      <c r="C58" s="1515"/>
      <c r="D58" s="1515"/>
      <c r="E58" s="1515"/>
      <c r="F58" s="1515"/>
      <c r="G58" s="1515"/>
      <c r="H58" s="1515"/>
      <c r="I58" s="1515"/>
      <c r="J58" s="1515"/>
      <c r="K58" s="1515"/>
      <c r="L58" s="1515"/>
      <c r="M58" s="1516"/>
      <c r="N58" s="1445"/>
      <c r="XET58" s="1654"/>
      <c r="XEY58" s="1655"/>
    </row>
    <row r="59" spans="1:14 16374:16379" x14ac:dyDescent="0.2">
      <c r="A59" s="1514"/>
      <c r="B59" s="1515"/>
      <c r="C59" s="1515"/>
      <c r="D59" s="1515"/>
      <c r="E59" s="1515"/>
      <c r="F59" s="1515"/>
      <c r="G59" s="1515"/>
      <c r="H59" s="1515"/>
      <c r="I59" s="1515"/>
      <c r="J59" s="1515"/>
      <c r="K59" s="1515"/>
      <c r="L59" s="1515"/>
      <c r="M59" s="1516"/>
      <c r="N59" s="1445"/>
      <c r="XEY59" s="1655"/>
    </row>
    <row r="60" spans="1:14 16374:16379" ht="13.5" thickBot="1" x14ac:dyDescent="0.25">
      <c r="A60" s="1517" t="s">
        <v>303</v>
      </c>
      <c r="B60" s="1518"/>
      <c r="C60" s="1518"/>
      <c r="D60" s="1518"/>
      <c r="E60" s="1518"/>
      <c r="F60" s="1518"/>
      <c r="G60" s="1518"/>
      <c r="H60" s="1518"/>
      <c r="I60" s="1518"/>
      <c r="J60" s="1518"/>
      <c r="K60" s="1518"/>
      <c r="L60" s="1518"/>
      <c r="M60" s="1519"/>
      <c r="N60" s="1445"/>
      <c r="XEY60" s="1655"/>
    </row>
    <row r="61" spans="1:14 16374:16379" x14ac:dyDescent="0.2">
      <c r="A61" s="3227"/>
      <c r="B61" s="3227"/>
      <c r="C61" s="3228"/>
      <c r="N61" s="1445"/>
      <c r="XEY61" s="1655"/>
    </row>
    <row r="62" spans="1:14 16374:16379" ht="13.5" customHeight="1" x14ac:dyDescent="0.2">
      <c r="A62" s="3227"/>
      <c r="B62" s="3227"/>
      <c r="C62" s="3228"/>
    </row>
    <row r="63" spans="1:14 16374:16379" ht="13.5" customHeight="1" x14ac:dyDescent="0.2">
      <c r="A63" s="1587"/>
      <c r="B63" s="1587"/>
      <c r="C63" s="1588"/>
    </row>
    <row r="64" spans="1:14 16374:16379" ht="13.5" customHeight="1" x14ac:dyDescent="0.2">
      <c r="A64" s="1587"/>
      <c r="B64" s="1587"/>
      <c r="C64" s="1588"/>
    </row>
    <row r="65" spans="1:9" ht="13.5" customHeight="1" x14ac:dyDescent="0.2">
      <c r="A65" s="1587"/>
      <c r="B65" s="1587"/>
      <c r="C65" s="1588"/>
    </row>
    <row r="66" spans="1:9" ht="13.5" customHeight="1" x14ac:dyDescent="0.2">
      <c r="A66" s="1587"/>
      <c r="B66" s="1587"/>
      <c r="C66" s="1588"/>
    </row>
    <row r="67" spans="1:9" ht="13.5" customHeight="1" x14ac:dyDescent="0.2">
      <c r="A67" s="1587"/>
      <c r="B67" s="1587"/>
      <c r="C67" s="1588"/>
    </row>
    <row r="68" spans="1:9" ht="13.5" customHeight="1" x14ac:dyDescent="0.2">
      <c r="A68" s="1587"/>
      <c r="B68" s="1587"/>
      <c r="C68" s="1588"/>
    </row>
    <row r="69" spans="1:9" ht="13.5" customHeight="1" x14ac:dyDescent="0.2">
      <c r="A69" s="1587"/>
      <c r="B69" s="1587"/>
      <c r="C69" s="1588"/>
    </row>
    <row r="70" spans="1:9" ht="13.5" customHeight="1" x14ac:dyDescent="0.2">
      <c r="A70" s="1587"/>
      <c r="B70" s="1587"/>
      <c r="C70" s="1588"/>
    </row>
    <row r="71" spans="1:9" ht="13.5" customHeight="1" x14ac:dyDescent="0.2">
      <c r="A71" s="1587"/>
      <c r="B71" s="1587"/>
      <c r="C71" s="1588"/>
    </row>
    <row r="72" spans="1:9" ht="13.5" customHeight="1" x14ac:dyDescent="0.2">
      <c r="A72" s="1587"/>
      <c r="B72" s="1587"/>
      <c r="C72" s="1588"/>
    </row>
    <row r="73" spans="1:9" ht="13.5" customHeight="1" x14ac:dyDescent="0.2">
      <c r="A73" s="1587"/>
      <c r="B73" s="1587"/>
      <c r="C73" s="1588"/>
    </row>
    <row r="74" spans="1:9" ht="13.5" customHeight="1" x14ac:dyDescent="0.2">
      <c r="A74" s="1587"/>
      <c r="B74" s="1587"/>
      <c r="C74" s="1588"/>
    </row>
    <row r="75" spans="1:9" ht="13.5" customHeight="1" x14ac:dyDescent="0.2">
      <c r="A75" s="1587"/>
      <c r="B75" s="1587"/>
      <c r="C75" s="1588"/>
    </row>
    <row r="76" spans="1:9" ht="13.5" customHeight="1" x14ac:dyDescent="0.2">
      <c r="A76" s="1587"/>
      <c r="B76" s="1587"/>
      <c r="C76" s="1588"/>
    </row>
    <row r="77" spans="1:9" ht="13.5" customHeight="1" x14ac:dyDescent="0.2">
      <c r="A77" s="1587"/>
      <c r="B77" s="1587"/>
      <c r="C77" s="1588"/>
    </row>
    <row r="78" spans="1:9" ht="13.5" customHeight="1" x14ac:dyDescent="0.2">
      <c r="A78" s="1587"/>
      <c r="B78" s="1587"/>
      <c r="C78" s="1588"/>
    </row>
    <row r="79" spans="1:9" x14ac:dyDescent="0.2">
      <c r="A79" s="3227"/>
      <c r="B79" s="3227"/>
      <c r="C79" s="3228"/>
    </row>
    <row r="80" spans="1:9" x14ac:dyDescent="0.2">
      <c r="A80" s="1445"/>
      <c r="B80" s="1445"/>
      <c r="C80" s="1445"/>
      <c r="D80" s="1445"/>
      <c r="E80" s="1445"/>
      <c r="F80" s="1445"/>
      <c r="G80" s="1445"/>
      <c r="H80" s="1445"/>
      <c r="I80" s="1445"/>
    </row>
    <row r="81" spans="1:9" x14ac:dyDescent="0.2">
      <c r="A81" s="1445"/>
      <c r="B81" s="1455"/>
      <c r="C81" s="1455"/>
      <c r="E81" s="1455"/>
      <c r="G81" s="1445"/>
      <c r="H81" s="1445"/>
      <c r="I81" s="1445"/>
    </row>
    <row r="82" spans="1:9" x14ac:dyDescent="0.2">
      <c r="A82" s="1445"/>
      <c r="B82" s="1455"/>
      <c r="C82" s="1455"/>
      <c r="E82" s="1455"/>
      <c r="G82" s="1445"/>
      <c r="H82" s="1445"/>
      <c r="I82" s="1445"/>
    </row>
    <row r="83" spans="1:9" x14ac:dyDescent="0.2">
      <c r="A83" s="1445"/>
      <c r="B83" s="1455"/>
      <c r="C83" s="1455"/>
      <c r="E83" s="1455"/>
      <c r="G83" s="1445"/>
      <c r="H83" s="1445"/>
      <c r="I83" s="1445"/>
    </row>
    <row r="84" spans="1:9" x14ac:dyDescent="0.2">
      <c r="A84" s="1446"/>
      <c r="B84" s="1455"/>
      <c r="C84" s="1455"/>
      <c r="E84" s="1455"/>
      <c r="G84" s="1524"/>
      <c r="H84" s="1475"/>
      <c r="I84" s="1473"/>
    </row>
    <row r="85" spans="1:9" x14ac:dyDescent="0.2">
      <c r="A85" s="1456"/>
      <c r="B85" s="1455"/>
      <c r="C85" s="1455"/>
      <c r="E85" s="1455"/>
      <c r="H85" s="1456"/>
    </row>
    <row r="86" spans="1:9" x14ac:dyDescent="0.2">
      <c r="A86" s="1456"/>
      <c r="B86" s="1456"/>
      <c r="C86" s="1456"/>
      <c r="D86" s="1456"/>
      <c r="F86" s="1456"/>
      <c r="H86" s="1456"/>
    </row>
    <row r="87" spans="1:9" x14ac:dyDescent="0.2">
      <c r="A87" s="1456"/>
      <c r="B87" s="1456"/>
      <c r="C87" s="1456"/>
      <c r="D87" s="1456"/>
      <c r="F87" s="1456"/>
      <c r="H87" s="1456"/>
    </row>
    <row r="88" spans="1:9" x14ac:dyDescent="0.2">
      <c r="A88" s="1456"/>
      <c r="B88" s="1456"/>
      <c r="C88" s="1456"/>
      <c r="D88" s="1456"/>
      <c r="F88" s="1456"/>
      <c r="H88" s="1456"/>
    </row>
    <row r="89" spans="1:9" x14ac:dyDescent="0.2">
      <c r="A89" s="1456"/>
      <c r="B89" s="1456"/>
      <c r="C89" s="1456"/>
      <c r="D89" s="1456"/>
      <c r="F89" s="1456"/>
      <c r="H89" s="1456"/>
    </row>
    <row r="90" spans="1:9" x14ac:dyDescent="0.2">
      <c r="A90" s="1456"/>
      <c r="B90" s="1456"/>
      <c r="C90" s="1456"/>
      <c r="D90" s="1456"/>
      <c r="F90" s="1456"/>
      <c r="H90" s="1456"/>
    </row>
    <row r="91" spans="1:9" x14ac:dyDescent="0.2">
      <c r="A91" s="1456"/>
      <c r="B91" s="1456"/>
      <c r="C91" s="1456"/>
      <c r="D91" s="1456"/>
      <c r="F91" s="1456"/>
      <c r="H91" s="1456"/>
    </row>
    <row r="92" spans="1:9" x14ac:dyDescent="0.2">
      <c r="A92" s="1456"/>
      <c r="B92" s="1456"/>
      <c r="C92" s="1456"/>
      <c r="D92" s="1456"/>
      <c r="F92" s="1456"/>
      <c r="H92" s="1456"/>
    </row>
    <row r="93" spans="1:9" x14ac:dyDescent="0.2">
      <c r="A93" s="1456"/>
      <c r="B93" s="1456"/>
      <c r="C93" s="1456"/>
      <c r="D93" s="1456"/>
      <c r="F93" s="1456"/>
      <c r="H93" s="1456"/>
    </row>
    <row r="94" spans="1:9" x14ac:dyDescent="0.2">
      <c r="A94" s="1456"/>
      <c r="B94" s="1456"/>
      <c r="C94" s="1456"/>
      <c r="D94" s="1456"/>
      <c r="F94" s="1456"/>
      <c r="H94" s="1456"/>
    </row>
    <row r="95" spans="1:9" x14ac:dyDescent="0.2">
      <c r="A95" s="1456"/>
      <c r="B95" s="1456"/>
      <c r="C95" s="1456"/>
      <c r="D95" s="1456"/>
      <c r="F95" s="1456"/>
      <c r="H95" s="1456"/>
    </row>
    <row r="96" spans="1:9" x14ac:dyDescent="0.2">
      <c r="A96" s="1456"/>
      <c r="B96" s="1456"/>
      <c r="C96" s="1456"/>
      <c r="D96" s="1456"/>
      <c r="F96" s="1456"/>
      <c r="H96" s="1456"/>
    </row>
    <row r="97" spans="1:8" x14ac:dyDescent="0.2">
      <c r="A97" s="1456"/>
      <c r="B97" s="1456"/>
      <c r="C97" s="1456"/>
      <c r="D97" s="1456"/>
      <c r="F97" s="1456"/>
      <c r="H97" s="1456"/>
    </row>
    <row r="98" spans="1:8" x14ac:dyDescent="0.2">
      <c r="A98" s="1456"/>
      <c r="B98" s="1456"/>
      <c r="C98" s="1456"/>
      <c r="D98" s="1456"/>
      <c r="F98" s="1456"/>
      <c r="H98" s="1456"/>
    </row>
    <row r="99" spans="1:8" x14ac:dyDescent="0.2">
      <c r="A99" s="1456"/>
      <c r="B99" s="1456"/>
      <c r="C99" s="1456"/>
      <c r="D99" s="1456"/>
      <c r="F99" s="1456"/>
      <c r="H99" s="1456"/>
    </row>
    <row r="100" spans="1:8" x14ac:dyDescent="0.2">
      <c r="A100" s="1456"/>
      <c r="B100" s="1456"/>
      <c r="C100" s="1456"/>
      <c r="D100" s="1456"/>
      <c r="F100" s="1456"/>
      <c r="H100" s="1456"/>
    </row>
    <row r="101" spans="1:8" x14ac:dyDescent="0.2">
      <c r="A101" s="1456"/>
      <c r="B101" s="1456"/>
      <c r="C101" s="1456"/>
      <c r="D101" s="1456"/>
      <c r="F101" s="1456"/>
      <c r="H101" s="1456"/>
    </row>
    <row r="102" spans="1:8" x14ac:dyDescent="0.2">
      <c r="A102" s="1456"/>
      <c r="B102" s="1456"/>
      <c r="C102" s="1456"/>
      <c r="D102" s="1456"/>
      <c r="F102" s="1456"/>
      <c r="H102" s="1456"/>
    </row>
    <row r="103" spans="1:8" x14ac:dyDescent="0.2">
      <c r="A103" s="1456"/>
      <c r="B103" s="1456"/>
      <c r="C103" s="1456"/>
      <c r="D103" s="1456"/>
      <c r="F103" s="1456"/>
      <c r="H103" s="1456"/>
    </row>
    <row r="104" spans="1:8" x14ac:dyDescent="0.2">
      <c r="A104" s="1456"/>
      <c r="B104" s="1456"/>
      <c r="C104" s="1456"/>
      <c r="D104" s="1456"/>
      <c r="F104" s="1456"/>
      <c r="H104" s="1456"/>
    </row>
    <row r="105" spans="1:8" x14ac:dyDescent="0.2">
      <c r="A105" s="1456"/>
      <c r="B105" s="1456"/>
      <c r="C105" s="1456"/>
      <c r="D105" s="1456"/>
      <c r="F105" s="1456"/>
      <c r="H105" s="1456"/>
    </row>
    <row r="106" spans="1:8" x14ac:dyDescent="0.2">
      <c r="A106" s="1456"/>
      <c r="B106" s="1456"/>
      <c r="C106" s="1456"/>
      <c r="D106" s="1456"/>
      <c r="F106" s="1456"/>
      <c r="H106" s="1456"/>
    </row>
    <row r="107" spans="1:8" x14ac:dyDescent="0.2">
      <c r="A107" s="1456"/>
      <c r="B107" s="1456"/>
      <c r="C107" s="1456"/>
      <c r="D107" s="1456"/>
      <c r="F107" s="1456"/>
      <c r="H107" s="1456"/>
    </row>
    <row r="108" spans="1:8" x14ac:dyDescent="0.2">
      <c r="A108" s="1456"/>
      <c r="B108" s="1456"/>
      <c r="C108" s="1456"/>
      <c r="D108" s="1456"/>
      <c r="F108" s="1456"/>
      <c r="H108" s="1456"/>
    </row>
    <row r="109" spans="1:8" x14ac:dyDescent="0.2">
      <c r="A109" s="1456"/>
      <c r="B109" s="1456"/>
      <c r="C109" s="1456"/>
      <c r="D109" s="1456"/>
      <c r="F109" s="1456"/>
      <c r="H109" s="1456"/>
    </row>
    <row r="110" spans="1:8" x14ac:dyDescent="0.2">
      <c r="A110" s="1456"/>
      <c r="B110" s="1456"/>
      <c r="C110" s="1456"/>
      <c r="D110" s="1456"/>
      <c r="F110" s="1456"/>
      <c r="H110" s="1456"/>
    </row>
    <row r="111" spans="1:8" x14ac:dyDescent="0.2">
      <c r="A111" s="1456"/>
      <c r="B111" s="1456"/>
      <c r="C111" s="1456"/>
      <c r="D111" s="1456"/>
      <c r="F111" s="1456"/>
      <c r="H111" s="1456"/>
    </row>
    <row r="112" spans="1:8" x14ac:dyDescent="0.2">
      <c r="A112" s="1456"/>
      <c r="B112" s="1456"/>
      <c r="C112" s="1456"/>
      <c r="D112" s="1456"/>
      <c r="F112" s="1456"/>
      <c r="H112" s="1456"/>
    </row>
    <row r="113" spans="1:8" x14ac:dyDescent="0.2">
      <c r="A113" s="1456"/>
      <c r="B113" s="1456"/>
      <c r="C113" s="1456"/>
      <c r="D113" s="1456"/>
      <c r="F113" s="1456"/>
      <c r="H113" s="1456"/>
    </row>
    <row r="114" spans="1:8" x14ac:dyDescent="0.2">
      <c r="A114" s="1456"/>
      <c r="B114" s="1456"/>
      <c r="C114" s="1456"/>
      <c r="D114" s="1456"/>
      <c r="F114" s="1456"/>
      <c r="H114" s="1456"/>
    </row>
    <row r="115" spans="1:8" x14ac:dyDescent="0.2">
      <c r="A115" s="1456"/>
      <c r="B115" s="1456"/>
      <c r="C115" s="1456"/>
      <c r="D115" s="1456"/>
      <c r="F115" s="1456"/>
      <c r="H115" s="1456"/>
    </row>
    <row r="116" spans="1:8" x14ac:dyDescent="0.2">
      <c r="A116" s="1456"/>
      <c r="B116" s="1456"/>
      <c r="C116" s="1456"/>
      <c r="D116" s="1456"/>
      <c r="F116" s="1456"/>
      <c r="H116" s="1456"/>
    </row>
    <row r="117" spans="1:8" x14ac:dyDescent="0.2">
      <c r="A117" s="1456"/>
      <c r="B117" s="1456"/>
      <c r="C117" s="1456"/>
      <c r="D117" s="1456"/>
      <c r="F117" s="1456"/>
      <c r="H117" s="1456"/>
    </row>
    <row r="118" spans="1:8" x14ac:dyDescent="0.2">
      <c r="A118" s="1456"/>
      <c r="B118" s="1456"/>
      <c r="C118" s="1456"/>
      <c r="D118" s="1456"/>
      <c r="F118" s="1456"/>
      <c r="H118" s="1456"/>
    </row>
    <row r="119" spans="1:8" x14ac:dyDescent="0.2">
      <c r="A119" s="1456"/>
      <c r="B119" s="1456"/>
      <c r="C119" s="1456"/>
      <c r="D119" s="1456"/>
      <c r="F119" s="1456"/>
      <c r="H119" s="1456"/>
    </row>
    <row r="120" spans="1:8" x14ac:dyDescent="0.2">
      <c r="A120" s="1456"/>
      <c r="B120" s="1456"/>
      <c r="C120" s="1456"/>
      <c r="D120" s="1456"/>
      <c r="F120" s="1456"/>
      <c r="H120" s="1456"/>
    </row>
    <row r="121" spans="1:8" x14ac:dyDescent="0.2">
      <c r="A121" s="1456"/>
      <c r="B121" s="1456"/>
      <c r="C121" s="1456"/>
      <c r="D121" s="1456"/>
      <c r="F121" s="1456"/>
      <c r="H121" s="1456"/>
    </row>
    <row r="122" spans="1:8" x14ac:dyDescent="0.2">
      <c r="A122" s="1456"/>
      <c r="B122" s="1456"/>
      <c r="C122" s="1456"/>
      <c r="D122" s="1456"/>
      <c r="F122" s="1456"/>
      <c r="H122" s="1456"/>
    </row>
    <row r="123" spans="1:8" x14ac:dyDescent="0.2">
      <c r="A123" s="1456"/>
      <c r="B123" s="1456"/>
      <c r="C123" s="1456"/>
      <c r="D123" s="1456"/>
      <c r="F123" s="1456"/>
      <c r="H123" s="1456"/>
    </row>
    <row r="124" spans="1:8" x14ac:dyDescent="0.2">
      <c r="A124" s="1456"/>
      <c r="B124" s="1456"/>
      <c r="C124" s="1456"/>
      <c r="D124" s="1456"/>
      <c r="F124" s="1456"/>
      <c r="H124" s="1456"/>
    </row>
    <row r="125" spans="1:8" x14ac:dyDescent="0.2">
      <c r="A125" s="1456"/>
      <c r="B125" s="1456"/>
      <c r="C125" s="1456"/>
      <c r="D125" s="1456"/>
      <c r="F125" s="1456"/>
      <c r="H125" s="1456"/>
    </row>
    <row r="126" spans="1:8" x14ac:dyDescent="0.2">
      <c r="A126" s="1456"/>
      <c r="B126" s="1456"/>
      <c r="C126" s="1456"/>
      <c r="D126" s="1456"/>
      <c r="F126" s="1456"/>
      <c r="H126" s="1456"/>
    </row>
    <row r="127" spans="1:8" x14ac:dyDescent="0.2">
      <c r="A127" s="1456"/>
      <c r="B127" s="1456"/>
      <c r="C127" s="1456"/>
      <c r="D127" s="1456"/>
      <c r="F127" s="1456"/>
      <c r="H127" s="1456"/>
    </row>
    <row r="128" spans="1:8" x14ac:dyDescent="0.2">
      <c r="A128" s="1456"/>
      <c r="B128" s="1456"/>
      <c r="C128" s="1456"/>
      <c r="D128" s="1456"/>
      <c r="F128" s="1456"/>
      <c r="H128" s="1456"/>
    </row>
    <row r="129" spans="1:8" x14ac:dyDescent="0.2">
      <c r="A129" s="1456"/>
      <c r="B129" s="1456"/>
      <c r="C129" s="1456"/>
      <c r="D129" s="1456"/>
      <c r="F129" s="1456"/>
      <c r="H129" s="1456"/>
    </row>
    <row r="130" spans="1:8" x14ac:dyDescent="0.2">
      <c r="A130" s="1456"/>
      <c r="B130" s="1456"/>
      <c r="C130" s="1456"/>
      <c r="D130" s="1456"/>
      <c r="F130" s="1456"/>
      <c r="H130" s="1456"/>
    </row>
    <row r="131" spans="1:8" x14ac:dyDescent="0.2">
      <c r="A131" s="1456"/>
      <c r="B131" s="1456"/>
      <c r="C131" s="1456"/>
      <c r="D131" s="1456"/>
      <c r="F131" s="1456"/>
      <c r="H131" s="1456"/>
    </row>
    <row r="132" spans="1:8" x14ac:dyDescent="0.2">
      <c r="A132" s="1456"/>
      <c r="B132" s="1456"/>
      <c r="C132" s="1456"/>
      <c r="D132" s="1456"/>
      <c r="F132" s="1456"/>
      <c r="H132" s="1456"/>
    </row>
  </sheetData>
  <mergeCells count="37">
    <mergeCell ref="A10:C10"/>
    <mergeCell ref="A11:C11"/>
    <mergeCell ref="A15:C15"/>
    <mergeCell ref="A24:C24"/>
    <mergeCell ref="A25:C25"/>
    <mergeCell ref="A20:C20"/>
    <mergeCell ref="A21:C21"/>
    <mergeCell ref="A14:M14"/>
    <mergeCell ref="A16:C16"/>
    <mergeCell ref="A17:C17"/>
    <mergeCell ref="A18:C18"/>
    <mergeCell ref="A19:C19"/>
    <mergeCell ref="A26:C26"/>
    <mergeCell ref="A27:C27"/>
    <mergeCell ref="A22:C22"/>
    <mergeCell ref="A23:C23"/>
    <mergeCell ref="A32:C32"/>
    <mergeCell ref="A33:C33"/>
    <mergeCell ref="A34:C34"/>
    <mergeCell ref="A35:C35"/>
    <mergeCell ref="A28:C28"/>
    <mergeCell ref="A29:C29"/>
    <mergeCell ref="A30:C30"/>
    <mergeCell ref="A31:C31"/>
    <mergeCell ref="A40:C40"/>
    <mergeCell ref="A41:C41"/>
    <mergeCell ref="A42:C42"/>
    <mergeCell ref="A43:C43"/>
    <mergeCell ref="A36:C36"/>
    <mergeCell ref="A37:C37"/>
    <mergeCell ref="A38:C38"/>
    <mergeCell ref="A39:C39"/>
    <mergeCell ref="A62:C62"/>
    <mergeCell ref="A79:C79"/>
    <mergeCell ref="A61:C61"/>
    <mergeCell ref="A44:C44"/>
    <mergeCell ref="A45:C45"/>
  </mergeCells>
  <phoneticPr fontId="0" type="noConversion"/>
  <dataValidations disablePrompts="1" count="1">
    <dataValidation type="whole" allowBlank="1" showInputMessage="1" showErrorMessage="1" sqref="D90:H90">
      <formula1>1</formula1>
      <formula2>12</formula2>
    </dataValidation>
  </dataValidations>
  <printOptions horizontalCentered="1" verticalCentered="1"/>
  <pageMargins left="0.39370078740157483" right="0.39370078740157483" top="0.39370078740157483" bottom="0.39370078740157483" header="0.59055118110236227" footer="0"/>
  <pageSetup scale="88" orientation="portrait" r:id="rId1"/>
  <headerFooter alignWithMargins="0"/>
  <ignoredErrors>
    <ignoredError sqref="D20 D15:D16 D22 D18" unlockedFormula="1"/>
    <ignoredError sqref="E17:J17 L17" formula="1"/>
    <ignoredError sqref="F20 H20 J20 F15:F16 H15:H16 J15:J16 L15:L16 F18 H18 J18" formula="1" unlockedFormula="1"/>
    <ignoredError sqref="K15:K16 M15:M16 K18" evalError="1"/>
    <ignoredError sqref="K17" evalError="1" formula="1"/>
  </ignoredError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9" tint="-0.249977111117893"/>
    <pageSetUpPr fitToPage="1"/>
  </sheetPr>
  <dimension ref="A2:I54"/>
  <sheetViews>
    <sheetView showGridLines="0" topLeftCell="A4" zoomScale="80" zoomScaleNormal="80" workbookViewId="0">
      <selection activeCell="K26" sqref="K26"/>
    </sheetView>
  </sheetViews>
  <sheetFormatPr baseColWidth="10" defaultRowHeight="12.75" outlineLevelCol="1" x14ac:dyDescent="0.2"/>
  <cols>
    <col min="1" max="1" width="17" style="1445" customWidth="1"/>
    <col min="2" max="2" width="27.85546875" style="1445" customWidth="1"/>
    <col min="3" max="3" width="9.28515625" style="1445" customWidth="1"/>
    <col min="4" max="6" width="15.7109375" style="1445" customWidth="1"/>
    <col min="7" max="8" width="15.7109375" style="1445" hidden="1" customWidth="1" outlineLevel="1"/>
    <col min="9" max="9" width="11.42578125" style="1445" collapsed="1"/>
    <col min="10" max="16384" width="11.42578125" style="1445"/>
  </cols>
  <sheetData>
    <row r="2" spans="1:9" x14ac:dyDescent="0.2">
      <c r="E2" s="1446"/>
    </row>
    <row r="3" spans="1:9" x14ac:dyDescent="0.2">
      <c r="E3" s="1446"/>
    </row>
    <row r="5" spans="1:9" s="1473" customFormat="1" x14ac:dyDescent="0.2">
      <c r="A5" s="1446" t="s">
        <v>105</v>
      </c>
      <c r="B5" s="1589">
        <f>+General!D6</f>
        <v>0</v>
      </c>
      <c r="C5" s="1589"/>
      <c r="D5" s="1475"/>
      <c r="E5" s="1590" t="s">
        <v>272</v>
      </c>
      <c r="F5" s="1523" t="str">
        <f>General!D23</f>
        <v>NO</v>
      </c>
      <c r="G5" s="1524"/>
      <c r="H5" s="1475"/>
    </row>
    <row r="6" spans="1:9" s="1473" customFormat="1" x14ac:dyDescent="0.2">
      <c r="A6" s="1446" t="s">
        <v>106</v>
      </c>
      <c r="B6" s="1591">
        <f>+General!D7</f>
        <v>0</v>
      </c>
      <c r="C6" s="1591"/>
      <c r="D6" s="1475"/>
      <c r="E6" s="1590" t="s">
        <v>109</v>
      </c>
      <c r="F6" s="1522">
        <f>General!D21</f>
        <v>0</v>
      </c>
      <c r="G6" s="1525"/>
    </row>
    <row r="7" spans="1:9" ht="13.5" thickBot="1" x14ac:dyDescent="0.25"/>
    <row r="8" spans="1:9" ht="16.5" thickTop="1" thickBot="1" x14ac:dyDescent="0.3">
      <c r="A8" s="3303" t="s">
        <v>366</v>
      </c>
      <c r="B8" s="3304"/>
      <c r="C8" s="3304"/>
      <c r="D8" s="3304"/>
      <c r="E8" s="3304"/>
      <c r="F8" s="3304"/>
      <c r="G8" s="3304"/>
      <c r="H8" s="3305"/>
    </row>
    <row r="9" spans="1:9" ht="14.25" thickTop="1" thickBot="1" x14ac:dyDescent="0.25"/>
    <row r="10" spans="1:9" ht="14.25" thickTop="1" thickBot="1" x14ac:dyDescent="0.25">
      <c r="D10" s="1592">
        <f>'Info Entrada'!C1</f>
        <v>42735</v>
      </c>
      <c r="E10" s="1593">
        <f>'Info Entrada'!D1</f>
        <v>43100</v>
      </c>
      <c r="F10" s="1593">
        <f>'Info Entrada'!E1</f>
        <v>43465</v>
      </c>
      <c r="G10" s="1593">
        <f>'Info Entrada'!F1</f>
        <v>43281</v>
      </c>
      <c r="H10" s="1594">
        <f>'Info Entrada'!G1</f>
        <v>43646</v>
      </c>
    </row>
    <row r="11" spans="1:9" ht="14.25" thickTop="1" thickBot="1" x14ac:dyDescent="0.25">
      <c r="C11" s="1521" t="s">
        <v>367</v>
      </c>
      <c r="D11" s="1595">
        <f>MONTH(D10)</f>
        <v>12</v>
      </c>
      <c r="E11" s="1596">
        <f>MONTH(E10)</f>
        <v>12</v>
      </c>
      <c r="F11" s="1596">
        <f>MONTH(F10)</f>
        <v>12</v>
      </c>
      <c r="G11" s="1596">
        <f>MONTH(G10)</f>
        <v>6</v>
      </c>
      <c r="H11" s="1597">
        <f>MONTH(H10)</f>
        <v>6</v>
      </c>
    </row>
    <row r="12" spans="1:9" ht="14.25" thickTop="1" thickBot="1" x14ac:dyDescent="0.25">
      <c r="A12" s="1598" t="s">
        <v>368</v>
      </c>
      <c r="B12" s="1599"/>
      <c r="C12" s="1600"/>
      <c r="D12" s="1601"/>
      <c r="E12" s="1601"/>
      <c r="F12" s="1602"/>
      <c r="G12" s="1602"/>
      <c r="H12" s="1602"/>
    </row>
    <row r="13" spans="1:9" ht="13.5" thickTop="1" x14ac:dyDescent="0.2">
      <c r="A13" s="1603" t="s">
        <v>369</v>
      </c>
      <c r="B13" s="1604"/>
      <c r="C13" s="1605"/>
      <c r="D13" s="1606" t="e">
        <f>'Info Entrada'!C94/'Info Entrada'!C77</f>
        <v>#DIV/0!</v>
      </c>
      <c r="E13" s="1606" t="e">
        <f>'Info Entrada'!D94/'Info Entrada'!D77</f>
        <v>#DIV/0!</v>
      </c>
      <c r="F13" s="1606" t="e">
        <f>'Info Entrada'!E94/'Info Entrada'!E77</f>
        <v>#DIV/0!</v>
      </c>
      <c r="G13" s="1607" t="e">
        <f>'Info Entrada'!F94/'Info Entrada'!F77</f>
        <v>#DIV/0!</v>
      </c>
      <c r="H13" s="1607" t="e">
        <f>'Info Entrada'!G94/'Info Entrada'!G77</f>
        <v>#DIV/0!</v>
      </c>
    </row>
    <row r="14" spans="1:9" x14ac:dyDescent="0.2">
      <c r="A14" s="1608" t="s">
        <v>370</v>
      </c>
      <c r="B14" s="1609"/>
      <c r="C14" s="1610"/>
      <c r="D14" s="1611" t="e">
        <f>'Info Entrada'!C113/'Info Entrada'!C124</f>
        <v>#DIV/0!</v>
      </c>
      <c r="E14" s="1611" t="e">
        <f>'Info Entrada'!D113/'Info Entrada'!D124</f>
        <v>#DIV/0!</v>
      </c>
      <c r="F14" s="1611" t="e">
        <f>'Info Entrada'!E113/'Info Entrada'!E124</f>
        <v>#DIV/0!</v>
      </c>
      <c r="G14" s="1612" t="e">
        <f>'Info Entrada'!F113/'Info Entrada'!F124</f>
        <v>#DIV/0!</v>
      </c>
      <c r="H14" s="1612" t="e">
        <f>'Info Entrada'!G113/'Info Entrada'!G124</f>
        <v>#DIV/0!</v>
      </c>
    </row>
    <row r="15" spans="1:9" x14ac:dyDescent="0.2">
      <c r="A15" s="1608" t="s">
        <v>371</v>
      </c>
      <c r="B15" s="1609"/>
      <c r="C15" s="1610"/>
      <c r="D15" s="1611" t="e">
        <f>IF('Info Entrada'!C123&gt;'Info Entrada'!C124,0,'Info Entrada'!C113/('Info Entrada'!C124-'Info Entrada'!C123))</f>
        <v>#DIV/0!</v>
      </c>
      <c r="E15" s="1611" t="e">
        <f>IF('Info Entrada'!D123&gt;'Info Entrada'!D124,0,'Info Entrada'!D113/('Info Entrada'!D124-'Info Entrada'!D123))</f>
        <v>#DIV/0!</v>
      </c>
      <c r="F15" s="1611" t="e">
        <f>IF('Info Entrada'!E123&gt;'Info Entrada'!E124,0,'Info Entrada'!E113/('Info Entrada'!E124-'Info Entrada'!E123))</f>
        <v>#DIV/0!</v>
      </c>
      <c r="G15" s="1612" t="e">
        <f>IF('Info Entrada'!F123&gt;'Info Entrada'!F124,0,'Info Entrada'!F113/('Info Entrada'!F124-'Info Entrada'!F123))</f>
        <v>#DIV/0!</v>
      </c>
      <c r="H15" s="1612" t="e">
        <f>IF('Info Entrada'!G123&gt;'Info Entrada'!G124,0,'Info Entrada'!G113/('Info Entrada'!G124-'Info Entrada'!G123))</f>
        <v>#DIV/0!</v>
      </c>
      <c r="I15" s="1457"/>
    </row>
    <row r="16" spans="1:9" x14ac:dyDescent="0.2">
      <c r="A16" s="1608" t="s">
        <v>372</v>
      </c>
      <c r="B16" s="1609"/>
      <c r="C16" s="1610"/>
      <c r="D16" s="1613">
        <f>'Info Entrada'!C120</f>
        <v>0</v>
      </c>
      <c r="E16" s="1613">
        <f>'Info Entrada'!D120</f>
        <v>0</v>
      </c>
      <c r="F16" s="1613">
        <f>'Info Entrada'!E120</f>
        <v>0</v>
      </c>
      <c r="G16" s="1614">
        <f>'Info Entrada'!F120</f>
        <v>0</v>
      </c>
      <c r="H16" s="1614">
        <f>'Info Entrada'!G120</f>
        <v>0</v>
      </c>
    </row>
    <row r="17" spans="1:8" x14ac:dyDescent="0.2">
      <c r="A17" s="1608" t="s">
        <v>373</v>
      </c>
      <c r="B17" s="1609"/>
      <c r="C17" s="1610"/>
      <c r="D17" s="1613" t="e">
        <f>'Info Entrada'!C164/'Info Entrada'!C163</f>
        <v>#DIV/0!</v>
      </c>
      <c r="E17" s="1613" t="e">
        <f>'Info Entrada'!D164/'Info Entrada'!D163</f>
        <v>#DIV/0!</v>
      </c>
      <c r="F17" s="1613" t="e">
        <f>'Info Entrada'!E164/'Info Entrada'!E163</f>
        <v>#DIV/0!</v>
      </c>
      <c r="G17" s="1614" t="e">
        <f>'Info Entrada'!F164/'Info Entrada'!F163</f>
        <v>#DIV/0!</v>
      </c>
      <c r="H17" s="1614" t="e">
        <f>'Info Entrada'!G164/'Info Entrada'!G163</f>
        <v>#DIV/0!</v>
      </c>
    </row>
    <row r="18" spans="1:8" ht="13.5" thickBot="1" x14ac:dyDescent="0.25">
      <c r="A18" s="1615" t="s">
        <v>374</v>
      </c>
      <c r="B18" s="1616"/>
      <c r="C18" s="1617"/>
      <c r="D18" s="1618" t="e">
        <f>('Info Entrada'!C166+'Info Entrada'!C167)/'Info Entrada'!C165</f>
        <v>#DIV/0!</v>
      </c>
      <c r="E18" s="1618" t="e">
        <f>('Info Entrada'!D166+'Info Entrada'!D167)/'Info Entrada'!D165</f>
        <v>#DIV/0!</v>
      </c>
      <c r="F18" s="1618" t="e">
        <f>('Info Entrada'!E166+'Info Entrada'!E167)/'Info Entrada'!E165</f>
        <v>#DIV/0!</v>
      </c>
      <c r="G18" s="1619" t="e">
        <f>('Info Entrada'!F166+'Info Entrada'!F167)/'Info Entrada'!F165</f>
        <v>#DIV/0!</v>
      </c>
      <c r="H18" s="1619" t="e">
        <f>('Info Entrada'!G166+'Info Entrada'!G167)/'Info Entrada'!G165</f>
        <v>#DIV/0!</v>
      </c>
    </row>
    <row r="19" spans="1:8" ht="13.5" thickTop="1" x14ac:dyDescent="0.2">
      <c r="A19" s="1620"/>
      <c r="B19" s="1620"/>
      <c r="C19" s="1620"/>
    </row>
    <row r="20" spans="1:8" ht="13.5" thickBot="1" x14ac:dyDescent="0.25">
      <c r="A20" s="1621"/>
      <c r="B20" s="1621"/>
      <c r="C20" s="1621"/>
    </row>
    <row r="21" spans="1:8" ht="14.25" thickTop="1" thickBot="1" x14ac:dyDescent="0.25">
      <c r="A21" s="1598" t="s">
        <v>375</v>
      </c>
      <c r="B21" s="1599"/>
      <c r="C21" s="1600"/>
      <c r="D21" s="1601"/>
      <c r="E21" s="1601"/>
      <c r="F21" s="1601"/>
      <c r="G21" s="1601"/>
      <c r="H21" s="1601"/>
    </row>
    <row r="22" spans="1:8" ht="13.5" thickTop="1" x14ac:dyDescent="0.2">
      <c r="A22" s="1603" t="s">
        <v>376</v>
      </c>
      <c r="B22" s="1604"/>
      <c r="C22" s="1605"/>
      <c r="D22" s="1606" t="e">
        <f>(('Info Entrada'!C168/D11)*12)/'Info Entrada'!C239</f>
        <v>#DIV/0!</v>
      </c>
      <c r="E22" s="1606" t="e">
        <f>(('Info Entrada'!D168/E11)*12)/'Info Entrada'!D239</f>
        <v>#DIV/0!</v>
      </c>
      <c r="F22" s="1606" t="e">
        <f>(('Info Entrada'!E168/F11)*12)/'Info Entrada'!E239</f>
        <v>#DIV/0!</v>
      </c>
      <c r="G22" s="1607" t="e">
        <f>(('Info Entrada'!F168/G11)*12)/'Info Entrada'!F239</f>
        <v>#DIV/0!</v>
      </c>
      <c r="H22" s="1607" t="e">
        <f>(('Info Entrada'!G168/H11)*12)/'Info Entrada'!G239</f>
        <v>#DIV/0!</v>
      </c>
    </row>
    <row r="23" spans="1:8" x14ac:dyDescent="0.2">
      <c r="A23" s="1608" t="s">
        <v>377</v>
      </c>
      <c r="B23" s="1609"/>
      <c r="C23" s="1610"/>
      <c r="D23" s="1613">
        <f>'Info Entrada'!C169</f>
        <v>0</v>
      </c>
      <c r="E23" s="1613">
        <f>'Info Entrada'!D169</f>
        <v>0</v>
      </c>
      <c r="F23" s="1613">
        <f>'Info Entrada'!E169</f>
        <v>0</v>
      </c>
      <c r="G23" s="1614">
        <f>'Info Entrada'!F169</f>
        <v>0</v>
      </c>
      <c r="H23" s="1614">
        <f>'Info Entrada'!G169</f>
        <v>0</v>
      </c>
    </row>
    <row r="24" spans="1:8" x14ac:dyDescent="0.2">
      <c r="A24" s="1608" t="s">
        <v>378</v>
      </c>
      <c r="B24" s="1609"/>
      <c r="C24" s="1610"/>
      <c r="D24" s="1613" t="e">
        <f>(('Info Entrada'!C168/D11)*12)/'Info Entrada'!C172</f>
        <v>#DIV/0!</v>
      </c>
      <c r="E24" s="1613" t="e">
        <f>(('Info Entrada'!D168/E11)*12)/'Info Entrada'!D172</f>
        <v>#DIV/0!</v>
      </c>
      <c r="F24" s="1613" t="e">
        <f>(('Info Entrada'!E168/F11)*12)/'Info Entrada'!E172</f>
        <v>#DIV/0!</v>
      </c>
      <c r="G24" s="1614" t="e">
        <f>(('Info Entrada'!F168/G11)*12)/'Info Entrada'!F172</f>
        <v>#DIV/0!</v>
      </c>
      <c r="H24" s="1614" t="e">
        <f>(('Info Entrada'!G168/H11)*12)/'Info Entrada'!G172</f>
        <v>#DIV/0!</v>
      </c>
    </row>
    <row r="25" spans="1:8" x14ac:dyDescent="0.2">
      <c r="A25" s="1608" t="s">
        <v>1008</v>
      </c>
      <c r="B25" s="1609"/>
      <c r="C25" s="1610"/>
      <c r="D25" s="1622" t="e">
        <f>(('Info Entrada'!C77/D11)*12)/'Info Entrada'!C172</f>
        <v>#DIV/0!</v>
      </c>
      <c r="E25" s="1622" t="e">
        <f>(('Info Entrada'!D77/E11)*12)/'Info Entrada'!D172</f>
        <v>#DIV/0!</v>
      </c>
      <c r="F25" s="1622" t="e">
        <f>(('Info Entrada'!E77/F11)*12)/'Info Entrada'!E172</f>
        <v>#DIV/0!</v>
      </c>
      <c r="G25" s="1612" t="e">
        <f>(('Info Entrada'!F77/G11)*12)/'Info Entrada'!F172</f>
        <v>#DIV/0!</v>
      </c>
      <c r="H25" s="1612" t="e">
        <f>(('Info Entrada'!G77/H11)*12)/'Info Entrada'!G172</f>
        <v>#DIV/0!</v>
      </c>
    </row>
    <row r="26" spans="1:8" ht="13.5" thickBot="1" x14ac:dyDescent="0.25">
      <c r="A26" s="1615" t="s">
        <v>51</v>
      </c>
      <c r="B26" s="1616"/>
      <c r="C26" s="1617"/>
      <c r="D26" s="1623" t="e">
        <f>'Info Entrada'!C172/'Info Entrada'!C239</f>
        <v>#DIV/0!</v>
      </c>
      <c r="E26" s="1623" t="e">
        <f>'Info Entrada'!D172/'Info Entrada'!D239</f>
        <v>#DIV/0!</v>
      </c>
      <c r="F26" s="1623" t="e">
        <f>'Info Entrada'!E172/'Info Entrada'!E239</f>
        <v>#DIV/0!</v>
      </c>
      <c r="G26" s="1624" t="e">
        <f>'Info Entrada'!F172/'Info Entrada'!F239</f>
        <v>#DIV/0!</v>
      </c>
      <c r="H26" s="1624" t="e">
        <f>'Info Entrada'!G172/'Info Entrada'!G239</f>
        <v>#DIV/0!</v>
      </c>
    </row>
    <row r="27" spans="1:8" s="1457" customFormat="1" ht="14.25" thickTop="1" thickBot="1" x14ac:dyDescent="0.25">
      <c r="A27" s="1625"/>
      <c r="B27" s="1625"/>
      <c r="C27" s="1625"/>
      <c r="D27" s="1626"/>
      <c r="E27" s="1626"/>
      <c r="F27" s="1626"/>
      <c r="G27" s="1626"/>
      <c r="H27" s="1626"/>
    </row>
    <row r="28" spans="1:8" ht="14.25" thickTop="1" thickBot="1" x14ac:dyDescent="0.25">
      <c r="A28" s="1598" t="s">
        <v>379</v>
      </c>
      <c r="B28" s="1599"/>
      <c r="C28" s="1600"/>
      <c r="D28" s="1627"/>
      <c r="E28" s="1627"/>
      <c r="F28" s="1627"/>
      <c r="G28" s="1627"/>
      <c r="H28" s="1627"/>
    </row>
    <row r="29" spans="1:8" ht="13.5" thickTop="1" x14ac:dyDescent="0.2">
      <c r="A29" s="1603" t="s">
        <v>380</v>
      </c>
      <c r="B29" s="1604"/>
      <c r="C29" s="1605"/>
      <c r="D29" s="1628">
        <f>('Info Entrada'!C193-'Info Entrada'!C174-'Info Entrada'!C175)-('Info Entrada'!C227-'Info Entrada'!C215-'Info Entrada'!C216-'Info Entrada'!C217)</f>
        <v>0</v>
      </c>
      <c r="E29" s="1628">
        <f>('Info Entrada'!D193-'Info Entrada'!D174-'Info Entrada'!D175)-('Info Entrada'!D227-'Info Entrada'!D215-'Info Entrada'!D216-'Info Entrada'!D217)</f>
        <v>0</v>
      </c>
      <c r="F29" s="1628">
        <f>('Info Entrada'!E193-'Info Entrada'!E174-'Info Entrada'!E175)-('Info Entrada'!E227-'Info Entrada'!E215-'Info Entrada'!E216-'Info Entrada'!E217)</f>
        <v>0</v>
      </c>
      <c r="G29" s="1629">
        <f>('Info Entrada'!F193-'Info Entrada'!F174-'Info Entrada'!F175)-('Info Entrada'!F227-'Info Entrada'!F215-'Info Entrada'!F216-'Info Entrada'!F217)</f>
        <v>0</v>
      </c>
      <c r="H29" s="1629">
        <f>('Info Entrada'!G193-'Info Entrada'!G174-'Info Entrada'!G175)-('Info Entrada'!G227-'Info Entrada'!G215-'Info Entrada'!G216-'Info Entrada'!G217)</f>
        <v>0</v>
      </c>
    </row>
    <row r="30" spans="1:8" x14ac:dyDescent="0.2">
      <c r="A30" s="1608" t="s">
        <v>381</v>
      </c>
      <c r="B30" s="1609"/>
      <c r="C30" s="1610"/>
      <c r="D30" s="1613" t="e">
        <f>+D29/(('Info Entrada'!C77/D11)*12)</f>
        <v>#DIV/0!</v>
      </c>
      <c r="E30" s="1613" t="e">
        <f>+E29/(('Info Entrada'!D77/E11)*12)</f>
        <v>#DIV/0!</v>
      </c>
      <c r="F30" s="1613" t="e">
        <f>+F29/(('Info Entrada'!E77/F11)*12)</f>
        <v>#DIV/0!</v>
      </c>
      <c r="G30" s="1614" t="e">
        <f>+G29/(('Info Entrada'!F77/G11)*12)</f>
        <v>#DIV/0!</v>
      </c>
      <c r="H30" s="1614" t="e">
        <f>+H29/(('Info Entrada'!G77/H11)*12)</f>
        <v>#DIV/0!</v>
      </c>
    </row>
    <row r="31" spans="1:8" x14ac:dyDescent="0.2">
      <c r="A31" s="1608" t="s">
        <v>382</v>
      </c>
      <c r="B31" s="1609"/>
      <c r="C31" s="1610"/>
      <c r="D31" s="1630">
        <f>'Info Entrada'!C193-'Info Entrada'!C227</f>
        <v>0</v>
      </c>
      <c r="E31" s="1630">
        <f>'Info Entrada'!D193-'Info Entrada'!D227</f>
        <v>0</v>
      </c>
      <c r="F31" s="1630">
        <f>'Info Entrada'!E193-'Info Entrada'!E227</f>
        <v>0</v>
      </c>
      <c r="G31" s="1631">
        <f>'Info Entrada'!F193-'Info Entrada'!F227</f>
        <v>0</v>
      </c>
      <c r="H31" s="1631">
        <f>'Info Entrada'!G193-'Info Entrada'!G227</f>
        <v>0</v>
      </c>
    </row>
    <row r="32" spans="1:8" x14ac:dyDescent="0.2">
      <c r="A32" s="1608" t="s">
        <v>383</v>
      </c>
      <c r="B32" s="1609"/>
      <c r="C32" s="1610"/>
      <c r="D32" s="1613" t="e">
        <f>D31/(('Info Entrada'!C77/D11)*12)</f>
        <v>#DIV/0!</v>
      </c>
      <c r="E32" s="1613" t="e">
        <f>E31/(('Info Entrada'!D77/E11)*12)</f>
        <v>#DIV/0!</v>
      </c>
      <c r="F32" s="1613" t="e">
        <f>F31/(('Info Entrada'!E77/F11)*12)</f>
        <v>#DIV/0!</v>
      </c>
      <c r="G32" s="1614" t="e">
        <f>G31/(('Info Entrada'!F77/G11)*12)</f>
        <v>#DIV/0!</v>
      </c>
      <c r="H32" s="1614" t="e">
        <f>H31/(('Info Entrada'!G77/H11)*12)</f>
        <v>#DIV/0!</v>
      </c>
    </row>
    <row r="33" spans="1:9" x14ac:dyDescent="0.2">
      <c r="A33" s="1608" t="s">
        <v>384</v>
      </c>
      <c r="B33" s="1609"/>
      <c r="C33" s="1610"/>
      <c r="D33" s="1632" t="e">
        <f>('Info Entrada'!C180/'Info Entrada'!C77)*((360/12)*D11)</f>
        <v>#DIV/0!</v>
      </c>
      <c r="E33" s="1632" t="e">
        <f>('Info Entrada'!D180/'Info Entrada'!D77)*((360/12)*E11)</f>
        <v>#DIV/0!</v>
      </c>
      <c r="F33" s="1632" t="e">
        <f>('Info Entrada'!E180/'Info Entrada'!E77)*((360/12)*F11)</f>
        <v>#DIV/0!</v>
      </c>
      <c r="G33" s="1633" t="e">
        <f>('Info Entrada'!F180/'Info Entrada'!F77)*((360/12)*G11)</f>
        <v>#DIV/0!</v>
      </c>
      <c r="H33" s="1633" t="e">
        <f>('Info Entrada'!G180/'Info Entrada'!G77)*((360/12)*H11)</f>
        <v>#DIV/0!</v>
      </c>
    </row>
    <row r="34" spans="1:9" x14ac:dyDescent="0.2">
      <c r="A34" s="1608" t="s">
        <v>385</v>
      </c>
      <c r="B34" s="1609"/>
      <c r="C34" s="1610"/>
      <c r="D34" s="1632">
        <f>IF('Info Entrada'!C84=0,0,('Info Entrada'!C185/'Info Entrada'!C89)*((360/12)*D11))</f>
        <v>0</v>
      </c>
      <c r="E34" s="1632">
        <f>IF('Info Entrada'!D84=0,0,('Info Entrada'!D185/'Info Entrada'!D89)*((360/12)*E11))</f>
        <v>0</v>
      </c>
      <c r="F34" s="1632">
        <f>IF('Info Entrada'!E84=0,0,('Info Entrada'!E185/'Info Entrada'!E89)*((360/12)*F11))</f>
        <v>0</v>
      </c>
      <c r="G34" s="1633">
        <f>IF('Info Entrada'!F84=0,0,('Info Entrada'!F185/'Info Entrada'!F89)*((360/12)*G11))</f>
        <v>0</v>
      </c>
      <c r="H34" s="1633">
        <f>IF('Info Entrada'!G84=0,0,('Info Entrada'!G185/'Info Entrada'!G89)*((360/12)*H11))</f>
        <v>0</v>
      </c>
    </row>
    <row r="35" spans="1:9" x14ac:dyDescent="0.2">
      <c r="A35" s="1608" t="s">
        <v>386</v>
      </c>
      <c r="B35" s="1609"/>
      <c r="C35" s="1610"/>
      <c r="D35" s="1632" t="e">
        <f>(('Info Entrada'!C218+'Info Entrada'!C219)/('Info Entrada'!C89))*((360/12)*D11)</f>
        <v>#DIV/0!</v>
      </c>
      <c r="E35" s="1632" t="e">
        <f>(('Info Entrada'!D218+'Info Entrada'!D219)/('Info Entrada'!D89))*((360/12)*E11)</f>
        <v>#DIV/0!</v>
      </c>
      <c r="F35" s="1632" t="e">
        <f>(('Info Entrada'!E218+'Info Entrada'!E219)/('Info Entrada'!E89))*((360/12)*F11)</f>
        <v>#DIV/0!</v>
      </c>
      <c r="G35" s="1633" t="e">
        <f>(('Info Entrada'!F218+'Info Entrada'!F219)/('Info Entrada'!F89))*((360/12)*G11)</f>
        <v>#DIV/0!</v>
      </c>
      <c r="H35" s="1633" t="e">
        <f>(('Info Entrada'!G218+'Info Entrada'!G219)/('Info Entrada'!G89))*((360/12)*H11)</f>
        <v>#DIV/0!</v>
      </c>
    </row>
    <row r="36" spans="1:9" x14ac:dyDescent="0.2">
      <c r="A36" s="1608" t="s">
        <v>1745</v>
      </c>
      <c r="B36" s="1609"/>
      <c r="C36" s="1610"/>
      <c r="D36" s="1632" t="e">
        <f>+D34+D33-D35</f>
        <v>#DIV/0!</v>
      </c>
      <c r="E36" s="1632" t="e">
        <f t="shared" ref="E36:H36" si="0">+E34+E33-E35</f>
        <v>#DIV/0!</v>
      </c>
      <c r="F36" s="1632" t="e">
        <f t="shared" si="0"/>
        <v>#DIV/0!</v>
      </c>
      <c r="G36" s="1633" t="e">
        <f t="shared" si="0"/>
        <v>#DIV/0!</v>
      </c>
      <c r="H36" s="1633" t="e">
        <f t="shared" si="0"/>
        <v>#DIV/0!</v>
      </c>
    </row>
    <row r="37" spans="1:9" ht="13.5" thickBot="1" x14ac:dyDescent="0.25">
      <c r="A37" s="1615" t="s">
        <v>387</v>
      </c>
      <c r="B37" s="1616"/>
      <c r="C37" s="1617"/>
      <c r="D37" s="1634" t="e">
        <f>(('Info Entrada'!C77/D11)*12)/'Info Entrada'!C200</f>
        <v>#DIV/0!</v>
      </c>
      <c r="E37" s="1634" t="e">
        <f>(('Info Entrada'!D77/E11)*12)/'Info Entrada'!D200</f>
        <v>#DIV/0!</v>
      </c>
      <c r="F37" s="1634" t="e">
        <f>(('Info Entrada'!E77/F11)*12)/'Info Entrada'!E200</f>
        <v>#DIV/0!</v>
      </c>
      <c r="G37" s="1635" t="e">
        <f>(('Info Entrada'!F77/G11)*12)/'Info Entrada'!F200</f>
        <v>#DIV/0!</v>
      </c>
      <c r="H37" s="1635" t="e">
        <f>(('Info Entrada'!G77/H11)*12)/'Info Entrada'!G200</f>
        <v>#DIV/0!</v>
      </c>
    </row>
    <row r="38" spans="1:9" ht="14.25" thickTop="1" thickBot="1" x14ac:dyDescent="0.25">
      <c r="A38" s="1625"/>
      <c r="B38" s="1625"/>
      <c r="C38" s="1625"/>
      <c r="D38" s="1636"/>
      <c r="E38" s="1636"/>
      <c r="F38" s="1636"/>
      <c r="G38" s="1636"/>
      <c r="H38" s="1636"/>
    </row>
    <row r="39" spans="1:9" ht="14.25" thickTop="1" thickBot="1" x14ac:dyDescent="0.25">
      <c r="A39" s="1598" t="s">
        <v>388</v>
      </c>
      <c r="B39" s="1599"/>
      <c r="C39" s="1600"/>
      <c r="D39" s="1637"/>
      <c r="E39" s="1638"/>
      <c r="F39" s="1638"/>
      <c r="G39" s="1638"/>
      <c r="H39" s="1638"/>
    </row>
    <row r="40" spans="1:9" ht="13.5" thickTop="1" x14ac:dyDescent="0.2">
      <c r="A40" s="1603" t="s">
        <v>389</v>
      </c>
      <c r="B40" s="1604"/>
      <c r="C40" s="1605"/>
      <c r="D40" s="1628">
        <f>'Info Entrada'!C215+'Info Entrada'!C216+'Info Entrada'!C217+'Info Entrada'!C228+'Info Entrada'!C229+'Info Entrada'!C235</f>
        <v>0</v>
      </c>
      <c r="E40" s="1628">
        <f>'Info Entrada'!D215+'Info Entrada'!D216+'Info Entrada'!D217+'Info Entrada'!D228+'Info Entrada'!D229+'Info Entrada'!D235</f>
        <v>0</v>
      </c>
      <c r="F40" s="1628">
        <f>'Info Entrada'!E215+'Info Entrada'!E216+'Info Entrada'!E217+'Info Entrada'!E228+'Info Entrada'!E229+'Info Entrada'!E235</f>
        <v>0</v>
      </c>
      <c r="G40" s="1629">
        <f>'Info Entrada'!F215+'Info Entrada'!F216+'Info Entrada'!F217+'Info Entrada'!F228+'Info Entrada'!F229+'Info Entrada'!F235</f>
        <v>0</v>
      </c>
      <c r="H40" s="1629">
        <f>'Info Entrada'!G215+'Info Entrada'!G216+'Info Entrada'!G217+'Info Entrada'!G228+'Info Entrada'!G229+'Info Entrada'!G235</f>
        <v>0</v>
      </c>
    </row>
    <row r="41" spans="1:9" x14ac:dyDescent="0.2">
      <c r="A41" s="1608" t="s">
        <v>390</v>
      </c>
      <c r="B41" s="1609"/>
      <c r="C41" s="1610"/>
      <c r="D41" s="1630">
        <f>D40-'Info Entrada'!C174-'Info Entrada'!C175</f>
        <v>0</v>
      </c>
      <c r="E41" s="1630">
        <f>E40-'Info Entrada'!D174-'Info Entrada'!D175</f>
        <v>0</v>
      </c>
      <c r="F41" s="1630">
        <f>F40-'Info Entrada'!E174-'Info Entrada'!E175</f>
        <v>0</v>
      </c>
      <c r="G41" s="1631">
        <f>G40-'Info Entrada'!F174-'Info Entrada'!F175</f>
        <v>0</v>
      </c>
      <c r="H41" s="1631">
        <f>H40-'Info Entrada'!G174-'Info Entrada'!G175</f>
        <v>0</v>
      </c>
    </row>
    <row r="42" spans="1:9" x14ac:dyDescent="0.2">
      <c r="A42" s="1608" t="s">
        <v>391</v>
      </c>
      <c r="B42" s="1609"/>
      <c r="C42" s="1610"/>
      <c r="D42" s="1630">
        <f>'Info Entrada'!C239</f>
        <v>0</v>
      </c>
      <c r="E42" s="1630">
        <f>'Info Entrada'!D239</f>
        <v>0</v>
      </c>
      <c r="F42" s="1630">
        <f>'Info Entrada'!E239</f>
        <v>0</v>
      </c>
      <c r="G42" s="1631">
        <f>'Info Entrada'!F239</f>
        <v>0</v>
      </c>
      <c r="H42" s="1631">
        <f>'Info Entrada'!G239</f>
        <v>0</v>
      </c>
    </row>
    <row r="43" spans="1:9" x14ac:dyDescent="0.2">
      <c r="A43" s="1608" t="s">
        <v>392</v>
      </c>
      <c r="B43" s="1609"/>
      <c r="C43" s="1610"/>
      <c r="D43" s="1639" t="e">
        <f>'Info Entrada'!C213/('Info Entrada'!C239-'Info Entrada'!C250)</f>
        <v>#DIV/0!</v>
      </c>
      <c r="E43" s="1639" t="e">
        <f>'Info Entrada'!D213/('Info Entrada'!D239-'Info Entrada'!D250)</f>
        <v>#DIV/0!</v>
      </c>
      <c r="F43" s="1639" t="e">
        <f>'Info Entrada'!E213/('Info Entrada'!E239-'Info Entrada'!E250)</f>
        <v>#DIV/0!</v>
      </c>
      <c r="G43" s="1640" t="e">
        <f>'Info Entrada'!F213/('Info Entrada'!F239-'Info Entrada'!F250)</f>
        <v>#DIV/0!</v>
      </c>
      <c r="H43" s="1640" t="e">
        <f>'Info Entrada'!G213/('Info Entrada'!G239-'Info Entrada'!G250)</f>
        <v>#DIV/0!</v>
      </c>
    </row>
    <row r="44" spans="1:9" x14ac:dyDescent="0.2">
      <c r="A44" s="1608" t="s">
        <v>393</v>
      </c>
      <c r="B44" s="1609"/>
      <c r="C44" s="1610"/>
      <c r="D44" s="1639" t="e">
        <f>'Info Entrada'!C213/'Info Entrada'!C239</f>
        <v>#DIV/0!</v>
      </c>
      <c r="E44" s="1639" t="e">
        <f>'Info Entrada'!D213/'Info Entrada'!D239</f>
        <v>#DIV/0!</v>
      </c>
      <c r="F44" s="1639" t="e">
        <f>'Info Entrada'!E213/'Info Entrada'!E239</f>
        <v>#DIV/0!</v>
      </c>
      <c r="G44" s="1640" t="e">
        <f>'Info Entrada'!F213/'Info Entrada'!F239</f>
        <v>#DIV/0!</v>
      </c>
      <c r="H44" s="1640" t="e">
        <f>'Info Entrada'!G213/'Info Entrada'!G239</f>
        <v>#DIV/0!</v>
      </c>
    </row>
    <row r="45" spans="1:9" x14ac:dyDescent="0.2">
      <c r="A45" s="1608" t="s">
        <v>1746</v>
      </c>
      <c r="B45" s="1609"/>
      <c r="C45" s="1610"/>
      <c r="D45" s="1641" t="e">
        <f>IF(D41&lt;0,"n.a.",IF('Info Entrada'!C113&lt;0,"n.a.",ABS(D41/(('Info Entrada'!C113/D11)*12))))</f>
        <v>#DIV/0!</v>
      </c>
      <c r="E45" s="1641" t="e">
        <f>IF(E41&lt;0,"n.a.",IF('Info Entrada'!D113&lt;0,"n.a.",ABS(E41/(('Info Entrada'!D113/E11)*12))))</f>
        <v>#DIV/0!</v>
      </c>
      <c r="F45" s="1641" t="e">
        <f>IF(F41&lt;0,"n.a.",IF('Info Entrada'!E113&lt;0,"n.a.",ABS(F41/(('Info Entrada'!E113/F11)*12))))</f>
        <v>#DIV/0!</v>
      </c>
      <c r="G45" s="1642" t="e">
        <f>IF(G41&lt;0,"n.a.",IF('Info Entrada'!F113&lt;0,"n.a.",ABS(G41/(('Info Entrada'!F113/G11)*12))))</f>
        <v>#DIV/0!</v>
      </c>
      <c r="H45" s="1642" t="e">
        <f>IF(H41&lt;0,"n.a.",IF('Info Entrada'!G113&lt;0,"n.a.",ABS(H41/(('Info Entrada'!G113/H11)*12))))</f>
        <v>#DIV/0!</v>
      </c>
    </row>
    <row r="46" spans="1:9" x14ac:dyDescent="0.2">
      <c r="A46" s="1608" t="s">
        <v>394</v>
      </c>
      <c r="B46" s="1609"/>
      <c r="C46" s="1610"/>
      <c r="D46" s="1643" t="e">
        <f>'Info Entrada'!C239/'Info Entrada'!C172</f>
        <v>#DIV/0!</v>
      </c>
      <c r="E46" s="1643" t="e">
        <f>'Info Entrada'!D239/'Info Entrada'!D172</f>
        <v>#DIV/0!</v>
      </c>
      <c r="F46" s="1643" t="e">
        <f>'Info Entrada'!E239/'Info Entrada'!E172</f>
        <v>#DIV/0!</v>
      </c>
      <c r="G46" s="1644" t="e">
        <f>'Info Entrada'!F239/'Info Entrada'!F172</f>
        <v>#DIV/0!</v>
      </c>
      <c r="H46" s="1644" t="e">
        <f>'Info Entrada'!G239/'Info Entrada'!G172</f>
        <v>#DIV/0!</v>
      </c>
      <c r="I46" s="1645"/>
    </row>
    <row r="47" spans="1:9" x14ac:dyDescent="0.2">
      <c r="A47" s="1608" t="s">
        <v>395</v>
      </c>
      <c r="B47" s="1609"/>
      <c r="C47" s="1610"/>
      <c r="D47" s="1643" t="e">
        <f>'Info Entrada'!C213/('Info Entrada'!C172-'Info Entrada'!C208-'Info Entrada'!C209)</f>
        <v>#DIV/0!</v>
      </c>
      <c r="E47" s="1643" t="e">
        <f>'Info Entrada'!D213/('Info Entrada'!D172-'Info Entrada'!D208-'Info Entrada'!D209)</f>
        <v>#DIV/0!</v>
      </c>
      <c r="F47" s="1643" t="e">
        <f>'Info Entrada'!E213/('Info Entrada'!E172-'Info Entrada'!E208-'Info Entrada'!E209)</f>
        <v>#DIV/0!</v>
      </c>
      <c r="G47" s="1644" t="e">
        <f>'Info Entrada'!F213/('Info Entrada'!F172-'Info Entrada'!F208-'Info Entrada'!F209)</f>
        <v>#DIV/0!</v>
      </c>
      <c r="H47" s="1644" t="e">
        <f>'Info Entrada'!G213/('Info Entrada'!G172-'Info Entrada'!G208-'Info Entrada'!G209)</f>
        <v>#DIV/0!</v>
      </c>
    </row>
    <row r="48" spans="1:9" x14ac:dyDescent="0.2">
      <c r="A48" s="1608" t="s">
        <v>396</v>
      </c>
      <c r="B48" s="1609"/>
      <c r="C48" s="1610"/>
      <c r="D48" s="1613" t="e">
        <f>(('Info Entrada'!C124/D11)*12)/((D40+C40)/2)</f>
        <v>#DIV/0!</v>
      </c>
      <c r="E48" s="1613" t="e">
        <f>(('Info Entrada'!D124/E11)*12)/((E40+D40)/2)</f>
        <v>#DIV/0!</v>
      </c>
      <c r="F48" s="1613" t="e">
        <f>(('Info Entrada'!E124/F11)*12)/((F40+E40)/2)</f>
        <v>#DIV/0!</v>
      </c>
      <c r="G48" s="1614" t="e">
        <f>(('Info Entrada'!F124/G11)*12)/((G40+E40)/2)</f>
        <v>#DIV/0!</v>
      </c>
      <c r="H48" s="1614" t="e">
        <f>(('Info Entrada'!G124/H11)*12)/((H40+F40)/2)</f>
        <v>#DIV/0!</v>
      </c>
    </row>
    <row r="49" spans="1:9" x14ac:dyDescent="0.2">
      <c r="A49" s="1608" t="s">
        <v>397</v>
      </c>
      <c r="B49" s="1609"/>
      <c r="C49" s="1610"/>
      <c r="D49" s="1639" t="e">
        <f>'Info Entrada'!C193/'Info Entrada'!C227</f>
        <v>#DIV/0!</v>
      </c>
      <c r="E49" s="1639" t="e">
        <f>'Info Entrada'!D193/'Info Entrada'!D227</f>
        <v>#DIV/0!</v>
      </c>
      <c r="F49" s="1639" t="e">
        <f>'Info Entrada'!E193/'Info Entrada'!E227</f>
        <v>#DIV/0!</v>
      </c>
      <c r="G49" s="1640" t="e">
        <f>'Info Entrada'!F193/'Info Entrada'!F227</f>
        <v>#DIV/0!</v>
      </c>
      <c r="H49" s="1640" t="e">
        <f>'Info Entrada'!G193/'Info Entrada'!G227</f>
        <v>#DIV/0!</v>
      </c>
    </row>
    <row r="50" spans="1:9" ht="13.5" thickBot="1" x14ac:dyDescent="0.25">
      <c r="A50" s="1615" t="s">
        <v>398</v>
      </c>
      <c r="B50" s="1616"/>
      <c r="C50" s="1617"/>
      <c r="D50" s="1634" t="e">
        <f>('Info Entrada'!C193-SUM('Info Entrada'!C185:C192))/'Info Entrada'!C227</f>
        <v>#DIV/0!</v>
      </c>
      <c r="E50" s="1634" t="e">
        <f>('Info Entrada'!D193-SUM('Info Entrada'!D185:D192))/'Info Entrada'!D227</f>
        <v>#DIV/0!</v>
      </c>
      <c r="F50" s="1634" t="e">
        <f>('Info Entrada'!E193-SUM('Info Entrada'!E185:E192))/'Info Entrada'!E227</f>
        <v>#DIV/0!</v>
      </c>
      <c r="G50" s="1635" t="e">
        <f>('Info Entrada'!F193-SUM('Info Entrada'!F185:F192))/'Info Entrada'!F227</f>
        <v>#DIV/0!</v>
      </c>
      <c r="H50" s="1635" t="e">
        <f>('Info Entrada'!G193-SUM('Info Entrada'!G185:G192))/'Info Entrada'!G227</f>
        <v>#DIV/0!</v>
      </c>
      <c r="I50" s="1645"/>
    </row>
    <row r="51" spans="1:9" ht="13.5" thickTop="1" x14ac:dyDescent="0.2">
      <c r="A51" s="3307"/>
      <c r="B51" s="3307"/>
      <c r="C51" s="3307"/>
      <c r="D51" s="1636"/>
      <c r="E51" s="1636"/>
      <c r="F51" s="1636"/>
      <c r="G51" s="1457"/>
    </row>
    <row r="52" spans="1:9" x14ac:dyDescent="0.2">
      <c r="A52" s="3306"/>
      <c r="B52" s="3306"/>
      <c r="C52" s="3306"/>
      <c r="D52" s="1457"/>
      <c r="E52" s="1457"/>
      <c r="F52" s="1457"/>
      <c r="G52" s="1457"/>
    </row>
    <row r="53" spans="1:9" x14ac:dyDescent="0.2">
      <c r="A53" s="3306"/>
      <c r="B53" s="3306"/>
      <c r="C53" s="3306"/>
      <c r="D53" s="1457"/>
      <c r="E53" s="1457"/>
      <c r="F53" s="1457"/>
      <c r="G53" s="1457"/>
    </row>
    <row r="54" spans="1:9" x14ac:dyDescent="0.2">
      <c r="A54" s="3306"/>
      <c r="B54" s="3306"/>
      <c r="C54" s="3306"/>
      <c r="D54" s="1457"/>
      <c r="E54" s="1457"/>
      <c r="F54" s="1457"/>
      <c r="G54" s="1457"/>
    </row>
  </sheetData>
  <mergeCells count="5">
    <mergeCell ref="A8:H8"/>
    <mergeCell ref="A53:C53"/>
    <mergeCell ref="A54:C54"/>
    <mergeCell ref="A51:C51"/>
    <mergeCell ref="A52:C52"/>
  </mergeCells>
  <phoneticPr fontId="0" type="noConversion"/>
  <dataValidations disablePrompts="1" count="1">
    <dataValidation type="whole" allowBlank="1" showInputMessage="1" showErrorMessage="1" sqref="D11:H11">
      <formula1>1</formula1>
      <formula2>12</formula2>
    </dataValidation>
  </dataValidations>
  <printOptions horizontalCentered="1" verticalCentered="1"/>
  <pageMargins left="0.39370078740157483" right="0.39370078740157483" top="0.39370078740157483" bottom="0.39370078740157483" header="0.59055118110236227" footer="0"/>
  <pageSetup orientation="portrait" r:id="rId1"/>
  <headerFooter alignWithMargins="0">
    <oddHeader>&amp;RCifras en COP$MM</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9" tint="-0.249977111117893"/>
    <pageSetUpPr fitToPage="1"/>
  </sheetPr>
  <dimension ref="A5:Q80"/>
  <sheetViews>
    <sheetView showGridLines="0" topLeftCell="A4" zoomScale="85" zoomScaleNormal="85" workbookViewId="0">
      <selection activeCell="H27" sqref="H27:K27"/>
    </sheetView>
  </sheetViews>
  <sheetFormatPr baseColWidth="10" defaultRowHeight="11.25" outlineLevelCol="1" x14ac:dyDescent="0.2"/>
  <cols>
    <col min="1" max="1" width="35" style="288" bestFit="1" customWidth="1"/>
    <col min="2" max="4" width="10.85546875" style="288" customWidth="1"/>
    <col min="5" max="6" width="10.85546875" style="288" hidden="1" customWidth="1" outlineLevel="1"/>
    <col min="7" max="7" width="3.140625" style="288" customWidth="1" collapsed="1"/>
    <col min="8" max="11" width="14.85546875" style="288" customWidth="1"/>
    <col min="12" max="14" width="11.42578125" style="288"/>
    <col min="15" max="16" width="11.42578125" style="288" hidden="1" customWidth="1" outlineLevel="1"/>
    <col min="17" max="17" width="11.42578125" style="288" collapsed="1"/>
    <col min="18" max="16384" width="11.42578125" style="288"/>
  </cols>
  <sheetData>
    <row r="5" spans="1:16" ht="19.5" x14ac:dyDescent="0.3">
      <c r="A5" s="3316">
        <f>General!D6</f>
        <v>0</v>
      </c>
      <c r="B5" s="3316"/>
      <c r="C5" s="3316"/>
      <c r="D5" s="3316"/>
      <c r="E5" s="3316"/>
      <c r="F5" s="3316"/>
      <c r="G5" s="3316"/>
      <c r="H5" s="3316"/>
      <c r="I5" s="3316"/>
      <c r="J5" s="3316"/>
      <c r="K5" s="3316"/>
      <c r="L5" s="3316"/>
      <c r="M5" s="3316"/>
      <c r="N5" s="3316"/>
      <c r="O5" s="3316"/>
      <c r="P5" s="3316"/>
    </row>
    <row r="7" spans="1:16" ht="12.75" x14ac:dyDescent="0.2">
      <c r="A7" s="3317" t="s">
        <v>267</v>
      </c>
      <c r="B7" s="3317"/>
      <c r="C7" s="3317"/>
      <c r="D7" s="3317"/>
      <c r="E7" s="3317"/>
      <c r="F7" s="3317"/>
      <c r="G7" s="3317"/>
      <c r="H7" s="3317"/>
      <c r="I7" s="3317"/>
      <c r="J7" s="3317"/>
      <c r="K7" s="3317"/>
      <c r="L7" s="3317"/>
      <c r="M7" s="3317"/>
      <c r="N7" s="3317"/>
      <c r="O7" s="3317"/>
      <c r="P7" s="3317"/>
    </row>
    <row r="8" spans="1:16" x14ac:dyDescent="0.2">
      <c r="B8" s="1420"/>
      <c r="C8" s="1420"/>
      <c r="D8" s="1420"/>
      <c r="E8" s="1420"/>
      <c r="F8" s="1420"/>
      <c r="G8" s="1420"/>
      <c r="H8" s="1420"/>
      <c r="I8" s="1420"/>
      <c r="J8" s="1420"/>
      <c r="K8" s="1420"/>
    </row>
    <row r="10" spans="1:16" x14ac:dyDescent="0.2">
      <c r="A10" s="1421" t="s">
        <v>269</v>
      </c>
      <c r="H10" s="3312" t="s">
        <v>48</v>
      </c>
      <c r="I10" s="3321"/>
      <c r="J10" s="3321"/>
      <c r="K10" s="3321"/>
      <c r="L10" s="1422">
        <f>B13</f>
        <v>42735</v>
      </c>
      <c r="M10" s="1422">
        <f>C13</f>
        <v>43100</v>
      </c>
      <c r="N10" s="1422">
        <f>D13</f>
        <v>43465</v>
      </c>
      <c r="O10" s="1422">
        <f>E13</f>
        <v>43281</v>
      </c>
      <c r="P10" s="1422">
        <f>F13</f>
        <v>43646</v>
      </c>
    </row>
    <row r="11" spans="1:16" x14ac:dyDescent="0.2">
      <c r="H11" s="3322" t="s">
        <v>430</v>
      </c>
      <c r="I11" s="3321"/>
      <c r="J11" s="3321"/>
      <c r="K11" s="3321"/>
      <c r="L11" s="1423">
        <f>Indicadores!D31</f>
        <v>0</v>
      </c>
      <c r="M11" s="1423">
        <f>Indicadores!E31</f>
        <v>0</v>
      </c>
      <c r="N11" s="1423">
        <f>Indicadores!F31</f>
        <v>0</v>
      </c>
      <c r="O11" s="1423">
        <f>Indicadores!G31</f>
        <v>0</v>
      </c>
      <c r="P11" s="1423">
        <f>Indicadores!H31</f>
        <v>0</v>
      </c>
    </row>
    <row r="12" spans="1:16" x14ac:dyDescent="0.2">
      <c r="A12" s="3310"/>
      <c r="B12" s="3318" t="s">
        <v>420</v>
      </c>
      <c r="C12" s="3319"/>
      <c r="D12" s="3319"/>
      <c r="E12" s="3319"/>
      <c r="F12" s="3320"/>
      <c r="H12" s="3322" t="s">
        <v>433</v>
      </c>
      <c r="I12" s="3321"/>
      <c r="J12" s="3321"/>
      <c r="K12" s="3321"/>
      <c r="L12" s="1424">
        <f>L11/VLOOKUP(L10,TRM,2,0)</f>
        <v>0</v>
      </c>
      <c r="M12" s="1424">
        <f>M11/VLOOKUP(M10,TRM,2,0)</f>
        <v>0</v>
      </c>
      <c r="N12" s="1424">
        <f>N11/VLOOKUP(N10,TRM,2,0)</f>
        <v>0</v>
      </c>
      <c r="O12" s="1424">
        <f>O11/VLOOKUP(O10,TRM,2,0)</f>
        <v>0</v>
      </c>
      <c r="P12" s="1424">
        <f>P11/VLOOKUP(P10,TRM,2,0)</f>
        <v>0</v>
      </c>
    </row>
    <row r="13" spans="1:16" x14ac:dyDescent="0.2">
      <c r="A13" s="3311"/>
      <c r="B13" s="1422">
        <f>'Info Entrada'!C1</f>
        <v>42735</v>
      </c>
      <c r="C13" s="1422">
        <f>'Info Entrada'!D1</f>
        <v>43100</v>
      </c>
      <c r="D13" s="1422">
        <f>'Info Entrada'!E1</f>
        <v>43465</v>
      </c>
      <c r="E13" s="1422">
        <f>'Info Entrada'!F1</f>
        <v>43281</v>
      </c>
      <c r="F13" s="1422">
        <f>'Info Entrada'!G1</f>
        <v>43646</v>
      </c>
      <c r="H13" s="3322" t="s">
        <v>437</v>
      </c>
      <c r="I13" s="3321"/>
      <c r="J13" s="3321"/>
      <c r="K13" s="3321"/>
      <c r="L13" s="1424" t="str">
        <f>IFERROR(Indicadores!D49,"n.d.")</f>
        <v>n.d.</v>
      </c>
      <c r="M13" s="1424" t="str">
        <f>IFERROR(Indicadores!E49,"n.d.")</f>
        <v>n.d.</v>
      </c>
      <c r="N13" s="1424" t="str">
        <f>IFERROR(Indicadores!F49,"n.d.")</f>
        <v>n.d.</v>
      </c>
      <c r="O13" s="1424" t="e">
        <f>Indicadores!G49</f>
        <v>#DIV/0!</v>
      </c>
      <c r="P13" s="1424" t="e">
        <f>Indicadores!H49</f>
        <v>#DIV/0!</v>
      </c>
    </row>
    <row r="14" spans="1:16" x14ac:dyDescent="0.2">
      <c r="A14" s="1425" t="s">
        <v>434</v>
      </c>
      <c r="B14" s="1425">
        <f>'Info Entrada'!C77</f>
        <v>0</v>
      </c>
      <c r="C14" s="1425">
        <f>'Info Entrada'!D77</f>
        <v>0</v>
      </c>
      <c r="D14" s="1425">
        <f>'Info Entrada'!E77</f>
        <v>0</v>
      </c>
      <c r="E14" s="1425">
        <f>'Info Entrada'!F77</f>
        <v>0</v>
      </c>
      <c r="F14" s="1425">
        <f>'Info Entrada'!G77</f>
        <v>0</v>
      </c>
      <c r="H14" s="3322" t="s">
        <v>587</v>
      </c>
      <c r="I14" s="3321"/>
      <c r="J14" s="3321"/>
      <c r="K14" s="3321"/>
      <c r="L14" s="1426" t="str">
        <f>IFERROR(('Info Entrada'!C215+'Info Entrada'!C216+'Info Entrada'!C217)/('Info Entrada'!C180+'Info Entrada'!C185+'Info Entrada'!C188-'Info Entrada'!C218-'Info Entrada'!C219-'Info Entrada'!C226),"n.d.")</f>
        <v>n.d.</v>
      </c>
      <c r="M14" s="1426" t="str">
        <f>IFERROR(('Info Entrada'!D215+'Info Entrada'!D216+'Info Entrada'!D217)/('Info Entrada'!D180+'Info Entrada'!D185+'Info Entrada'!D188-'Info Entrada'!D218-'Info Entrada'!D219-'Info Entrada'!D226),"n.d.")</f>
        <v>n.d.</v>
      </c>
      <c r="N14" s="1426" t="str">
        <f>IFERROR(('Info Entrada'!E215+'Info Entrada'!E216+'Info Entrada'!E217)/('Info Entrada'!E180+'Info Entrada'!E185+'Info Entrada'!E188-'Info Entrada'!E218-'Info Entrada'!E219-'Info Entrada'!E226),"n.d.")</f>
        <v>n.d.</v>
      </c>
      <c r="O14" s="1426" t="e">
        <f>('Info Entrada'!F215+'Info Entrada'!F216+'Info Entrada'!F217)/('Info Entrada'!F180+'Info Entrada'!F185+'Info Entrada'!F188-'Info Entrada'!F218-'Info Entrada'!F219-'Info Entrada'!F226)</f>
        <v>#DIV/0!</v>
      </c>
      <c r="P14" s="1426" t="e">
        <f>('Info Entrada'!G215+'Info Entrada'!G216+'Info Entrada'!G217)/('Info Entrada'!G180+'Info Entrada'!G185+'Info Entrada'!G188-'Info Entrada'!G218-'Info Entrada'!G219-'Info Entrada'!G226)</f>
        <v>#DIV/0!</v>
      </c>
    </row>
    <row r="15" spans="1:16" x14ac:dyDescent="0.2">
      <c r="A15" s="1425" t="s">
        <v>438</v>
      </c>
      <c r="B15" s="1427" t="s">
        <v>953</v>
      </c>
      <c r="C15" s="1427" t="str">
        <f>IF('Info Entrada'!C77=0,"N.A.",('Info Entrada'!D77/'Info Entrada'!C77)-1)</f>
        <v>N.A.</v>
      </c>
      <c r="D15" s="1427" t="str">
        <f>IF('Info Entrada'!D77=0,"N.A.",('Info Entrada'!E77/'Info Entrada'!D77)-1)</f>
        <v>N.A.</v>
      </c>
      <c r="E15" s="1427" t="s">
        <v>953</v>
      </c>
      <c r="F15" s="1427" t="str">
        <f>IF('Info Entrada'!E77=0,"N.A.",((('Info Entrada'!G77/MONTH(F13))*12)/'Info Entrada'!E77)-1)</f>
        <v>N.A.</v>
      </c>
      <c r="H15" s="3322" t="s">
        <v>588</v>
      </c>
      <c r="I15" s="3321"/>
      <c r="J15" s="3321"/>
      <c r="K15" s="3321"/>
      <c r="L15" s="1426" t="str">
        <f>IFERROR(('Info Entrada'!C215+'Info Entrada'!C216+'Info Entrada'!C217+'Info Entrada'!C228+'Info Entrada'!C229+'Info Entrada'!C235)/('Info Entrada'!C180+'Info Entrada'!C185+'Info Entrada'!C188-'Info Entrada'!C218-'Info Entrada'!C219-'Info Entrada'!C226),"n.d.")</f>
        <v>n.d.</v>
      </c>
      <c r="M15" s="1426" t="str">
        <f>IFERROR(('Info Entrada'!D215+'Info Entrada'!D216+'Info Entrada'!D217+'Info Entrada'!D228+'Info Entrada'!D229+'Info Entrada'!D235)/('Info Entrada'!D180+'Info Entrada'!D185+'Info Entrada'!D188-'Info Entrada'!D218-'Info Entrada'!D219-'Info Entrada'!D226),"n.d.")</f>
        <v>n.d.</v>
      </c>
      <c r="N15" s="1426" t="str">
        <f>IFERROR(('Info Entrada'!E215+'Info Entrada'!E216+'Info Entrada'!E217+'Info Entrada'!E228+'Info Entrada'!E229+'Info Entrada'!E235)/('Info Entrada'!E180+'Info Entrada'!E185+'Info Entrada'!E188-'Info Entrada'!E218-'Info Entrada'!E219-'Info Entrada'!E226),"n.d.")</f>
        <v>n.d.</v>
      </c>
      <c r="O15" s="1426" t="e">
        <f>('Info Entrada'!F215+'Info Entrada'!F216+'Info Entrada'!F217+'Info Entrada'!F228+'Info Entrada'!F229+'Info Entrada'!F235)/('Info Entrada'!F180+'Info Entrada'!F185+'Info Entrada'!F188-'Info Entrada'!F218-'Info Entrada'!F219-'Info Entrada'!F226)</f>
        <v>#DIV/0!</v>
      </c>
      <c r="P15" s="1426" t="e">
        <f>('Info Entrada'!G215+'Info Entrada'!G216+'Info Entrada'!G217+'Info Entrada'!G228+'Info Entrada'!G229+'Info Entrada'!G235)/('Info Entrada'!G180+'Info Entrada'!G185+'Info Entrada'!G188-'Info Entrada'!G218-'Info Entrada'!G219-'Info Entrada'!G226)</f>
        <v>#DIV/0!</v>
      </c>
    </row>
    <row r="16" spans="1:16" x14ac:dyDescent="0.2">
      <c r="A16" s="1425" t="s">
        <v>435</v>
      </c>
      <c r="B16" s="1425">
        <f>'Info Entrada'!C119</f>
        <v>0</v>
      </c>
      <c r="C16" s="1425">
        <f>'Info Entrada'!D119</f>
        <v>0</v>
      </c>
      <c r="D16" s="1425">
        <f>'Info Entrada'!E119</f>
        <v>0</v>
      </c>
      <c r="E16" s="1425">
        <f>'Info Entrada'!F119</f>
        <v>0</v>
      </c>
      <c r="F16" s="1425">
        <f>'Info Entrada'!G119</f>
        <v>0</v>
      </c>
      <c r="H16" s="3322" t="s">
        <v>440</v>
      </c>
      <c r="I16" s="3321"/>
      <c r="J16" s="3321"/>
      <c r="K16" s="3321"/>
      <c r="L16" s="1423" t="str">
        <f>IFERROR(Indicadores!D33,"n.d.")</f>
        <v>n.d.</v>
      </c>
      <c r="M16" s="1423" t="str">
        <f>IFERROR(Indicadores!E33,"n.d.")</f>
        <v>n.d.</v>
      </c>
      <c r="N16" s="1423" t="str">
        <f>IFERROR(Indicadores!F33,"n.d.")</f>
        <v>n.d.</v>
      </c>
      <c r="O16" s="1423" t="e">
        <f>Indicadores!G33</f>
        <v>#DIV/0!</v>
      </c>
      <c r="P16" s="1423" t="e">
        <f>Indicadores!H33</f>
        <v>#DIV/0!</v>
      </c>
    </row>
    <row r="17" spans="1:16" x14ac:dyDescent="0.2">
      <c r="A17" s="1425" t="s">
        <v>442</v>
      </c>
      <c r="B17" s="1425">
        <f>'Info Entrada'!C124</f>
        <v>0</v>
      </c>
      <c r="C17" s="1425">
        <f>'Info Entrada'!D124</f>
        <v>0</v>
      </c>
      <c r="D17" s="1425">
        <f>'Info Entrada'!E124</f>
        <v>0</v>
      </c>
      <c r="E17" s="1425">
        <f>'Info Entrada'!F124</f>
        <v>0</v>
      </c>
      <c r="F17" s="1425">
        <f>'Info Entrada'!G124</f>
        <v>0</v>
      </c>
      <c r="H17" s="3322" t="s">
        <v>441</v>
      </c>
      <c r="I17" s="3321"/>
      <c r="J17" s="3321"/>
      <c r="K17" s="3321"/>
      <c r="L17" s="1423" t="str">
        <f>IFERROR((('Info Entrada'!C177+'Info Entrada'!C178)/'Info Entrada'!C77)*((360/12)*Indicadores!D11),"n.d.")</f>
        <v>n.d.</v>
      </c>
      <c r="M17" s="1423" t="str">
        <f>IFERROR((('Info Entrada'!D177+'Info Entrada'!D178)/'Info Entrada'!D77)*((360/12)*Indicadores!E11),"n.d.")</f>
        <v>n.d.</v>
      </c>
      <c r="N17" s="1423" t="str">
        <f>IFERROR((('Info Entrada'!E177+'Info Entrada'!E178)/'Info Entrada'!E77)*((360/12)*Indicadores!F11),"n.d.")</f>
        <v>n.d.</v>
      </c>
      <c r="O17" s="1423" t="e">
        <f>(('Info Entrada'!F177+'Info Entrada'!F178)/'Info Entrada'!F77)*((360/12)*Indicadores!G11)</f>
        <v>#DIV/0!</v>
      </c>
      <c r="P17" s="1423" t="e">
        <f>(('Info Entrada'!G177+'Info Entrada'!G178)/'Info Entrada'!G77)*((360/12)*Indicadores!H11)</f>
        <v>#DIV/0!</v>
      </c>
    </row>
    <row r="18" spans="1:16" x14ac:dyDescent="0.2">
      <c r="A18" s="1425" t="s">
        <v>445</v>
      </c>
      <c r="B18" s="1425">
        <f>'Estado de Resultados'!D35</f>
        <v>0</v>
      </c>
      <c r="C18" s="1425">
        <f>'Estado de Resultados'!F35</f>
        <v>0</v>
      </c>
      <c r="D18" s="1425">
        <f>'Estado de Resultados'!H35</f>
        <v>0</v>
      </c>
      <c r="E18" s="1425">
        <f>'Estado de Resultados'!J35</f>
        <v>0</v>
      </c>
      <c r="F18" s="1425">
        <f>'Estado de Resultados'!L35</f>
        <v>0</v>
      </c>
      <c r="H18" s="3322" t="s">
        <v>444</v>
      </c>
      <c r="I18" s="3321"/>
      <c r="J18" s="3321"/>
      <c r="K18" s="3321"/>
      <c r="L18" s="1423">
        <f>Indicadores!D34</f>
        <v>0</v>
      </c>
      <c r="M18" s="1423">
        <f>Indicadores!E34</f>
        <v>0</v>
      </c>
      <c r="N18" s="1423">
        <f>Indicadores!F34</f>
        <v>0</v>
      </c>
      <c r="O18" s="1423">
        <f>Indicadores!G34</f>
        <v>0</v>
      </c>
      <c r="P18" s="1423">
        <f>Indicadores!H34</f>
        <v>0</v>
      </c>
    </row>
    <row r="19" spans="1:16" x14ac:dyDescent="0.2">
      <c r="A19" s="1425" t="s">
        <v>447</v>
      </c>
      <c r="B19" s="1425">
        <f>'Info Entrada'!C168</f>
        <v>0</v>
      </c>
      <c r="C19" s="1425">
        <f>'Info Entrada'!D168</f>
        <v>0</v>
      </c>
      <c r="D19" s="1425">
        <f>'Info Entrada'!E168</f>
        <v>0</v>
      </c>
      <c r="E19" s="1425">
        <f>'Info Entrada'!F168</f>
        <v>0</v>
      </c>
      <c r="F19" s="1425">
        <f>'Info Entrada'!G168</f>
        <v>0</v>
      </c>
      <c r="H19" s="3322" t="s">
        <v>446</v>
      </c>
      <c r="I19" s="3321"/>
      <c r="J19" s="3321"/>
      <c r="K19" s="3321"/>
      <c r="L19" s="1423" t="str">
        <f>IFERROR(Indicadores!D35,"n.d.")</f>
        <v>n.d.</v>
      </c>
      <c r="M19" s="1423" t="str">
        <f>IFERROR(Indicadores!E35,"n.d.")</f>
        <v>n.d.</v>
      </c>
      <c r="N19" s="1423" t="str">
        <f>IFERROR(Indicadores!F35,"n.d.")</f>
        <v>n.d.</v>
      </c>
      <c r="O19" s="1423" t="e">
        <f>Indicadores!G35</f>
        <v>#DIV/0!</v>
      </c>
      <c r="P19" s="1423" t="e">
        <f>Indicadores!H35</f>
        <v>#DIV/0!</v>
      </c>
    </row>
    <row r="20" spans="1:16" x14ac:dyDescent="0.2">
      <c r="H20" s="289"/>
      <c r="P20" s="1428"/>
    </row>
    <row r="21" spans="1:16" x14ac:dyDescent="0.2">
      <c r="H21" s="3323" t="s">
        <v>268</v>
      </c>
      <c r="I21" s="3166"/>
      <c r="J21" s="3166"/>
      <c r="K21" s="3324"/>
      <c r="L21" s="2172" t="s">
        <v>420</v>
      </c>
      <c r="M21" s="2173"/>
      <c r="N21" s="2177"/>
      <c r="O21" s="1429"/>
    </row>
    <row r="22" spans="1:16" x14ac:dyDescent="0.2">
      <c r="A22" s="1430"/>
      <c r="B22" s="1422">
        <f>B13</f>
        <v>42735</v>
      </c>
      <c r="C22" s="1422">
        <f>C13</f>
        <v>43100</v>
      </c>
      <c r="D22" s="1422">
        <f>D13</f>
        <v>43465</v>
      </c>
      <c r="E22" s="1422">
        <f>E13</f>
        <v>43281</v>
      </c>
      <c r="F22" s="1422">
        <f>F13</f>
        <v>43646</v>
      </c>
      <c r="H22" s="3325"/>
      <c r="I22" s="3326"/>
      <c r="J22" s="3326"/>
      <c r="K22" s="3327"/>
      <c r="L22" s="1422">
        <f>C13</f>
        <v>43100</v>
      </c>
      <c r="M22" s="2174">
        <f>D13</f>
        <v>43465</v>
      </c>
      <c r="N22" s="2178">
        <f>F13</f>
        <v>43646</v>
      </c>
    </row>
    <row r="23" spans="1:16" ht="12" x14ac:dyDescent="0.2">
      <c r="A23" s="1425" t="s">
        <v>596</v>
      </c>
      <c r="B23" s="1431">
        <f>'Info Entrada'!C114</f>
        <v>0</v>
      </c>
      <c r="C23" s="1431">
        <f>'Info Entrada'!D114</f>
        <v>0</v>
      </c>
      <c r="D23" s="1431">
        <f>'Info Entrada'!E114</f>
        <v>0</v>
      </c>
      <c r="E23" s="1431">
        <f>'Info Entrada'!F114</f>
        <v>0</v>
      </c>
      <c r="F23" s="1431">
        <f>'Info Entrada'!G114</f>
        <v>0</v>
      </c>
      <c r="H23" s="3308" t="str">
        <f>Cuadros!L27</f>
        <v>Utilidad Operacional</v>
      </c>
      <c r="I23" s="3309"/>
      <c r="J23" s="3309"/>
      <c r="K23" s="3309"/>
      <c r="L23" s="1432">
        <f>Cuadros!N27</f>
        <v>0</v>
      </c>
      <c r="M23" s="2175">
        <f>Cuadros!O27</f>
        <v>0</v>
      </c>
      <c r="N23" s="2179">
        <f>Cuadros!AH27</f>
        <v>0</v>
      </c>
    </row>
    <row r="24" spans="1:16" ht="12" x14ac:dyDescent="0.2">
      <c r="A24" s="1425" t="s">
        <v>452</v>
      </c>
      <c r="B24" s="1431">
        <f>'Info Entrada'!C120</f>
        <v>0</v>
      </c>
      <c r="C24" s="1431">
        <f>'Info Entrada'!D120</f>
        <v>0</v>
      </c>
      <c r="D24" s="1431">
        <f>'Info Entrada'!E120</f>
        <v>0</v>
      </c>
      <c r="E24" s="1431">
        <f>'Info Entrada'!F120</f>
        <v>0</v>
      </c>
      <c r="F24" s="1431">
        <f>'Info Entrada'!G120</f>
        <v>0</v>
      </c>
      <c r="H24" s="3308" t="str">
        <f>Cuadros!L28</f>
        <v>+ Depreciaciones / Amortizaciones</v>
      </c>
      <c r="I24" s="3309"/>
      <c r="J24" s="3309"/>
      <c r="K24" s="3309"/>
      <c r="L24" s="1432">
        <f>Cuadros!N28</f>
        <v>0</v>
      </c>
      <c r="M24" s="2175">
        <f>Cuadros!O28</f>
        <v>0</v>
      </c>
      <c r="N24" s="2179">
        <f>Cuadros!AH28</f>
        <v>0</v>
      </c>
    </row>
    <row r="25" spans="1:16" ht="12" x14ac:dyDescent="0.2">
      <c r="A25" s="1425" t="s">
        <v>455</v>
      </c>
      <c r="B25" s="1431">
        <f>'Info Entrada'!C169</f>
        <v>0</v>
      </c>
      <c r="C25" s="1431">
        <f>'Info Entrada'!D169</f>
        <v>0</v>
      </c>
      <c r="D25" s="1431">
        <f>'Info Entrada'!E169</f>
        <v>0</v>
      </c>
      <c r="E25" s="1431">
        <f>'Info Entrada'!F169</f>
        <v>0</v>
      </c>
      <c r="F25" s="1431">
        <f>'Info Entrada'!G169</f>
        <v>0</v>
      </c>
      <c r="H25" s="3308" t="str">
        <f>Cuadros!L29</f>
        <v>Ebitda</v>
      </c>
      <c r="I25" s="3309"/>
      <c r="J25" s="3309"/>
      <c r="K25" s="3309"/>
      <c r="L25" s="1432">
        <f>Cuadros!N29</f>
        <v>0</v>
      </c>
      <c r="M25" s="2175">
        <f>Cuadros!O29</f>
        <v>0</v>
      </c>
      <c r="N25" s="2179">
        <f>Cuadros!AH29</f>
        <v>0</v>
      </c>
    </row>
    <row r="26" spans="1:16" ht="12" x14ac:dyDescent="0.2">
      <c r="A26" s="1425" t="s">
        <v>378</v>
      </c>
      <c r="B26" s="1431" t="str">
        <f>IFERROR(B19/B35,"")</f>
        <v/>
      </c>
      <c r="C26" s="1431" t="str">
        <f>IFERROR(C19/C35,"")</f>
        <v/>
      </c>
      <c r="D26" s="1431" t="str">
        <f t="shared" ref="D26:F26" si="0">IFERROR(D19/D35,"")</f>
        <v/>
      </c>
      <c r="E26" s="1431" t="str">
        <f t="shared" si="0"/>
        <v/>
      </c>
      <c r="F26" s="1431" t="str">
        <f t="shared" si="0"/>
        <v/>
      </c>
      <c r="H26" s="3308" t="str">
        <f>Cuadros!L30</f>
        <v>+ Provisiones</v>
      </c>
      <c r="I26" s="3309"/>
      <c r="J26" s="3309"/>
      <c r="K26" s="3309"/>
      <c r="L26" s="1432">
        <f>Cuadros!N30</f>
        <v>0</v>
      </c>
      <c r="M26" s="2175">
        <f>Cuadros!O30</f>
        <v>0</v>
      </c>
      <c r="N26" s="2179">
        <f>Cuadros!AH30</f>
        <v>0</v>
      </c>
    </row>
    <row r="27" spans="1:16" ht="12" x14ac:dyDescent="0.2">
      <c r="A27" s="1425" t="s">
        <v>376</v>
      </c>
      <c r="B27" s="1431" t="str">
        <f>IFERROR(B19/B37,"")</f>
        <v/>
      </c>
      <c r="C27" s="1431" t="str">
        <f t="shared" ref="C27:F27" si="1">IFERROR(C19/C37,"")</f>
        <v/>
      </c>
      <c r="D27" s="1431" t="str">
        <f t="shared" si="1"/>
        <v/>
      </c>
      <c r="E27" s="1431" t="str">
        <f t="shared" si="1"/>
        <v/>
      </c>
      <c r="F27" s="1431" t="str">
        <f t="shared" si="1"/>
        <v/>
      </c>
      <c r="H27" s="3308" t="str">
        <f>Cuadros!L31</f>
        <v>+/- Otros ajustes</v>
      </c>
      <c r="I27" s="3309"/>
      <c r="J27" s="3309"/>
      <c r="K27" s="3309"/>
      <c r="L27" s="1432">
        <f>Cuadros!N31</f>
        <v>0</v>
      </c>
      <c r="M27" s="2175">
        <f>Cuadros!O31</f>
        <v>0</v>
      </c>
      <c r="N27" s="2179">
        <f>Cuadros!AH31</f>
        <v>0</v>
      </c>
    </row>
    <row r="28" spans="1:16" ht="12" x14ac:dyDescent="0.2">
      <c r="H28" s="3308" t="str">
        <f>Cuadros!L32</f>
        <v>- Impuestos</v>
      </c>
      <c r="I28" s="3309"/>
      <c r="J28" s="3309"/>
      <c r="K28" s="3309"/>
      <c r="L28" s="1432">
        <f ca="1">Cuadros!N32</f>
        <v>0</v>
      </c>
      <c r="M28" s="2175">
        <f ca="1">Cuadros!O32</f>
        <v>0</v>
      </c>
      <c r="N28" s="2179">
        <f ca="1">Cuadros!AH32</f>
        <v>0</v>
      </c>
    </row>
    <row r="29" spans="1:16" ht="12" x14ac:dyDescent="0.2">
      <c r="A29" s="1433"/>
      <c r="B29" s="1434"/>
      <c r="C29" s="1434"/>
      <c r="D29" s="1434"/>
      <c r="E29" s="1434"/>
      <c r="F29" s="1434"/>
      <c r="H29" s="3308" t="str">
        <f>Cuadros!L33</f>
        <v xml:space="preserve">+/- Variación en Capital Circulante Operativo </v>
      </c>
      <c r="I29" s="3309"/>
      <c r="J29" s="3309"/>
      <c r="K29" s="3309"/>
      <c r="L29" s="1432">
        <f ca="1">Cuadros!N33</f>
        <v>0</v>
      </c>
      <c r="M29" s="2175">
        <f ca="1">Cuadros!O33</f>
        <v>0</v>
      </c>
      <c r="N29" s="2179">
        <f ca="1">Cuadros!AH33</f>
        <v>0</v>
      </c>
    </row>
    <row r="30" spans="1:16" ht="12" x14ac:dyDescent="0.2">
      <c r="A30" s="1434"/>
      <c r="B30" s="1434"/>
      <c r="C30" s="1434"/>
      <c r="D30" s="1434"/>
      <c r="E30" s="1434"/>
      <c r="F30" s="1434"/>
      <c r="H30" s="3313" t="str">
        <f>Cuadros!L34</f>
        <v>Flujo de caja operativo FCO</v>
      </c>
      <c r="I30" s="3314"/>
      <c r="J30" s="3314"/>
      <c r="K30" s="3315"/>
      <c r="L30" s="1435">
        <f ca="1">Cuadros!N34</f>
        <v>0</v>
      </c>
      <c r="M30" s="2176">
        <f ca="1">Cuadros!O34</f>
        <v>0</v>
      </c>
      <c r="N30" s="2180">
        <f ca="1">Cuadros!AH34</f>
        <v>0</v>
      </c>
    </row>
    <row r="31" spans="1:16" ht="12" x14ac:dyDescent="0.2">
      <c r="A31" s="1421" t="s">
        <v>270</v>
      </c>
      <c r="H31" s="3308" t="str">
        <f>Cuadros!L35</f>
        <v>+ Ingresos Financieros</v>
      </c>
      <c r="I31" s="3309"/>
      <c r="J31" s="3309"/>
      <c r="K31" s="3309"/>
      <c r="L31" s="1432">
        <f>Cuadros!N35</f>
        <v>0</v>
      </c>
      <c r="M31" s="2175">
        <f>Cuadros!O35</f>
        <v>0</v>
      </c>
      <c r="N31" s="2179">
        <f>Cuadros!AH35</f>
        <v>0</v>
      </c>
    </row>
    <row r="32" spans="1:16" ht="12" x14ac:dyDescent="0.2">
      <c r="H32" s="3308" t="str">
        <f>Cuadros!L36</f>
        <v>- Gastos Financieros</v>
      </c>
      <c r="I32" s="3309"/>
      <c r="J32" s="3309"/>
      <c r="K32" s="3309"/>
      <c r="L32" s="1432">
        <f>Cuadros!N36</f>
        <v>0</v>
      </c>
      <c r="M32" s="2175">
        <f>Cuadros!O36</f>
        <v>0</v>
      </c>
      <c r="N32" s="2179">
        <f>Cuadros!AH36</f>
        <v>0</v>
      </c>
    </row>
    <row r="33" spans="1:14" ht="12" x14ac:dyDescent="0.2">
      <c r="A33" s="3310"/>
      <c r="B33" s="3312" t="s">
        <v>420</v>
      </c>
      <c r="C33" s="3312"/>
      <c r="D33" s="3312"/>
      <c r="E33" s="3312"/>
      <c r="F33" s="3312"/>
      <c r="H33" s="3308" t="str">
        <f>Cuadros!L37</f>
        <v>+/- Utilidades (Pérdidas) por Asociadas</v>
      </c>
      <c r="I33" s="3309"/>
      <c r="J33" s="3309"/>
      <c r="K33" s="3309"/>
      <c r="L33" s="1432">
        <f>Cuadros!N37</f>
        <v>0</v>
      </c>
      <c r="M33" s="2175">
        <f>Cuadros!O37</f>
        <v>0</v>
      </c>
      <c r="N33" s="2179">
        <f>Cuadros!AH37</f>
        <v>0</v>
      </c>
    </row>
    <row r="34" spans="1:14" ht="12" x14ac:dyDescent="0.2">
      <c r="A34" s="3311"/>
      <c r="B34" s="1422">
        <f>B13</f>
        <v>42735</v>
      </c>
      <c r="C34" s="1422">
        <f>C13</f>
        <v>43100</v>
      </c>
      <c r="D34" s="1422">
        <f>D13</f>
        <v>43465</v>
      </c>
      <c r="E34" s="1422">
        <f>E13</f>
        <v>43281</v>
      </c>
      <c r="F34" s="1422">
        <f>F13</f>
        <v>43646</v>
      </c>
      <c r="H34" s="3308" t="str">
        <f>Cuadros!L38</f>
        <v>+/- Ingresos (Gastos) no operacionales</v>
      </c>
      <c r="I34" s="3309"/>
      <c r="J34" s="3309"/>
      <c r="K34" s="3309"/>
      <c r="L34" s="1432">
        <f>Cuadros!N38</f>
        <v>0</v>
      </c>
      <c r="M34" s="2175">
        <f>Cuadros!O38</f>
        <v>0</v>
      </c>
      <c r="N34" s="2179">
        <f>Cuadros!AH38</f>
        <v>0</v>
      </c>
    </row>
    <row r="35" spans="1:14" ht="12" x14ac:dyDescent="0.2">
      <c r="A35" s="1436" t="s">
        <v>436</v>
      </c>
      <c r="B35" s="1425">
        <f>'Info Entrada'!C172</f>
        <v>0</v>
      </c>
      <c r="C35" s="1425">
        <f>'Info Entrada'!D172</f>
        <v>0</v>
      </c>
      <c r="D35" s="1425">
        <f>'Info Entrada'!E172</f>
        <v>0</v>
      </c>
      <c r="E35" s="1425">
        <f>'Info Entrada'!F172</f>
        <v>0</v>
      </c>
      <c r="F35" s="1425">
        <f>'Info Entrada'!G172</f>
        <v>0</v>
      </c>
      <c r="H35" s="3308" t="str">
        <f>Cuadros!L39</f>
        <v>- Inversiones en activo fijo</v>
      </c>
      <c r="I35" s="3309"/>
      <c r="J35" s="3309"/>
      <c r="K35" s="3309"/>
      <c r="L35" s="1432">
        <f ca="1">Cuadros!N39</f>
        <v>0</v>
      </c>
      <c r="M35" s="2175">
        <f ca="1">Cuadros!O39</f>
        <v>0</v>
      </c>
      <c r="N35" s="2179">
        <f ca="1">Cuadros!AH39</f>
        <v>0</v>
      </c>
    </row>
    <row r="36" spans="1:14" ht="12" x14ac:dyDescent="0.2">
      <c r="A36" s="1436" t="s">
        <v>439</v>
      </c>
      <c r="B36" s="1425">
        <f>'Info Entrada'!C213</f>
        <v>0</v>
      </c>
      <c r="C36" s="1425">
        <f>'Info Entrada'!D213</f>
        <v>0</v>
      </c>
      <c r="D36" s="1425">
        <f>'Info Entrada'!E213</f>
        <v>0</v>
      </c>
      <c r="E36" s="1425">
        <f>'Info Entrada'!F213</f>
        <v>0</v>
      </c>
      <c r="F36" s="1425">
        <f>'Info Entrada'!G213</f>
        <v>0</v>
      </c>
      <c r="H36" s="3308" t="str">
        <f>Cuadros!L40</f>
        <v>- Adiciones Inversiones permanentes</v>
      </c>
      <c r="I36" s="3309"/>
      <c r="J36" s="3309"/>
      <c r="K36" s="3309"/>
      <c r="L36" s="1432">
        <f ca="1">Cuadros!N40</f>
        <v>0</v>
      </c>
      <c r="M36" s="2175">
        <f ca="1">Cuadros!O40</f>
        <v>0</v>
      </c>
      <c r="N36" s="2179">
        <f ca="1">Cuadros!AH40</f>
        <v>0</v>
      </c>
    </row>
    <row r="37" spans="1:14" ht="12" x14ac:dyDescent="0.2">
      <c r="A37" s="1436" t="s">
        <v>391</v>
      </c>
      <c r="B37" s="1425">
        <f>'Info Entrada'!C239</f>
        <v>0</v>
      </c>
      <c r="C37" s="1425">
        <f>'Info Entrada'!D239</f>
        <v>0</v>
      </c>
      <c r="D37" s="1425">
        <f>'Info Entrada'!E239</f>
        <v>0</v>
      </c>
      <c r="E37" s="1425">
        <f>'Info Entrada'!F239</f>
        <v>0</v>
      </c>
      <c r="F37" s="1425">
        <f>'Info Entrada'!G239</f>
        <v>0</v>
      </c>
      <c r="H37" s="3308" t="str">
        <f>Cuadros!L41</f>
        <v>- Diferidos e Intangibles</v>
      </c>
      <c r="I37" s="3309"/>
      <c r="J37" s="3309"/>
      <c r="K37" s="3309"/>
      <c r="L37" s="1432">
        <f ca="1">Cuadros!N41</f>
        <v>0</v>
      </c>
      <c r="M37" s="2175">
        <f ca="1">Cuadros!O41</f>
        <v>0</v>
      </c>
      <c r="N37" s="2179">
        <f ca="1">Cuadros!AH41</f>
        <v>0</v>
      </c>
    </row>
    <row r="38" spans="1:14" ht="12" x14ac:dyDescent="0.2">
      <c r="A38" s="1436" t="s">
        <v>443</v>
      </c>
      <c r="B38" s="1425">
        <f>'Info Entrada'!C239-'Info Entrada'!C250</f>
        <v>0</v>
      </c>
      <c r="C38" s="1425">
        <f>'Info Entrada'!D239-'Info Entrada'!D250</f>
        <v>0</v>
      </c>
      <c r="D38" s="1425">
        <f>'Info Entrada'!E239-'Info Entrada'!E250</f>
        <v>0</v>
      </c>
      <c r="E38" s="1425">
        <f>'Info Entrada'!F239-'Info Entrada'!F250</f>
        <v>0</v>
      </c>
      <c r="F38" s="1425">
        <f>'Info Entrada'!G239-'Info Entrada'!G250</f>
        <v>0</v>
      </c>
      <c r="H38" s="3308" t="str">
        <f>Cuadros!L42</f>
        <v>+ Capitalización (Recursos Frescos)</v>
      </c>
      <c r="I38" s="3309"/>
      <c r="J38" s="3309"/>
      <c r="K38" s="3309"/>
      <c r="L38" s="1432">
        <f>Cuadros!N42</f>
        <v>0</v>
      </c>
      <c r="M38" s="2175">
        <f>Cuadros!O42</f>
        <v>0</v>
      </c>
      <c r="N38" s="2179">
        <f>Cuadros!AH42</f>
        <v>0</v>
      </c>
    </row>
    <row r="39" spans="1:14" ht="12" x14ac:dyDescent="0.2">
      <c r="A39" s="1437"/>
      <c r="B39" s="1437"/>
      <c r="C39" s="1437"/>
      <c r="D39" s="1437"/>
      <c r="E39" s="1437"/>
      <c r="F39" s="1437"/>
      <c r="H39" s="3308" t="str">
        <f>Cuadros!L43</f>
        <v>+/- Préstamos al Grupo</v>
      </c>
      <c r="I39" s="3309"/>
      <c r="J39" s="3309"/>
      <c r="K39" s="3309"/>
      <c r="L39" s="1432">
        <f>Cuadros!N43</f>
        <v>0</v>
      </c>
      <c r="M39" s="2175">
        <f>Cuadros!O43</f>
        <v>0</v>
      </c>
      <c r="N39" s="2179">
        <f>Cuadros!AH43</f>
        <v>0</v>
      </c>
    </row>
    <row r="40" spans="1:14" ht="12" x14ac:dyDescent="0.2">
      <c r="A40" s="1437"/>
      <c r="B40" s="1437"/>
      <c r="C40" s="1437"/>
      <c r="D40" s="1437"/>
      <c r="E40" s="1437"/>
      <c r="F40" s="1437"/>
      <c r="H40" s="3308" t="str">
        <f>Cuadros!L44</f>
        <v>+/- Otras Variaciones en activos</v>
      </c>
      <c r="I40" s="3309"/>
      <c r="J40" s="3309"/>
      <c r="K40" s="3309"/>
      <c r="L40" s="1432">
        <f>Cuadros!N44</f>
        <v>0</v>
      </c>
      <c r="M40" s="2175">
        <f>Cuadros!O44</f>
        <v>0</v>
      </c>
      <c r="N40" s="2179">
        <f>Cuadros!AH44</f>
        <v>0</v>
      </c>
    </row>
    <row r="41" spans="1:14" ht="12" x14ac:dyDescent="0.2">
      <c r="A41" s="1438"/>
      <c r="B41" s="1422">
        <f>B13</f>
        <v>42735</v>
      </c>
      <c r="C41" s="1422">
        <f>C13</f>
        <v>43100</v>
      </c>
      <c r="D41" s="1422">
        <f>D13</f>
        <v>43465</v>
      </c>
      <c r="E41" s="1422">
        <f>E13</f>
        <v>43281</v>
      </c>
      <c r="F41" s="1422">
        <f>F13</f>
        <v>43646</v>
      </c>
      <c r="H41" s="3308" t="str">
        <f>Cuadros!L45</f>
        <v>+/- Otras Variaciones en pasivos</v>
      </c>
      <c r="I41" s="3309"/>
      <c r="J41" s="3309"/>
      <c r="K41" s="3309"/>
      <c r="L41" s="1432">
        <f>Cuadros!N45</f>
        <v>0</v>
      </c>
      <c r="M41" s="2175">
        <f>Cuadros!O45</f>
        <v>0</v>
      </c>
      <c r="N41" s="2179">
        <f>Cuadros!AH45</f>
        <v>0</v>
      </c>
    </row>
    <row r="42" spans="1:14" ht="12" x14ac:dyDescent="0.2">
      <c r="A42" s="1436" t="s">
        <v>449</v>
      </c>
      <c r="B42" s="1431" t="e">
        <f>B36/B35</f>
        <v>#DIV/0!</v>
      </c>
      <c r="C42" s="1431" t="e">
        <f>C36/C35</f>
        <v>#DIV/0!</v>
      </c>
      <c r="D42" s="1431" t="e">
        <f>D36/D35</f>
        <v>#DIV/0!</v>
      </c>
      <c r="E42" s="1431" t="e">
        <f>E36/E35</f>
        <v>#DIV/0!</v>
      </c>
      <c r="F42" s="1431" t="e">
        <f>F36/F35</f>
        <v>#DIV/0!</v>
      </c>
      <c r="H42" s="3308" t="str">
        <f>Cuadros!L46</f>
        <v>+/- Otros cambios en el patrimonio</v>
      </c>
      <c r="I42" s="3309"/>
      <c r="J42" s="3309"/>
      <c r="K42" s="3309"/>
      <c r="L42" s="1432">
        <f ca="1">Cuadros!N46</f>
        <v>0</v>
      </c>
      <c r="M42" s="2175">
        <f ca="1">Cuadros!O46</f>
        <v>0</v>
      </c>
      <c r="N42" s="2179">
        <f ca="1">Cuadros!AH46</f>
        <v>0</v>
      </c>
    </row>
    <row r="43" spans="1:14" ht="12" x14ac:dyDescent="0.2">
      <c r="A43" s="1436" t="s">
        <v>450</v>
      </c>
      <c r="B43" s="1431" t="e">
        <f>B36/(B35-'Info Entrada'!C250)</f>
        <v>#DIV/0!</v>
      </c>
      <c r="C43" s="1431" t="e">
        <f>C36/(C35-'Info Entrada'!D250)</f>
        <v>#DIV/0!</v>
      </c>
      <c r="D43" s="1431" t="e">
        <f>D36/(D35-'Info Entrada'!E250)</f>
        <v>#DIV/0!</v>
      </c>
      <c r="E43" s="1431" t="e">
        <f>E36/(E35-'Info Entrada'!F250)</f>
        <v>#DIV/0!</v>
      </c>
      <c r="F43" s="1431" t="e">
        <f>F36/(F35-'Info Entrada'!G250)</f>
        <v>#DIV/0!</v>
      </c>
      <c r="H43" s="3308" t="str">
        <f>Cuadros!L47</f>
        <v>- Dividendos Pagados</v>
      </c>
      <c r="I43" s="3309"/>
      <c r="J43" s="3309"/>
      <c r="K43" s="3309"/>
      <c r="L43" s="1432">
        <f ca="1">Cuadros!N47</f>
        <v>0</v>
      </c>
      <c r="M43" s="2175">
        <f ca="1">Cuadros!O47</f>
        <v>0</v>
      </c>
      <c r="N43" s="2179">
        <f ca="1">Cuadros!AH47</f>
        <v>0</v>
      </c>
    </row>
    <row r="44" spans="1:14" ht="12" x14ac:dyDescent="0.2">
      <c r="A44" s="1436" t="s">
        <v>454</v>
      </c>
      <c r="B44" s="1439" t="e">
        <f>B36/B37</f>
        <v>#DIV/0!</v>
      </c>
      <c r="C44" s="1439" t="e">
        <f>C36/C37</f>
        <v>#DIV/0!</v>
      </c>
      <c r="D44" s="1439" t="e">
        <f>D36/D37</f>
        <v>#DIV/0!</v>
      </c>
      <c r="E44" s="1439" t="e">
        <f>E36/E37</f>
        <v>#DIV/0!</v>
      </c>
      <c r="F44" s="1439" t="e">
        <f>F36/F37</f>
        <v>#DIV/0!</v>
      </c>
      <c r="H44" s="3313" t="str">
        <f>Cuadros!L48</f>
        <v>Flujo de Caja Libre</v>
      </c>
      <c r="I44" s="3314"/>
      <c r="J44" s="3314"/>
      <c r="K44" s="3315"/>
      <c r="L44" s="1435">
        <f>Cuadros!N48</f>
        <v>0</v>
      </c>
      <c r="M44" s="2176">
        <f>Cuadros!O48</f>
        <v>0</v>
      </c>
      <c r="N44" s="2180">
        <f>Cuadros!AH48</f>
        <v>0</v>
      </c>
    </row>
    <row r="45" spans="1:14" ht="12" x14ac:dyDescent="0.2">
      <c r="A45" s="1436" t="s">
        <v>457</v>
      </c>
      <c r="B45" s="1440" t="e">
        <f>B36/B38</f>
        <v>#DIV/0!</v>
      </c>
      <c r="C45" s="1440" t="e">
        <f>C36/C38</f>
        <v>#DIV/0!</v>
      </c>
      <c r="D45" s="1440" t="e">
        <f>D36/D38</f>
        <v>#DIV/0!</v>
      </c>
      <c r="E45" s="1440" t="e">
        <f>E36/E38</f>
        <v>#DIV/0!</v>
      </c>
      <c r="F45" s="1440" t="e">
        <f>F36/F38</f>
        <v>#DIV/0!</v>
      </c>
      <c r="H45" s="3308" t="str">
        <f>Cuadros!L49</f>
        <v>Variación en Deuda Financiera L/P</v>
      </c>
      <c r="I45" s="3309"/>
      <c r="J45" s="3309"/>
      <c r="K45" s="3309"/>
      <c r="L45" s="1432">
        <f>Cuadros!N49</f>
        <v>0</v>
      </c>
      <c r="M45" s="2175">
        <f>Cuadros!O49</f>
        <v>0</v>
      </c>
      <c r="N45" s="2179">
        <f>Cuadros!AH49</f>
        <v>0</v>
      </c>
    </row>
    <row r="46" spans="1:14" ht="12" x14ac:dyDescent="0.2">
      <c r="A46" s="1436" t="s">
        <v>494</v>
      </c>
      <c r="B46" s="1441" t="e">
        <f>B37/B35</f>
        <v>#DIV/0!</v>
      </c>
      <c r="C46" s="1441" t="e">
        <f>C37/C35</f>
        <v>#DIV/0!</v>
      </c>
      <c r="D46" s="1441" t="e">
        <f>D37/D35</f>
        <v>#DIV/0!</v>
      </c>
      <c r="E46" s="1441" t="e">
        <f>E37/E35</f>
        <v>#DIV/0!</v>
      </c>
      <c r="F46" s="1441" t="e">
        <f>F37/F35</f>
        <v>#DIV/0!</v>
      </c>
      <c r="H46" s="3308" t="str">
        <f>Cuadros!L50</f>
        <v>Variación en Deuda Financiera C/P</v>
      </c>
      <c r="I46" s="3309"/>
      <c r="J46" s="3309"/>
      <c r="K46" s="3309"/>
      <c r="L46" s="1432">
        <f>Cuadros!N50</f>
        <v>0</v>
      </c>
      <c r="M46" s="2175">
        <f>Cuadros!O50</f>
        <v>0</v>
      </c>
      <c r="N46" s="2179">
        <f>Cuadros!AH50</f>
        <v>0</v>
      </c>
    </row>
    <row r="47" spans="1:14" ht="12" x14ac:dyDescent="0.2">
      <c r="A47" s="1436" t="s">
        <v>558</v>
      </c>
      <c r="B47" s="1431" t="e">
        <f>('Info Entrada'!C213-'Info Entrada'!C219-'Info Entrada'!C220-'Info Entrada'!C231)/('Info Entrada'!C172-'Info Entrada'!C205-'Info Entrada'!C192-'Info Entrada'!C178)</f>
        <v>#DIV/0!</v>
      </c>
      <c r="C47" s="1431" t="e">
        <f>('Info Entrada'!D213-'Info Entrada'!D219-'Info Entrada'!D220-'Info Entrada'!D231)/('Info Entrada'!D172-'Info Entrada'!D205-'Info Entrada'!D192-'Info Entrada'!D178)</f>
        <v>#DIV/0!</v>
      </c>
      <c r="D47" s="1431" t="e">
        <f>('Info Entrada'!E213-'Info Entrada'!E219-'Info Entrada'!E220-'Info Entrada'!E231)/('Info Entrada'!E172-'Info Entrada'!E205-'Info Entrada'!E192-'Info Entrada'!E178)</f>
        <v>#DIV/0!</v>
      </c>
      <c r="E47" s="1431" t="e">
        <f>('Info Entrada'!F213-'Info Entrada'!F219-'Info Entrada'!F220-'Info Entrada'!F231)/('Info Entrada'!F172-'Info Entrada'!F205-'Info Entrada'!F192-'Info Entrada'!F178)</f>
        <v>#DIV/0!</v>
      </c>
      <c r="F47" s="1431" t="e">
        <f>('Info Entrada'!G213-'Info Entrada'!G219-'Info Entrada'!G220-'Info Entrada'!G231)/('Info Entrada'!G172-'Info Entrada'!G205-'Info Entrada'!G192-'Info Entrada'!G178)</f>
        <v>#DIV/0!</v>
      </c>
      <c r="H47" s="3308" t="str">
        <f>Cuadros!L51</f>
        <v>Efecto de las diferencias de cambio en Tesorería</v>
      </c>
      <c r="I47" s="3309"/>
      <c r="J47" s="3309"/>
      <c r="K47" s="3309"/>
      <c r="L47" s="1432">
        <f>Cuadros!N51</f>
        <v>0</v>
      </c>
      <c r="M47" s="2175">
        <f>Cuadros!O51</f>
        <v>0</v>
      </c>
      <c r="N47" s="2179">
        <f>Cuadros!AH51</f>
        <v>0</v>
      </c>
    </row>
    <row r="48" spans="1:14" ht="12" x14ac:dyDescent="0.2">
      <c r="H48" s="3308" t="str">
        <f>Cuadros!L52</f>
        <v>Variación en Efectivo e Inversiones Temporales</v>
      </c>
      <c r="I48" s="3309"/>
      <c r="J48" s="3309"/>
      <c r="K48" s="3309"/>
      <c r="L48" s="1432">
        <f>Cuadros!N52</f>
        <v>0</v>
      </c>
      <c r="M48" s="2175">
        <f>Cuadros!O52</f>
        <v>0</v>
      </c>
      <c r="N48" s="2179">
        <f>Cuadros!AH52</f>
        <v>0</v>
      </c>
    </row>
    <row r="49" spans="8:14" ht="12" x14ac:dyDescent="0.2">
      <c r="H49" s="3308" t="str">
        <f>Cuadros!L53</f>
        <v>Saldo inicial Tesorería</v>
      </c>
      <c r="I49" s="3309"/>
      <c r="J49" s="3309"/>
      <c r="K49" s="3309"/>
      <c r="L49" s="1432">
        <f>Cuadros!N53</f>
        <v>0</v>
      </c>
      <c r="M49" s="2175">
        <f>Cuadros!O53</f>
        <v>0</v>
      </c>
      <c r="N49" s="2179">
        <f>Cuadros!AH53</f>
        <v>0</v>
      </c>
    </row>
    <row r="50" spans="8:14" ht="12" x14ac:dyDescent="0.2">
      <c r="H50" s="3308" t="str">
        <f>Cuadros!L54</f>
        <v>Saldo Final Tesorería</v>
      </c>
      <c r="I50" s="3309"/>
      <c r="J50" s="3309"/>
      <c r="K50" s="3309"/>
      <c r="L50" s="1432">
        <f>Cuadros!N54</f>
        <v>0</v>
      </c>
      <c r="M50" s="2175">
        <f>Cuadros!O54</f>
        <v>0</v>
      </c>
      <c r="N50" s="2179">
        <f>Cuadros!AH54</f>
        <v>0</v>
      </c>
    </row>
    <row r="51" spans="8:14" ht="12" x14ac:dyDescent="0.2">
      <c r="H51" s="1442" t="str">
        <f>Cuadros!L55</f>
        <v>Cuadre de fuentes y usos</v>
      </c>
      <c r="I51" s="1443"/>
      <c r="J51" s="1443"/>
      <c r="K51" s="1443"/>
      <c r="L51" s="1444">
        <f ca="1">Cuadros!N55</f>
        <v>0</v>
      </c>
      <c r="M51" s="1444">
        <f ca="1">Cuadros!O55</f>
        <v>0</v>
      </c>
      <c r="N51" s="2181">
        <f ca="1">Cuadros!AH55</f>
        <v>0</v>
      </c>
    </row>
    <row r="52" spans="8:14" x14ac:dyDescent="0.2">
      <c r="N52" s="1429"/>
    </row>
    <row r="78" spans="1:8" ht="12.75" x14ac:dyDescent="0.2">
      <c r="A78" s="1445"/>
      <c r="B78" s="1445"/>
      <c r="C78" s="1445"/>
      <c r="D78" s="1445"/>
      <c r="E78" s="1445"/>
      <c r="F78" s="1445"/>
      <c r="G78" s="1445"/>
      <c r="H78" s="1445"/>
    </row>
    <row r="79" spans="1:8" ht="12.75" x14ac:dyDescent="0.2">
      <c r="A79" s="1445"/>
      <c r="B79" s="1445"/>
      <c r="C79" s="1445"/>
      <c r="D79" s="1445"/>
      <c r="E79" s="1446"/>
      <c r="F79" s="1445"/>
      <c r="G79" s="1445"/>
      <c r="H79" s="1445"/>
    </row>
    <row r="80" spans="1:8" ht="12.75" x14ac:dyDescent="0.2">
      <c r="A80" s="1445"/>
      <c r="B80" s="1445"/>
      <c r="C80" s="1445"/>
      <c r="D80" s="1445"/>
      <c r="E80" s="1446"/>
      <c r="F80" s="1445"/>
      <c r="G80" s="1445"/>
      <c r="H80" s="1445"/>
    </row>
  </sheetData>
  <mergeCells count="45">
    <mergeCell ref="H14:K14"/>
    <mergeCell ref="H15:K15"/>
    <mergeCell ref="H16:K16"/>
    <mergeCell ref="H17:K17"/>
    <mergeCell ref="H21:K22"/>
    <mergeCell ref="H18:K18"/>
    <mergeCell ref="H19:K19"/>
    <mergeCell ref="A5:P5"/>
    <mergeCell ref="A7:P7"/>
    <mergeCell ref="A12:A13"/>
    <mergeCell ref="B12:F12"/>
    <mergeCell ref="H10:K10"/>
    <mergeCell ref="H11:K11"/>
    <mergeCell ref="H12:K12"/>
    <mergeCell ref="H13:K13"/>
    <mergeCell ref="H25:K25"/>
    <mergeCell ref="H26:K26"/>
    <mergeCell ref="H28:K28"/>
    <mergeCell ref="H30:K30"/>
    <mergeCell ref="H23:K23"/>
    <mergeCell ref="H24:K24"/>
    <mergeCell ref="H27:K27"/>
    <mergeCell ref="H35:K35"/>
    <mergeCell ref="H36:K36"/>
    <mergeCell ref="H32:K32"/>
    <mergeCell ref="H42:K42"/>
    <mergeCell ref="H43:K43"/>
    <mergeCell ref="H50:K50"/>
    <mergeCell ref="H37:K37"/>
    <mergeCell ref="H45:K45"/>
    <mergeCell ref="H38:K38"/>
    <mergeCell ref="H39:K39"/>
    <mergeCell ref="H47:K47"/>
    <mergeCell ref="H48:K48"/>
    <mergeCell ref="H41:K41"/>
    <mergeCell ref="H40:K40"/>
    <mergeCell ref="H49:K49"/>
    <mergeCell ref="H46:K46"/>
    <mergeCell ref="H44:K44"/>
    <mergeCell ref="H31:K31"/>
    <mergeCell ref="H29:K29"/>
    <mergeCell ref="H33:K33"/>
    <mergeCell ref="A33:A34"/>
    <mergeCell ref="B33:F33"/>
    <mergeCell ref="H34:K34"/>
  </mergeCells>
  <phoneticPr fontId="0" type="noConversion"/>
  <dataValidations count="1">
    <dataValidation type="whole" allowBlank="1" showInputMessage="1" showErrorMessage="1" sqref="B88:F88">
      <formula1>1</formula1>
      <formula2>12</formula2>
    </dataValidation>
  </dataValidations>
  <printOptions horizontalCentered="1" verticalCentered="1"/>
  <pageMargins left="0.39370078740157483" right="0.39370078740157483" top="0.39370078740157483" bottom="0.39370078740157483" header="0" footer="0"/>
  <pageSetup scale="84" orientation="landscape"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9" tint="-0.499984740745262"/>
  </sheetPr>
  <dimension ref="A1:N162"/>
  <sheetViews>
    <sheetView showGridLines="0" topLeftCell="A16" zoomScale="85" zoomScaleNormal="85" workbookViewId="0">
      <selection activeCell="K28" sqref="K28"/>
    </sheetView>
  </sheetViews>
  <sheetFormatPr baseColWidth="10" defaultRowHeight="12.75" outlineLevelCol="1" x14ac:dyDescent="0.2"/>
  <cols>
    <col min="1" max="1" width="13.42578125" style="4" customWidth="1"/>
    <col min="2" max="2" width="23.5703125" style="4" customWidth="1"/>
    <col min="3" max="3" width="2.7109375" style="4" customWidth="1"/>
    <col min="4" max="4" width="15.7109375" style="30" customWidth="1"/>
    <col min="5" max="5" width="10.42578125" style="29" customWidth="1"/>
    <col min="6" max="6" width="15.7109375" style="30" customWidth="1"/>
    <col min="7" max="7" width="10.42578125" style="29" customWidth="1"/>
    <col min="8" max="8" width="15.85546875" style="30" customWidth="1"/>
    <col min="9" max="9" width="11.7109375" style="29" customWidth="1"/>
    <col min="10" max="10" width="15.85546875" style="29" customWidth="1" outlineLevel="1"/>
    <col min="11" max="11" width="11.140625" style="29" customWidth="1" outlineLevel="1"/>
    <col min="12" max="12" width="15.7109375" style="4" customWidth="1" outlineLevel="1"/>
    <col min="13" max="13" width="11.42578125" style="4" customWidth="1" outlineLevel="1"/>
    <col min="14" max="16384" width="11.42578125" style="4"/>
  </cols>
  <sheetData>
    <row r="1" spans="1:13" x14ac:dyDescent="0.2">
      <c r="A1" s="1"/>
      <c r="B1" s="1"/>
      <c r="C1" s="1"/>
      <c r="F1" s="2"/>
      <c r="G1" s="3"/>
      <c r="H1" s="2"/>
      <c r="I1" s="3"/>
      <c r="J1" s="3"/>
      <c r="K1" s="3"/>
    </row>
    <row r="2" spans="1:13" x14ac:dyDescent="0.2">
      <c r="A2" s="1"/>
      <c r="B2" s="1"/>
      <c r="C2" s="1"/>
      <c r="F2" s="2"/>
      <c r="G2" s="3"/>
      <c r="H2" s="5"/>
      <c r="I2" s="3"/>
      <c r="J2" s="3"/>
      <c r="K2" s="3"/>
    </row>
    <row r="3" spans="1:13" x14ac:dyDescent="0.2">
      <c r="A3" s="1"/>
      <c r="B3" s="1"/>
      <c r="E3" s="218"/>
      <c r="F3" s="219"/>
      <c r="G3" s="218"/>
      <c r="H3" s="31"/>
      <c r="I3" s="32"/>
      <c r="J3" s="32"/>
      <c r="K3" s="32"/>
    </row>
    <row r="4" spans="1:13" x14ac:dyDescent="0.2">
      <c r="A4" s="1"/>
      <c r="B4" s="1"/>
      <c r="D4" s="18"/>
      <c r="E4" s="218"/>
      <c r="F4" s="220"/>
      <c r="G4" s="218"/>
      <c r="H4" s="31"/>
      <c r="I4" s="32"/>
      <c r="J4" s="32"/>
      <c r="K4" s="32"/>
    </row>
    <row r="5" spans="1:13" x14ac:dyDescent="0.2">
      <c r="A5" s="1"/>
      <c r="B5" s="6" t="s">
        <v>105</v>
      </c>
      <c r="C5" s="207">
        <f>+General!D6</f>
        <v>0</v>
      </c>
      <c r="D5" s="207"/>
      <c r="E5" s="208"/>
      <c r="F5" s="221"/>
      <c r="G5" s="208"/>
      <c r="H5" s="214"/>
      <c r="I5" s="215"/>
      <c r="J5" s="32"/>
      <c r="K5" s="32"/>
    </row>
    <row r="6" spans="1:13" x14ac:dyDescent="0.2">
      <c r="A6" s="1"/>
      <c r="B6" s="6" t="s">
        <v>106</v>
      </c>
      <c r="C6" s="209">
        <f>+General!D7</f>
        <v>0</v>
      </c>
      <c r="D6" s="209"/>
      <c r="E6" s="210"/>
      <c r="F6" s="211"/>
      <c r="G6" s="210"/>
      <c r="H6" s="216"/>
      <c r="I6" s="217"/>
      <c r="J6" s="32"/>
      <c r="K6" s="32"/>
    </row>
    <row r="7" spans="1:13" x14ac:dyDescent="0.2">
      <c r="A7" s="1"/>
      <c r="B7" s="6" t="s">
        <v>107</v>
      </c>
      <c r="C7" s="209">
        <f>+General!D9</f>
        <v>0</v>
      </c>
      <c r="D7" s="208"/>
      <c r="E7" s="220"/>
      <c r="H7" s="7" t="s">
        <v>272</v>
      </c>
      <c r="I7" s="212" t="str">
        <f>General!D20</f>
        <v>NO</v>
      </c>
      <c r="J7" s="432"/>
      <c r="K7" s="432"/>
    </row>
    <row r="8" spans="1:13" s="8" customFormat="1" x14ac:dyDescent="0.2">
      <c r="B8" s="7" t="s">
        <v>109</v>
      </c>
      <c r="C8" s="207">
        <f>General!D21</f>
        <v>0</v>
      </c>
      <c r="D8" s="207"/>
      <c r="E8" s="213"/>
      <c r="F8" s="213"/>
      <c r="G8" s="213"/>
      <c r="H8" s="213"/>
      <c r="I8" s="213"/>
      <c r="J8" s="36"/>
      <c r="K8" s="36"/>
    </row>
    <row r="9" spans="1:13" s="8" customFormat="1" ht="13.5" thickBot="1" x14ac:dyDescent="0.25">
      <c r="A9" s="7"/>
      <c r="B9" s="7"/>
      <c r="C9" s="7"/>
      <c r="D9" s="9"/>
      <c r="E9" s="10"/>
      <c r="F9" s="9"/>
      <c r="G9" s="10"/>
      <c r="H9" s="9"/>
      <c r="I9" s="10"/>
      <c r="J9" s="10"/>
      <c r="K9" s="10"/>
    </row>
    <row r="10" spans="1:13" s="8" customFormat="1" ht="14.25" x14ac:dyDescent="0.2">
      <c r="A10" s="3330" t="s">
        <v>273</v>
      </c>
      <c r="B10" s="3330"/>
      <c r="C10" s="3330"/>
      <c r="D10" s="231" t="str">
        <f>General!D23</f>
        <v>NO</v>
      </c>
      <c r="E10" s="230"/>
      <c r="F10" s="231" t="str">
        <f>General!D23</f>
        <v>NO</v>
      </c>
      <c r="G10" s="230"/>
      <c r="H10" s="231" t="str">
        <f>General!D23</f>
        <v>NO</v>
      </c>
      <c r="I10" s="230"/>
      <c r="J10" s="231" t="str">
        <f>+H10</f>
        <v>NO</v>
      </c>
      <c r="K10" s="230"/>
      <c r="L10" s="231" t="str">
        <f>General!D23</f>
        <v>NO</v>
      </c>
    </row>
    <row r="11" spans="1:13" s="8" customFormat="1" ht="13.5" thickBot="1" x14ac:dyDescent="0.25">
      <c r="A11" s="3330" t="s">
        <v>274</v>
      </c>
      <c r="B11" s="3330"/>
      <c r="C11" s="3330"/>
      <c r="D11" s="232">
        <f>'Info Entrada'!C1</f>
        <v>42735</v>
      </c>
      <c r="E11" s="230"/>
      <c r="F11" s="232">
        <f>'Info Entrada'!D1</f>
        <v>43100</v>
      </c>
      <c r="G11" s="230"/>
      <c r="H11" s="232">
        <f>'Info Entrada'!E1</f>
        <v>43465</v>
      </c>
      <c r="I11" s="230"/>
      <c r="J11" s="232">
        <f>'Info Entrada'!F1</f>
        <v>43281</v>
      </c>
      <c r="K11" s="230"/>
      <c r="L11" s="232">
        <f>'Info Entrada'!G1</f>
        <v>43646</v>
      </c>
    </row>
    <row r="12" spans="1:13" s="8" customFormat="1" ht="13.5" thickBot="1" x14ac:dyDescent="0.25">
      <c r="A12" s="1303"/>
      <c r="B12" s="1303"/>
      <c r="C12" s="1303" t="s">
        <v>402</v>
      </c>
      <c r="D12" s="1321">
        <f>+'Info Entrada'!C7</f>
        <v>3000.71</v>
      </c>
      <c r="E12" s="1322"/>
      <c r="F12" s="1321">
        <f>+'Info Entrada'!D6</f>
        <v>2984</v>
      </c>
      <c r="G12" s="1322"/>
      <c r="H12" s="1321">
        <f>+'Info Entrada'!E6</f>
        <v>3249.75</v>
      </c>
      <c r="I12" s="1322"/>
      <c r="J12" s="1321">
        <f>+'Info Entrada'!F6</f>
        <v>2930.8</v>
      </c>
      <c r="K12" s="1322"/>
      <c r="L12" s="1321">
        <f>+'Info Entrada'!G6</f>
        <v>3205.67</v>
      </c>
    </row>
    <row r="13" spans="1:13" s="8" customFormat="1" ht="13.5" thickBot="1" x14ac:dyDescent="0.25">
      <c r="A13" s="11"/>
      <c r="B13" s="11"/>
      <c r="C13" s="11"/>
      <c r="D13" s="9"/>
      <c r="E13" s="10"/>
      <c r="F13" s="9"/>
      <c r="G13" s="10"/>
      <c r="H13" s="9"/>
      <c r="I13" s="10"/>
      <c r="J13" s="10"/>
      <c r="K13" s="10"/>
    </row>
    <row r="14" spans="1:13" s="8" customFormat="1" ht="13.5" thickBot="1" x14ac:dyDescent="0.25">
      <c r="A14" s="11"/>
      <c r="B14" s="11"/>
      <c r="C14" s="11"/>
      <c r="D14" s="222" t="s">
        <v>543</v>
      </c>
      <c r="E14" s="223" t="s">
        <v>275</v>
      </c>
      <c r="F14" s="222" t="s">
        <v>543</v>
      </c>
      <c r="G14" s="223" t="s">
        <v>275</v>
      </c>
      <c r="H14" s="222" t="s">
        <v>543</v>
      </c>
      <c r="I14" s="223" t="s">
        <v>275</v>
      </c>
      <c r="J14" s="222" t="s">
        <v>543</v>
      </c>
      <c r="K14" s="223" t="s">
        <v>275</v>
      </c>
      <c r="L14" s="222" t="s">
        <v>543</v>
      </c>
      <c r="M14" s="223" t="s">
        <v>275</v>
      </c>
    </row>
    <row r="15" spans="1:13" ht="15" thickBot="1" x14ac:dyDescent="0.25">
      <c r="A15" s="3331" t="s">
        <v>276</v>
      </c>
      <c r="B15" s="3332"/>
      <c r="C15" s="3332"/>
      <c r="D15" s="3332"/>
      <c r="E15" s="3332"/>
      <c r="F15" s="3332"/>
      <c r="G15" s="3332"/>
      <c r="H15" s="3332"/>
      <c r="I15" s="3332"/>
      <c r="J15" s="3332"/>
      <c r="K15" s="3332"/>
      <c r="L15" s="3332"/>
      <c r="M15" s="3332"/>
    </row>
    <row r="16" spans="1:13" x14ac:dyDescent="0.2">
      <c r="A16" s="3333" t="str">
        <f>'Info Entrada'!B174</f>
        <v>Efectivo (Caja y Bancos)</v>
      </c>
      <c r="B16" s="3334"/>
      <c r="C16" s="3334"/>
      <c r="D16" s="233">
        <f>'Info Entrada'!C174/$D$12</f>
        <v>0</v>
      </c>
      <c r="E16" s="234" t="e">
        <f t="shared" ref="E16:E46" si="0">+D16/$D$48</f>
        <v>#DIV/0!</v>
      </c>
      <c r="F16" s="233">
        <f>'Info Entrada'!D174/$F$12</f>
        <v>0</v>
      </c>
      <c r="G16" s="234" t="e">
        <f t="shared" ref="G16:G46" si="1">+F16/$F$48</f>
        <v>#DIV/0!</v>
      </c>
      <c r="H16" s="233">
        <f>'Info Entrada'!E174/$H$12</f>
        <v>0</v>
      </c>
      <c r="I16" s="234" t="e">
        <f t="shared" ref="I16:I46" si="2">+H16/$H$48</f>
        <v>#DIV/0!</v>
      </c>
      <c r="J16" s="233">
        <f>'Info Entrada'!F174/$J$12</f>
        <v>0</v>
      </c>
      <c r="K16" s="234" t="e">
        <f t="shared" ref="K16:K46" si="3">+J16/$J$48</f>
        <v>#DIV/0!</v>
      </c>
      <c r="L16" s="233">
        <f>'Info Entrada'!G174/$L$12</f>
        <v>0</v>
      </c>
      <c r="M16" s="234" t="e">
        <f t="shared" ref="M16:M46" si="4">+L16/$L$48</f>
        <v>#DIV/0!</v>
      </c>
    </row>
    <row r="17" spans="1:13" x14ac:dyDescent="0.2">
      <c r="A17" s="3328" t="str">
        <f>'Info Entrada'!B175</f>
        <v>Inversiones Temporales</v>
      </c>
      <c r="B17" s="3329"/>
      <c r="C17" s="3329"/>
      <c r="D17" s="233">
        <f>'Info Entrada'!C175/$D$12</f>
        <v>0</v>
      </c>
      <c r="E17" s="13" t="e">
        <f t="shared" si="0"/>
        <v>#DIV/0!</v>
      </c>
      <c r="F17" s="12">
        <f>'Info Entrada'!D175/$F$12</f>
        <v>0</v>
      </c>
      <c r="G17" s="13" t="e">
        <f t="shared" si="1"/>
        <v>#DIV/0!</v>
      </c>
      <c r="H17" s="12">
        <f>'Info Entrada'!E175/$H$12</f>
        <v>0</v>
      </c>
      <c r="I17" s="13" t="e">
        <f t="shared" si="2"/>
        <v>#DIV/0!</v>
      </c>
      <c r="J17" s="12">
        <f>'Info Entrada'!F175/$J$12</f>
        <v>0</v>
      </c>
      <c r="K17" s="13" t="e">
        <f t="shared" si="3"/>
        <v>#DIV/0!</v>
      </c>
      <c r="L17" s="12">
        <f>'Info Entrada'!G175/$L$12</f>
        <v>0</v>
      </c>
      <c r="M17" s="13" t="e">
        <f t="shared" si="4"/>
        <v>#DIV/0!</v>
      </c>
    </row>
    <row r="18" spans="1:13" x14ac:dyDescent="0.2">
      <c r="A18" s="3328" t="str">
        <f>'Info Entrada'!B177</f>
        <v>Cuentas por Cobrar Comerciales</v>
      </c>
      <c r="B18" s="3329"/>
      <c r="C18" s="3329"/>
      <c r="D18" s="12">
        <f>'Info Entrada'!C177/$D$12</f>
        <v>0</v>
      </c>
      <c r="E18" s="13" t="e">
        <f t="shared" si="0"/>
        <v>#DIV/0!</v>
      </c>
      <c r="F18" s="12">
        <f>'Info Entrada'!D177/$F$12</f>
        <v>0</v>
      </c>
      <c r="G18" s="13" t="e">
        <f t="shared" si="1"/>
        <v>#DIV/0!</v>
      </c>
      <c r="H18" s="12">
        <f>'Info Entrada'!E177/$H$12</f>
        <v>0</v>
      </c>
      <c r="I18" s="13" t="e">
        <f t="shared" si="2"/>
        <v>#DIV/0!</v>
      </c>
      <c r="J18" s="12">
        <f>'Info Entrada'!F177/$J$12</f>
        <v>0</v>
      </c>
      <c r="K18" s="13" t="e">
        <f t="shared" si="3"/>
        <v>#DIV/0!</v>
      </c>
      <c r="L18" s="12">
        <f>'Info Entrada'!G177/$L$12</f>
        <v>0</v>
      </c>
      <c r="M18" s="13" t="e">
        <f t="shared" si="4"/>
        <v>#DIV/0!</v>
      </c>
    </row>
    <row r="19" spans="1:13" x14ac:dyDescent="0.2">
      <c r="A19" s="3328" t="str">
        <f>'Info Entrada'!B178</f>
        <v>Cuentas por Cobrar a Grupo (Comerciales)</v>
      </c>
      <c r="B19" s="3329"/>
      <c r="C19" s="3329"/>
      <c r="D19" s="12">
        <f>'Info Entrada'!C178/$D$12</f>
        <v>0</v>
      </c>
      <c r="E19" s="13" t="e">
        <f t="shared" si="0"/>
        <v>#DIV/0!</v>
      </c>
      <c r="F19" s="12">
        <f>'Info Entrada'!D178/$F$12</f>
        <v>0</v>
      </c>
      <c r="G19" s="13" t="e">
        <f t="shared" si="1"/>
        <v>#DIV/0!</v>
      </c>
      <c r="H19" s="12">
        <f>'Info Entrada'!E178/$H$12</f>
        <v>0</v>
      </c>
      <c r="I19" s="13" t="e">
        <f t="shared" si="2"/>
        <v>#DIV/0!</v>
      </c>
      <c r="J19" s="12">
        <f>'Info Entrada'!F178/$J$12</f>
        <v>0</v>
      </c>
      <c r="K19" s="13" t="e">
        <f t="shared" si="3"/>
        <v>#DIV/0!</v>
      </c>
      <c r="L19" s="12">
        <f>'Info Entrada'!G178/$L$12</f>
        <v>0</v>
      </c>
      <c r="M19" s="13" t="e">
        <f t="shared" si="4"/>
        <v>#DIV/0!</v>
      </c>
    </row>
    <row r="20" spans="1:13" x14ac:dyDescent="0.2">
      <c r="A20" s="3328" t="str">
        <f>'Info Entrada'!B179</f>
        <v>Provisión Cartera</v>
      </c>
      <c r="B20" s="3329"/>
      <c r="C20" s="3329"/>
      <c r="D20" s="12">
        <f>'Info Entrada'!C179/$D$12</f>
        <v>0</v>
      </c>
      <c r="E20" s="13" t="e">
        <f t="shared" si="0"/>
        <v>#DIV/0!</v>
      </c>
      <c r="F20" s="12">
        <f>'Info Entrada'!D179/$F$12</f>
        <v>0</v>
      </c>
      <c r="G20" s="13" t="e">
        <f t="shared" si="1"/>
        <v>#DIV/0!</v>
      </c>
      <c r="H20" s="12">
        <f>'Info Entrada'!E179/$H$12</f>
        <v>0</v>
      </c>
      <c r="I20" s="13" t="e">
        <f t="shared" si="2"/>
        <v>#DIV/0!</v>
      </c>
      <c r="J20" s="12">
        <f>'Info Entrada'!F179/$J$12</f>
        <v>0</v>
      </c>
      <c r="K20" s="13" t="e">
        <f t="shared" si="3"/>
        <v>#DIV/0!</v>
      </c>
      <c r="L20" s="12">
        <f>'Info Entrada'!G179/$L$12</f>
        <v>0</v>
      </c>
      <c r="M20" s="13" t="e">
        <f t="shared" si="4"/>
        <v>#DIV/0!</v>
      </c>
    </row>
    <row r="21" spans="1:13" x14ac:dyDescent="0.2">
      <c r="A21" s="3335"/>
      <c r="B21" s="3336"/>
      <c r="C21" s="3336"/>
      <c r="D21" s="14"/>
      <c r="E21" s="15" t="e">
        <f t="shared" si="0"/>
        <v>#DIV/0!</v>
      </c>
      <c r="F21" s="14"/>
      <c r="G21" s="15" t="e">
        <f t="shared" si="1"/>
        <v>#DIV/0!</v>
      </c>
      <c r="H21" s="14"/>
      <c r="I21" s="15" t="e">
        <f t="shared" si="2"/>
        <v>#DIV/0!</v>
      </c>
      <c r="J21" s="14"/>
      <c r="K21" s="15" t="e">
        <f t="shared" si="3"/>
        <v>#DIV/0!</v>
      </c>
      <c r="L21" s="14"/>
      <c r="M21" s="15" t="e">
        <f t="shared" si="4"/>
        <v>#DIV/0!</v>
      </c>
    </row>
    <row r="22" spans="1:13" s="8" customFormat="1" x14ac:dyDescent="0.2">
      <c r="A22" s="3337" t="str">
        <f>'Info Entrada'!B180</f>
        <v>Clientes y Cuentas por Cobrar (Neto)</v>
      </c>
      <c r="B22" s="3338"/>
      <c r="C22" s="3338"/>
      <c r="D22" s="16">
        <f>(D18+D19-D20)</f>
        <v>0</v>
      </c>
      <c r="E22" s="17" t="e">
        <f t="shared" si="0"/>
        <v>#DIV/0!</v>
      </c>
      <c r="F22" s="16">
        <f>(F18+F19-F20)</f>
        <v>0</v>
      </c>
      <c r="G22" s="17" t="e">
        <f t="shared" si="1"/>
        <v>#DIV/0!</v>
      </c>
      <c r="H22" s="16">
        <f>(H18+H19-H20)</f>
        <v>0</v>
      </c>
      <c r="I22" s="17" t="e">
        <f t="shared" si="2"/>
        <v>#DIV/0!</v>
      </c>
      <c r="J22" s="16">
        <f>(J18+J19-J20)</f>
        <v>0</v>
      </c>
      <c r="K22" s="17" t="e">
        <f t="shared" si="3"/>
        <v>#DIV/0!</v>
      </c>
      <c r="L22" s="16">
        <f>(L18+L19-L20)</f>
        <v>0</v>
      </c>
      <c r="M22" s="17" t="e">
        <f t="shared" si="4"/>
        <v>#DIV/0!</v>
      </c>
    </row>
    <row r="23" spans="1:13" x14ac:dyDescent="0.2">
      <c r="A23" s="3328" t="str">
        <f>'Info Entrada'!B182</f>
        <v>Materia Prima</v>
      </c>
      <c r="B23" s="3329"/>
      <c r="C23" s="3329"/>
      <c r="D23" s="12">
        <f>'Info Entrada'!C182/$D$12</f>
        <v>0</v>
      </c>
      <c r="E23" s="13" t="e">
        <f t="shared" si="0"/>
        <v>#DIV/0!</v>
      </c>
      <c r="F23" s="12">
        <f>'Info Entrada'!D182/$F$12</f>
        <v>0</v>
      </c>
      <c r="G23" s="13" t="e">
        <f t="shared" si="1"/>
        <v>#DIV/0!</v>
      </c>
      <c r="H23" s="12">
        <f>'Info Entrada'!E182/$H$12</f>
        <v>0</v>
      </c>
      <c r="I23" s="13" t="e">
        <f t="shared" si="2"/>
        <v>#DIV/0!</v>
      </c>
      <c r="J23" s="12">
        <f>'Info Entrada'!F182/$J$12</f>
        <v>0</v>
      </c>
      <c r="K23" s="13" t="e">
        <f t="shared" si="3"/>
        <v>#DIV/0!</v>
      </c>
      <c r="L23" s="12">
        <f>'Info Entrada'!G182/$L$12</f>
        <v>0</v>
      </c>
      <c r="M23" s="13" t="e">
        <f t="shared" si="4"/>
        <v>#DIV/0!</v>
      </c>
    </row>
    <row r="24" spans="1:13" x14ac:dyDescent="0.2">
      <c r="A24" s="3328" t="str">
        <f>'Info Entrada'!B183</f>
        <v>Producción En Proceso</v>
      </c>
      <c r="B24" s="3329"/>
      <c r="C24" s="3329"/>
      <c r="D24" s="12">
        <f>'Info Entrada'!C183/$D$12</f>
        <v>0</v>
      </c>
      <c r="E24" s="13" t="e">
        <f t="shared" si="0"/>
        <v>#DIV/0!</v>
      </c>
      <c r="F24" s="12">
        <f>'Info Entrada'!D183/$F$12</f>
        <v>0</v>
      </c>
      <c r="G24" s="13" t="e">
        <f t="shared" si="1"/>
        <v>#DIV/0!</v>
      </c>
      <c r="H24" s="12">
        <f>'Info Entrada'!E183/$H$12</f>
        <v>0</v>
      </c>
      <c r="I24" s="13" t="e">
        <f t="shared" si="2"/>
        <v>#DIV/0!</v>
      </c>
      <c r="J24" s="12">
        <f>'Info Entrada'!F183/$J$12</f>
        <v>0</v>
      </c>
      <c r="K24" s="13" t="e">
        <f t="shared" si="3"/>
        <v>#DIV/0!</v>
      </c>
      <c r="L24" s="12">
        <f>'Info Entrada'!G183/$L$12</f>
        <v>0</v>
      </c>
      <c r="M24" s="13" t="e">
        <f t="shared" si="4"/>
        <v>#DIV/0!</v>
      </c>
    </row>
    <row r="25" spans="1:13" x14ac:dyDescent="0.2">
      <c r="A25" s="3328" t="str">
        <f>'Info Entrada'!B184</f>
        <v>Producto Terminado y Otros Inventarios</v>
      </c>
      <c r="B25" s="3329"/>
      <c r="C25" s="3329"/>
      <c r="D25" s="12">
        <f>'Info Entrada'!C184/$D$12</f>
        <v>0</v>
      </c>
      <c r="E25" s="13" t="e">
        <f t="shared" si="0"/>
        <v>#DIV/0!</v>
      </c>
      <c r="F25" s="12">
        <f>'Info Entrada'!D184/$F$12</f>
        <v>0</v>
      </c>
      <c r="G25" s="13" t="e">
        <f t="shared" si="1"/>
        <v>#DIV/0!</v>
      </c>
      <c r="H25" s="12">
        <f>'Info Entrada'!E184/$H$12</f>
        <v>0</v>
      </c>
      <c r="I25" s="13" t="e">
        <f t="shared" si="2"/>
        <v>#DIV/0!</v>
      </c>
      <c r="J25" s="12">
        <f>'Info Entrada'!F184/$J$12</f>
        <v>0</v>
      </c>
      <c r="K25" s="13" t="e">
        <f t="shared" si="3"/>
        <v>#DIV/0!</v>
      </c>
      <c r="L25" s="12">
        <f>'Info Entrada'!G184/$L$12</f>
        <v>0</v>
      </c>
      <c r="M25" s="13" t="e">
        <f t="shared" si="4"/>
        <v>#DIV/0!</v>
      </c>
    </row>
    <row r="26" spans="1:13" s="8" customFormat="1" x14ac:dyDescent="0.2">
      <c r="A26" s="3337" t="str">
        <f>'Info Entrada'!B185</f>
        <v>Inventarios Neto</v>
      </c>
      <c r="B26" s="3338"/>
      <c r="C26" s="3338"/>
      <c r="D26" s="16">
        <f>SUM(D23:D25)</f>
        <v>0</v>
      </c>
      <c r="E26" s="17" t="e">
        <f t="shared" si="0"/>
        <v>#DIV/0!</v>
      </c>
      <c r="F26" s="16">
        <f>SUM(F23:F25)</f>
        <v>0</v>
      </c>
      <c r="G26" s="17" t="e">
        <f t="shared" si="1"/>
        <v>#DIV/0!</v>
      </c>
      <c r="H26" s="16">
        <f>SUM(H23:H25)</f>
        <v>0</v>
      </c>
      <c r="I26" s="17" t="e">
        <f t="shared" si="2"/>
        <v>#DIV/0!</v>
      </c>
      <c r="J26" s="16">
        <f>SUM(J23:J25)</f>
        <v>0</v>
      </c>
      <c r="K26" s="17" t="e">
        <f t="shared" si="3"/>
        <v>#DIV/0!</v>
      </c>
      <c r="L26" s="16">
        <f>SUM(L23:L25)</f>
        <v>0</v>
      </c>
      <c r="M26" s="17" t="e">
        <f t="shared" si="4"/>
        <v>#DIV/0!</v>
      </c>
    </row>
    <row r="27" spans="1:13" x14ac:dyDescent="0.2">
      <c r="A27" s="3339" t="str">
        <f>'Info Entrada'!B187</f>
        <v>Otras Cuentas (Deudores Varios)</v>
      </c>
      <c r="B27" s="3329"/>
      <c r="C27" s="3329"/>
      <c r="D27" s="12">
        <f>'Info Entrada'!C187/$D$12</f>
        <v>0</v>
      </c>
      <c r="E27" s="13" t="e">
        <f t="shared" si="0"/>
        <v>#DIV/0!</v>
      </c>
      <c r="F27" s="12">
        <f>'Info Entrada'!D187/$F$12</f>
        <v>0</v>
      </c>
      <c r="G27" s="13" t="e">
        <f t="shared" si="1"/>
        <v>#DIV/0!</v>
      </c>
      <c r="H27" s="12">
        <f>'Info Entrada'!E187/$H$12</f>
        <v>0</v>
      </c>
      <c r="I27" s="13" t="e">
        <f t="shared" si="2"/>
        <v>#DIV/0!</v>
      </c>
      <c r="J27" s="12">
        <f>'Info Entrada'!F187/$J$12</f>
        <v>0</v>
      </c>
      <c r="K27" s="13" t="e">
        <f t="shared" si="3"/>
        <v>#DIV/0!</v>
      </c>
      <c r="L27" s="12">
        <f>'Info Entrada'!G187/$L$12</f>
        <v>0</v>
      </c>
      <c r="M27" s="13" t="e">
        <f t="shared" si="4"/>
        <v>#DIV/0!</v>
      </c>
    </row>
    <row r="28" spans="1:13" ht="12.75" customHeight="1" x14ac:dyDescent="0.2">
      <c r="A28" s="3328" t="str">
        <f>'Info Entrada'!B188</f>
        <v>Anticipos y Avances</v>
      </c>
      <c r="B28" s="3329"/>
      <c r="C28" s="3329"/>
      <c r="D28" s="12">
        <f>'Info Entrada'!C188/$D$12</f>
        <v>0</v>
      </c>
      <c r="E28" s="13" t="e">
        <f t="shared" si="0"/>
        <v>#DIV/0!</v>
      </c>
      <c r="F28" s="12">
        <f>'Info Entrada'!D188/$F$12</f>
        <v>0</v>
      </c>
      <c r="G28" s="13" t="e">
        <f t="shared" si="1"/>
        <v>#DIV/0!</v>
      </c>
      <c r="H28" s="12">
        <f>'Info Entrada'!E188/$H$12</f>
        <v>0</v>
      </c>
      <c r="I28" s="13" t="e">
        <f t="shared" si="2"/>
        <v>#DIV/0!</v>
      </c>
      <c r="J28" s="12">
        <f>'Info Entrada'!F188/$J$12</f>
        <v>0</v>
      </c>
      <c r="K28" s="13" t="e">
        <f t="shared" si="3"/>
        <v>#DIV/0!</v>
      </c>
      <c r="L28" s="12">
        <f>'Info Entrada'!G188/$L$12</f>
        <v>0</v>
      </c>
      <c r="M28" s="13" t="e">
        <f t="shared" si="4"/>
        <v>#DIV/0!</v>
      </c>
    </row>
    <row r="29" spans="1:13" x14ac:dyDescent="0.2">
      <c r="A29" s="3328" t="str">
        <f>'Info Entrada'!B189</f>
        <v>Anticipos de Impuestos y Contribuciones</v>
      </c>
      <c r="B29" s="3329"/>
      <c r="C29" s="3329"/>
      <c r="D29" s="12">
        <f>'Info Entrada'!C189/$D$12</f>
        <v>0</v>
      </c>
      <c r="E29" s="13" t="e">
        <f t="shared" si="0"/>
        <v>#DIV/0!</v>
      </c>
      <c r="F29" s="12">
        <f>'Info Entrada'!D189/$F$12</f>
        <v>0</v>
      </c>
      <c r="G29" s="13" t="e">
        <f t="shared" si="1"/>
        <v>#DIV/0!</v>
      </c>
      <c r="H29" s="12">
        <f>'Info Entrada'!E189/$H$12</f>
        <v>0</v>
      </c>
      <c r="I29" s="13" t="e">
        <f t="shared" si="2"/>
        <v>#DIV/0!</v>
      </c>
      <c r="J29" s="12">
        <f>'Info Entrada'!F189/$J$12</f>
        <v>0</v>
      </c>
      <c r="K29" s="13" t="e">
        <f t="shared" si="3"/>
        <v>#DIV/0!</v>
      </c>
      <c r="L29" s="12">
        <f>'Info Entrada'!G189/$L$12</f>
        <v>0</v>
      </c>
      <c r="M29" s="13" t="e">
        <f t="shared" si="4"/>
        <v>#DIV/0!</v>
      </c>
    </row>
    <row r="30" spans="1:13" x14ac:dyDescent="0.2">
      <c r="A30" s="3328" t="str">
        <f>'Info Entrada'!B190</f>
        <v>Otros Activos Circulantes</v>
      </c>
      <c r="B30" s="3329"/>
      <c r="C30" s="3329"/>
      <c r="D30" s="12">
        <f>'Info Entrada'!C190/$D$12</f>
        <v>0</v>
      </c>
      <c r="E30" s="13" t="e">
        <f t="shared" si="0"/>
        <v>#DIV/0!</v>
      </c>
      <c r="F30" s="12">
        <f>'Info Entrada'!D190/$F$12</f>
        <v>0</v>
      </c>
      <c r="G30" s="13" t="e">
        <f t="shared" si="1"/>
        <v>#DIV/0!</v>
      </c>
      <c r="H30" s="12">
        <f>'Info Entrada'!E190/$H$12</f>
        <v>0</v>
      </c>
      <c r="I30" s="13" t="e">
        <f t="shared" si="2"/>
        <v>#DIV/0!</v>
      </c>
      <c r="J30" s="12">
        <f>'Info Entrada'!F190/$J$12</f>
        <v>0</v>
      </c>
      <c r="K30" s="13" t="e">
        <f t="shared" si="3"/>
        <v>#DIV/0!</v>
      </c>
      <c r="L30" s="12">
        <f>'Info Entrada'!G190/$L$12</f>
        <v>0</v>
      </c>
      <c r="M30" s="13" t="e">
        <f t="shared" si="4"/>
        <v>#DIV/0!</v>
      </c>
    </row>
    <row r="31" spans="1:13" ht="12.75" customHeight="1" x14ac:dyDescent="0.2">
      <c r="A31" s="3328" t="str">
        <f>'Info Entrada'!B191</f>
        <v>Gastos Pagados por Anticipado</v>
      </c>
      <c r="B31" s="3329"/>
      <c r="C31" s="3329"/>
      <c r="D31" s="12">
        <f>'Info Entrada'!C191/$D$12</f>
        <v>0</v>
      </c>
      <c r="E31" s="13" t="e">
        <f t="shared" si="0"/>
        <v>#DIV/0!</v>
      </c>
      <c r="F31" s="12">
        <f>'Info Entrada'!D191/$F$12</f>
        <v>0</v>
      </c>
      <c r="G31" s="13" t="e">
        <f t="shared" si="1"/>
        <v>#DIV/0!</v>
      </c>
      <c r="H31" s="12">
        <f>'Info Entrada'!E191/$H$12</f>
        <v>0</v>
      </c>
      <c r="I31" s="13" t="e">
        <f t="shared" si="2"/>
        <v>#DIV/0!</v>
      </c>
      <c r="J31" s="12">
        <f>'Info Entrada'!F191/$J$12</f>
        <v>0</v>
      </c>
      <c r="K31" s="13" t="e">
        <f t="shared" si="3"/>
        <v>#DIV/0!</v>
      </c>
      <c r="L31" s="12">
        <f>'Info Entrada'!G191/$L$12</f>
        <v>0</v>
      </c>
      <c r="M31" s="13" t="e">
        <f t="shared" si="4"/>
        <v>#DIV/0!</v>
      </c>
    </row>
    <row r="32" spans="1:13" ht="13.5" customHeight="1" thickBot="1" x14ac:dyDescent="0.25">
      <c r="A32" s="3340" t="str">
        <f>'Info Entrada'!B192</f>
        <v>Cuentas por Cobrar a Grupo (Financieras)</v>
      </c>
      <c r="B32" s="3341"/>
      <c r="C32" s="3341"/>
      <c r="D32" s="224">
        <f>'Info Entrada'!C192/$D$12</f>
        <v>0</v>
      </c>
      <c r="E32" s="225" t="e">
        <f t="shared" si="0"/>
        <v>#DIV/0!</v>
      </c>
      <c r="F32" s="224">
        <f>'Info Entrada'!D192/$F$12</f>
        <v>0</v>
      </c>
      <c r="G32" s="225" t="e">
        <f t="shared" si="1"/>
        <v>#DIV/0!</v>
      </c>
      <c r="H32" s="224">
        <f>'Info Entrada'!E192/$H$12</f>
        <v>0</v>
      </c>
      <c r="I32" s="225" t="e">
        <f t="shared" si="2"/>
        <v>#DIV/0!</v>
      </c>
      <c r="J32" s="224">
        <f>'Info Entrada'!F192/$J$12</f>
        <v>0</v>
      </c>
      <c r="K32" s="225" t="e">
        <f t="shared" si="3"/>
        <v>#DIV/0!</v>
      </c>
      <c r="L32" s="224">
        <f>'Info Entrada'!G192/$L$12</f>
        <v>0</v>
      </c>
      <c r="M32" s="225" t="e">
        <f t="shared" si="4"/>
        <v>#DIV/0!</v>
      </c>
    </row>
    <row r="33" spans="1:14" ht="13.5" thickBot="1" x14ac:dyDescent="0.25">
      <c r="A33" s="3342" t="str">
        <f>'Info Entrada'!B193</f>
        <v>ACTIVO CIRCULANTE</v>
      </c>
      <c r="B33" s="3343"/>
      <c r="C33" s="3344"/>
      <c r="D33" s="226">
        <f>(D16+D17+D22+D26+SUM(D27:D32))</f>
        <v>0</v>
      </c>
      <c r="E33" s="227" t="e">
        <f t="shared" si="0"/>
        <v>#DIV/0!</v>
      </c>
      <c r="F33" s="226">
        <f>(F16+F17+F22+F26+SUM(F27:F32))</f>
        <v>0</v>
      </c>
      <c r="G33" s="227" t="e">
        <f t="shared" si="1"/>
        <v>#DIV/0!</v>
      </c>
      <c r="H33" s="226">
        <f>(H16+H17+H22+H26+SUM(H27:H32))</f>
        <v>0</v>
      </c>
      <c r="I33" s="227" t="e">
        <f t="shared" si="2"/>
        <v>#DIV/0!</v>
      </c>
      <c r="J33" s="226">
        <f>(J16+J17+J22+J26+SUM(J27:J32))</f>
        <v>0</v>
      </c>
      <c r="K33" s="227" t="e">
        <f t="shared" si="3"/>
        <v>#DIV/0!</v>
      </c>
      <c r="L33" s="226">
        <f>(L16+L17+L22+L26+SUM(L27:L32))</f>
        <v>0</v>
      </c>
      <c r="M33" s="227" t="e">
        <f t="shared" si="4"/>
        <v>#DIV/0!</v>
      </c>
    </row>
    <row r="34" spans="1:14" x14ac:dyDescent="0.2">
      <c r="A34" s="3345" t="str">
        <f>'Info Entrada'!B194</f>
        <v>Bienes Raíces y Otras Construcciones</v>
      </c>
      <c r="B34" s="3346"/>
      <c r="C34" s="3346"/>
      <c r="D34" s="228">
        <f>'Info Entrada'!C194/$D$12</f>
        <v>0</v>
      </c>
      <c r="E34" s="229" t="e">
        <f t="shared" si="0"/>
        <v>#DIV/0!</v>
      </c>
      <c r="F34" s="228">
        <f>'Info Entrada'!D194/$F$12</f>
        <v>0</v>
      </c>
      <c r="G34" s="229" t="e">
        <f t="shared" si="1"/>
        <v>#DIV/0!</v>
      </c>
      <c r="H34" s="228">
        <f>'Info Entrada'!E194/$H$12</f>
        <v>0</v>
      </c>
      <c r="I34" s="229" t="e">
        <f t="shared" si="2"/>
        <v>#DIV/0!</v>
      </c>
      <c r="J34" s="228">
        <f>'Info Entrada'!F194/$J$12</f>
        <v>0</v>
      </c>
      <c r="K34" s="229" t="e">
        <f t="shared" si="3"/>
        <v>#DIV/0!</v>
      </c>
      <c r="L34" s="228">
        <f>'Info Entrada'!G194/$L$12</f>
        <v>0</v>
      </c>
      <c r="M34" s="229" t="e">
        <f t="shared" si="4"/>
        <v>#DIV/0!</v>
      </c>
      <c r="N34" s="1207"/>
    </row>
    <row r="35" spans="1:14" ht="12.75" customHeight="1" x14ac:dyDescent="0.2">
      <c r="A35" s="3328" t="str">
        <f>'Info Entrada'!B195</f>
        <v>Maquinaria y Equipo</v>
      </c>
      <c r="B35" s="3329"/>
      <c r="C35" s="3329"/>
      <c r="D35" s="12">
        <f>'Info Entrada'!C195/$D$12</f>
        <v>0</v>
      </c>
      <c r="E35" s="13" t="e">
        <f t="shared" si="0"/>
        <v>#DIV/0!</v>
      </c>
      <c r="F35" s="12">
        <f>'Info Entrada'!D195/$F$12</f>
        <v>0</v>
      </c>
      <c r="G35" s="13" t="e">
        <f t="shared" si="1"/>
        <v>#DIV/0!</v>
      </c>
      <c r="H35" s="12">
        <f>'Info Entrada'!E195/$H$12</f>
        <v>0</v>
      </c>
      <c r="I35" s="13" t="e">
        <f t="shared" si="2"/>
        <v>#DIV/0!</v>
      </c>
      <c r="J35" s="12">
        <f>'Info Entrada'!F195/$J$12</f>
        <v>0</v>
      </c>
      <c r="K35" s="13" t="e">
        <f t="shared" si="3"/>
        <v>#DIV/0!</v>
      </c>
      <c r="L35" s="12">
        <f>'Info Entrada'!G195/$L$12</f>
        <v>0</v>
      </c>
      <c r="M35" s="13" t="e">
        <f t="shared" si="4"/>
        <v>#DIV/0!</v>
      </c>
      <c r="N35" s="1207"/>
    </row>
    <row r="36" spans="1:14" ht="12.75" customHeight="1" x14ac:dyDescent="0.2">
      <c r="A36" s="3328" t="str">
        <f>'Info Entrada'!B196</f>
        <v>Otros Fijos</v>
      </c>
      <c r="B36" s="3329"/>
      <c r="C36" s="3329"/>
      <c r="D36" s="12">
        <f>'Info Entrada'!C196/$D$12+'Info Entrada'!C197/$D$12</f>
        <v>0</v>
      </c>
      <c r="E36" s="13" t="e">
        <f t="shared" si="0"/>
        <v>#DIV/0!</v>
      </c>
      <c r="F36" s="12">
        <f>'Info Entrada'!D196/$F$12+'Info Entrada'!D197/$F$12</f>
        <v>0</v>
      </c>
      <c r="G36" s="13" t="e">
        <f t="shared" si="1"/>
        <v>#DIV/0!</v>
      </c>
      <c r="H36" s="12">
        <f>'Info Entrada'!E196/$H$12+'Info Entrada'!E197/$H$12</f>
        <v>0</v>
      </c>
      <c r="I36" s="13" t="e">
        <f t="shared" si="2"/>
        <v>#DIV/0!</v>
      </c>
      <c r="J36" s="12">
        <f>'Info Entrada'!F196/$J$12+'Info Entrada'!F197/$J$12</f>
        <v>0</v>
      </c>
      <c r="K36" s="13" t="e">
        <f t="shared" si="3"/>
        <v>#DIV/0!</v>
      </c>
      <c r="L36" s="12">
        <f>'Info Entrada'!G196/$L$12+'Info Entrada'!G197/$L$12</f>
        <v>0</v>
      </c>
      <c r="M36" s="13" t="e">
        <f t="shared" si="4"/>
        <v>#DIV/0!</v>
      </c>
      <c r="N36" s="1207"/>
    </row>
    <row r="37" spans="1:14" ht="13.5" customHeight="1" thickBot="1" x14ac:dyDescent="0.25">
      <c r="A37" s="3340" t="str">
        <f>'Info Entrada'!B198</f>
        <v>Depreciación Acumulada</v>
      </c>
      <c r="B37" s="3341"/>
      <c r="C37" s="3341"/>
      <c r="D37" s="224">
        <f>'Info Entrada'!C198/$D$12+'Info Entrada'!C199/$D$12</f>
        <v>0</v>
      </c>
      <c r="E37" s="225" t="e">
        <f t="shared" si="0"/>
        <v>#DIV/0!</v>
      </c>
      <c r="F37" s="224">
        <f>'Info Entrada'!D198/$F$12+'Info Entrada'!D199/$F$12</f>
        <v>0</v>
      </c>
      <c r="G37" s="225" t="e">
        <f t="shared" si="1"/>
        <v>#DIV/0!</v>
      </c>
      <c r="H37" s="224">
        <f>'Info Entrada'!E198/$H$12+'Info Entrada'!E199/$H$12</f>
        <v>0</v>
      </c>
      <c r="I37" s="225" t="e">
        <f t="shared" si="2"/>
        <v>#DIV/0!</v>
      </c>
      <c r="J37" s="224">
        <f>'Info Entrada'!F198/$J$12+'Info Entrada'!F199/$J$12</f>
        <v>0</v>
      </c>
      <c r="K37" s="225" t="e">
        <f t="shared" si="3"/>
        <v>#DIV/0!</v>
      </c>
      <c r="L37" s="224">
        <f>'Info Entrada'!G198/$L$12+'Info Entrada'!G199/$L$12</f>
        <v>0</v>
      </c>
      <c r="M37" s="225" t="e">
        <f t="shared" si="4"/>
        <v>#DIV/0!</v>
      </c>
    </row>
    <row r="38" spans="1:14" ht="13.5" thickBot="1" x14ac:dyDescent="0.25">
      <c r="A38" s="3342" t="str">
        <f>'Info Entrada'!B200</f>
        <v>ACTIVO FIJO (NETO)</v>
      </c>
      <c r="B38" s="3343"/>
      <c r="C38" s="3344"/>
      <c r="D38" s="226">
        <f>SUM(D34:D36)-SUM(D37:D37)</f>
        <v>0</v>
      </c>
      <c r="E38" s="227" t="e">
        <f t="shared" si="0"/>
        <v>#DIV/0!</v>
      </c>
      <c r="F38" s="226">
        <f>SUM(F34:F36)-SUM(F37:F37)</f>
        <v>0</v>
      </c>
      <c r="G38" s="227" t="e">
        <f t="shared" si="1"/>
        <v>#DIV/0!</v>
      </c>
      <c r="H38" s="226">
        <f>SUM(H34:H36)-SUM(H37:H37)</f>
        <v>0</v>
      </c>
      <c r="I38" s="227" t="e">
        <f t="shared" si="2"/>
        <v>#DIV/0!</v>
      </c>
      <c r="J38" s="226">
        <f>SUM(J34:J36)-SUM(J37:J37)</f>
        <v>0</v>
      </c>
      <c r="K38" s="227" t="e">
        <f t="shared" si="3"/>
        <v>#DIV/0!</v>
      </c>
      <c r="L38" s="226">
        <f>SUM(L34:L36)-SUM(L37:L37)</f>
        <v>0</v>
      </c>
      <c r="M38" s="227" t="e">
        <f t="shared" si="4"/>
        <v>#DIV/0!</v>
      </c>
    </row>
    <row r="39" spans="1:14" x14ac:dyDescent="0.2">
      <c r="A39" s="3345" t="str">
        <f>CONCATENATE('Info Entrada'!B202,'Info Entrada'!B413,'Info Entrada'!B201)</f>
        <v>Otros Activos L/P e Intangibles</v>
      </c>
      <c r="B39" s="3346"/>
      <c r="C39" s="3346"/>
      <c r="D39" s="228">
        <f>'Info Entrada'!C201/$D$12+'Info Entrada'!C202/$D$12</f>
        <v>0</v>
      </c>
      <c r="E39" s="229" t="e">
        <f t="shared" si="0"/>
        <v>#DIV/0!</v>
      </c>
      <c r="F39" s="228">
        <f>'Info Entrada'!D201/$F$12+'Info Entrada'!D202/$F$12</f>
        <v>0</v>
      </c>
      <c r="G39" s="229" t="e">
        <f t="shared" si="1"/>
        <v>#DIV/0!</v>
      </c>
      <c r="H39" s="228">
        <f>'Info Entrada'!E201/$H$12+'Info Entrada'!E202/$H$12</f>
        <v>0</v>
      </c>
      <c r="I39" s="229" t="e">
        <f t="shared" si="2"/>
        <v>#DIV/0!</v>
      </c>
      <c r="J39" s="228">
        <f>'Info Entrada'!F201/$J$12+'Info Entrada'!F202/$J$12</f>
        <v>0</v>
      </c>
      <c r="K39" s="229" t="e">
        <f t="shared" si="3"/>
        <v>#DIV/0!</v>
      </c>
      <c r="L39" s="228">
        <f>'Info Entrada'!G201/$L$12+'Info Entrada'!G202/$L$12</f>
        <v>0</v>
      </c>
      <c r="M39" s="229" t="e">
        <f t="shared" si="4"/>
        <v>#DIV/0!</v>
      </c>
    </row>
    <row r="40" spans="1:14" x14ac:dyDescent="0.2">
      <c r="A40" s="3328" t="str">
        <f>'Info Entrada'!B203</f>
        <v>Gastos Pagados por Anticipado y Diferidos</v>
      </c>
      <c r="B40" s="3329"/>
      <c r="C40" s="3329"/>
      <c r="D40" s="12">
        <f>'Info Entrada'!C203/$D$12</f>
        <v>0</v>
      </c>
      <c r="E40" s="13" t="e">
        <f t="shared" si="0"/>
        <v>#DIV/0!</v>
      </c>
      <c r="F40" s="12">
        <f>'Info Entrada'!D203/$F$12</f>
        <v>0</v>
      </c>
      <c r="G40" s="13" t="e">
        <f t="shared" si="1"/>
        <v>#DIV/0!</v>
      </c>
      <c r="H40" s="12">
        <f>'Info Entrada'!E203/$H$12</f>
        <v>0</v>
      </c>
      <c r="I40" s="13" t="e">
        <f t="shared" si="2"/>
        <v>#DIV/0!</v>
      </c>
      <c r="J40" s="12">
        <f>'Info Entrada'!F203/$J$12</f>
        <v>0</v>
      </c>
      <c r="K40" s="13" t="e">
        <f t="shared" si="3"/>
        <v>#DIV/0!</v>
      </c>
      <c r="L40" s="12">
        <f>'Info Entrada'!G203/$L$12</f>
        <v>0</v>
      </c>
      <c r="M40" s="13" t="e">
        <f t="shared" si="4"/>
        <v>#DIV/0!</v>
      </c>
    </row>
    <row r="41" spans="1:14" x14ac:dyDescent="0.2">
      <c r="A41" s="3328" t="str">
        <f>'Info Entrada'!B204</f>
        <v>Inversiones Permanentes</v>
      </c>
      <c r="B41" s="3329"/>
      <c r="C41" s="3329"/>
      <c r="D41" s="174">
        <f>'Info Entrada'!C204/$D$12</f>
        <v>0</v>
      </c>
      <c r="E41" s="13" t="e">
        <f t="shared" si="0"/>
        <v>#DIV/0!</v>
      </c>
      <c r="F41" s="12">
        <f>'Info Entrada'!D204/$F$12</f>
        <v>0</v>
      </c>
      <c r="G41" s="13" t="e">
        <f t="shared" si="1"/>
        <v>#DIV/0!</v>
      </c>
      <c r="H41" s="12">
        <f>'Info Entrada'!E204/$H$12</f>
        <v>0</v>
      </c>
      <c r="I41" s="13" t="e">
        <f t="shared" si="2"/>
        <v>#DIV/0!</v>
      </c>
      <c r="J41" s="12">
        <f>'Info Entrada'!F204/$J$12</f>
        <v>0</v>
      </c>
      <c r="K41" s="13" t="e">
        <f t="shared" si="3"/>
        <v>#DIV/0!</v>
      </c>
      <c r="L41" s="12">
        <f>'Info Entrada'!G204/$L$12</f>
        <v>0</v>
      </c>
      <c r="M41" s="13" t="e">
        <f t="shared" si="4"/>
        <v>#DIV/0!</v>
      </c>
    </row>
    <row r="42" spans="1:14" x14ac:dyDescent="0.2">
      <c r="A42" s="3328" t="str">
        <f>'Info Entrada'!B205</f>
        <v>Préstamos L/P Grupo</v>
      </c>
      <c r="B42" s="3329"/>
      <c r="C42" s="3329"/>
      <c r="D42" s="12">
        <f>'Info Entrada'!C205/$D$12</f>
        <v>0</v>
      </c>
      <c r="E42" s="13" t="e">
        <f t="shared" si="0"/>
        <v>#DIV/0!</v>
      </c>
      <c r="F42" s="12">
        <f>'Info Entrada'!D205/$F$12</f>
        <v>0</v>
      </c>
      <c r="G42" s="13" t="e">
        <f t="shared" si="1"/>
        <v>#DIV/0!</v>
      </c>
      <c r="H42" s="12">
        <f>'Info Entrada'!E205/$H$12</f>
        <v>0</v>
      </c>
      <c r="I42" s="13" t="e">
        <f t="shared" si="2"/>
        <v>#DIV/0!</v>
      </c>
      <c r="J42" s="12">
        <f>'Info Entrada'!F205/$J$12</f>
        <v>0</v>
      </c>
      <c r="K42" s="13" t="e">
        <f t="shared" si="3"/>
        <v>#DIV/0!</v>
      </c>
      <c r="L42" s="12">
        <f>'Info Entrada'!G205/$L$12</f>
        <v>0</v>
      </c>
      <c r="M42" s="13" t="e">
        <f t="shared" si="4"/>
        <v>#DIV/0!</v>
      </c>
    </row>
    <row r="43" spans="1:14" x14ac:dyDescent="0.2">
      <c r="A43" s="3328" t="str">
        <f>'Info Entrada'!B206</f>
        <v>Deudores Largo Plazo</v>
      </c>
      <c r="B43" s="3329"/>
      <c r="C43" s="3329"/>
      <c r="D43" s="12">
        <f>'Info Entrada'!C206/$D$12+'Info Entrada'!C207/$D$12</f>
        <v>0</v>
      </c>
      <c r="E43" s="13" t="e">
        <f t="shared" si="0"/>
        <v>#DIV/0!</v>
      </c>
      <c r="F43" s="12">
        <f>'Info Entrada'!D206/$F$12+'Info Entrada'!D207/$F$12</f>
        <v>0</v>
      </c>
      <c r="G43" s="13" t="e">
        <f t="shared" si="1"/>
        <v>#DIV/0!</v>
      </c>
      <c r="H43" s="12">
        <f>'Info Entrada'!E206/$H$12+'Info Entrada'!E207/$H$12</f>
        <v>0</v>
      </c>
      <c r="I43" s="13" t="e">
        <f t="shared" si="2"/>
        <v>#DIV/0!</v>
      </c>
      <c r="J43" s="12">
        <f>'Info Entrada'!F206/$J$12+'Info Entrada'!F207/$J$12</f>
        <v>0</v>
      </c>
      <c r="K43" s="13" t="e">
        <f t="shared" si="3"/>
        <v>#DIV/0!</v>
      </c>
      <c r="L43" s="12">
        <f>'Info Entrada'!G206/$L$12+'Info Entrada'!G207/$L$12</f>
        <v>0</v>
      </c>
      <c r="M43" s="13" t="e">
        <f t="shared" si="4"/>
        <v>#DIV/0!</v>
      </c>
    </row>
    <row r="44" spans="1:14" x14ac:dyDescent="0.2">
      <c r="A44" s="3328" t="str">
        <f>'Info Entrada'!B208</f>
        <v xml:space="preserve">Valorización de Inversiones </v>
      </c>
      <c r="B44" s="3329"/>
      <c r="C44" s="3329"/>
      <c r="D44" s="12">
        <f>'Info Entrada'!C208/$D$12</f>
        <v>0</v>
      </c>
      <c r="E44" s="13" t="e">
        <f t="shared" si="0"/>
        <v>#DIV/0!</v>
      </c>
      <c r="F44" s="12">
        <f>'Info Entrada'!D208/$F$12</f>
        <v>0</v>
      </c>
      <c r="G44" s="13" t="e">
        <f t="shared" si="1"/>
        <v>#DIV/0!</v>
      </c>
      <c r="H44" s="12">
        <f>'Info Entrada'!E208/$H$12</f>
        <v>0</v>
      </c>
      <c r="I44" s="13" t="e">
        <f t="shared" si="2"/>
        <v>#DIV/0!</v>
      </c>
      <c r="J44" s="12">
        <f>'Info Entrada'!F208/$J$12</f>
        <v>0</v>
      </c>
      <c r="K44" s="13" t="e">
        <f t="shared" si="3"/>
        <v>#DIV/0!</v>
      </c>
      <c r="L44" s="12">
        <f>'Info Entrada'!G208/$L$12</f>
        <v>0</v>
      </c>
      <c r="M44" s="13" t="e">
        <f t="shared" si="4"/>
        <v>#DIV/0!</v>
      </c>
    </row>
    <row r="45" spans="1:14" ht="13.5" thickBot="1" x14ac:dyDescent="0.25">
      <c r="A45" s="3340" t="str">
        <f>'Info Entrada'!B209</f>
        <v>Valorización de Activos Fijos</v>
      </c>
      <c r="B45" s="3341"/>
      <c r="C45" s="3341"/>
      <c r="D45" s="224">
        <f>'Info Entrada'!C209/$D$12</f>
        <v>0</v>
      </c>
      <c r="E45" s="225" t="e">
        <f t="shared" si="0"/>
        <v>#DIV/0!</v>
      </c>
      <c r="F45" s="224">
        <f>'Info Entrada'!D209/$F$12</f>
        <v>0</v>
      </c>
      <c r="G45" s="225" t="e">
        <f t="shared" si="1"/>
        <v>#DIV/0!</v>
      </c>
      <c r="H45" s="224">
        <f>'Info Entrada'!E209/$H$12</f>
        <v>0</v>
      </c>
      <c r="I45" s="225" t="e">
        <f t="shared" si="2"/>
        <v>#DIV/0!</v>
      </c>
      <c r="J45" s="224">
        <f>'Info Entrada'!F209/$J$12</f>
        <v>0</v>
      </c>
      <c r="K45" s="225" t="e">
        <f t="shared" si="3"/>
        <v>#DIV/0!</v>
      </c>
      <c r="L45" s="224">
        <f>'Info Entrada'!G209/$L$12</f>
        <v>0</v>
      </c>
      <c r="M45" s="225" t="e">
        <f t="shared" si="4"/>
        <v>#DIV/0!</v>
      </c>
    </row>
    <row r="46" spans="1:14" ht="13.5" thickBot="1" x14ac:dyDescent="0.25">
      <c r="A46" s="3350" t="str">
        <f>'Info Entrada'!B210</f>
        <v>ACTIVO FIJO Y OTROS</v>
      </c>
      <c r="B46" s="3351"/>
      <c r="C46" s="3352"/>
      <c r="D46" s="274">
        <f>D38+SUM(D39:D45)</f>
        <v>0</v>
      </c>
      <c r="E46" s="275" t="e">
        <f t="shared" si="0"/>
        <v>#DIV/0!</v>
      </c>
      <c r="F46" s="274">
        <f>F38+SUM(F39:F45)</f>
        <v>0</v>
      </c>
      <c r="G46" s="275" t="e">
        <f t="shared" si="1"/>
        <v>#DIV/0!</v>
      </c>
      <c r="H46" s="274">
        <f>H38+SUM(H39:H45)</f>
        <v>0</v>
      </c>
      <c r="I46" s="275" t="e">
        <f t="shared" si="2"/>
        <v>#DIV/0!</v>
      </c>
      <c r="J46" s="274">
        <f>J38+SUM(J39:J45)</f>
        <v>0</v>
      </c>
      <c r="K46" s="275" t="e">
        <f t="shared" si="3"/>
        <v>#DIV/0!</v>
      </c>
      <c r="L46" s="274">
        <f>L38+SUM(L39:L45)</f>
        <v>0</v>
      </c>
      <c r="M46" s="275" t="e">
        <f t="shared" si="4"/>
        <v>#DIV/0!</v>
      </c>
    </row>
    <row r="47" spans="1:14" s="18" customFormat="1" ht="13.5" thickBot="1" x14ac:dyDescent="0.25">
      <c r="A47" s="3347"/>
      <c r="B47" s="3347"/>
      <c r="C47" s="3347"/>
      <c r="D47" s="273"/>
      <c r="E47" s="218"/>
      <c r="F47" s="273"/>
      <c r="G47" s="218"/>
      <c r="H47" s="273"/>
      <c r="I47" s="218"/>
      <c r="J47" s="218"/>
      <c r="K47" s="218"/>
      <c r="L47" s="273"/>
      <c r="M47" s="218"/>
    </row>
    <row r="48" spans="1:14" ht="15" thickBot="1" x14ac:dyDescent="0.25">
      <c r="A48" s="3353" t="s">
        <v>301</v>
      </c>
      <c r="B48" s="3354"/>
      <c r="C48" s="3354"/>
      <c r="D48" s="282">
        <f>(D46+D33)</f>
        <v>0</v>
      </c>
      <c r="E48" s="283" t="e">
        <f>+D48/$D$48</f>
        <v>#DIV/0!</v>
      </c>
      <c r="F48" s="282">
        <f>(F46+F33)</f>
        <v>0</v>
      </c>
      <c r="G48" s="283" t="e">
        <f>+F48/$F$48</f>
        <v>#DIV/0!</v>
      </c>
      <c r="H48" s="282">
        <f>(H46+H33)</f>
        <v>0</v>
      </c>
      <c r="I48" s="283" t="e">
        <f>+H48/$H$48</f>
        <v>#DIV/0!</v>
      </c>
      <c r="J48" s="282">
        <f>(J46+J33)</f>
        <v>0</v>
      </c>
      <c r="K48" s="283" t="e">
        <f>+J48/$H$48</f>
        <v>#DIV/0!</v>
      </c>
      <c r="L48" s="282">
        <f>(L46+L33)</f>
        <v>0</v>
      </c>
      <c r="M48" s="283" t="e">
        <f>+L48/$L$48</f>
        <v>#DIV/0!</v>
      </c>
    </row>
    <row r="49" spans="1:13" s="19" customFormat="1" x14ac:dyDescent="0.2">
      <c r="A49" s="3347"/>
      <c r="B49" s="3347"/>
      <c r="C49" s="3347"/>
      <c r="D49" s="220"/>
      <c r="E49" s="218"/>
      <c r="F49" s="220"/>
      <c r="G49" s="218"/>
      <c r="H49" s="220"/>
      <c r="I49" s="218"/>
      <c r="J49" s="218"/>
      <c r="K49" s="218"/>
    </row>
    <row r="50" spans="1:13" s="24" customFormat="1" ht="13.5" thickBot="1" x14ac:dyDescent="0.25">
      <c r="A50" s="20" t="s">
        <v>302</v>
      </c>
      <c r="B50" s="20"/>
      <c r="C50" s="19"/>
      <c r="D50" s="21"/>
      <c r="E50" s="22"/>
      <c r="F50" s="23"/>
      <c r="G50" s="22"/>
      <c r="H50" s="23" t="s">
        <v>303</v>
      </c>
      <c r="I50" s="22"/>
      <c r="J50" s="22"/>
      <c r="K50" s="22"/>
    </row>
    <row r="51" spans="1:13" s="24" customFormat="1" ht="13.5" thickTop="1" x14ac:dyDescent="0.2">
      <c r="A51" s="25"/>
      <c r="B51" s="26"/>
      <c r="C51" s="26"/>
      <c r="D51" s="26"/>
      <c r="E51" s="26"/>
      <c r="F51" s="26"/>
      <c r="G51" s="26"/>
      <c r="H51" s="26"/>
      <c r="I51" s="26"/>
      <c r="J51" s="26"/>
      <c r="K51" s="26"/>
      <c r="L51" s="26"/>
      <c r="M51" s="50"/>
    </row>
    <row r="52" spans="1:13" s="24" customFormat="1" x14ac:dyDescent="0.2">
      <c r="A52" s="1102" t="s">
        <v>303</v>
      </c>
      <c r="B52" s="1103"/>
      <c r="C52" s="1103"/>
      <c r="D52" s="1103"/>
      <c r="E52" s="1103"/>
      <c r="F52" s="1103"/>
      <c r="G52" s="1103"/>
      <c r="H52" s="1103"/>
      <c r="I52" s="1103"/>
      <c r="J52" s="1103"/>
      <c r="K52" s="1103"/>
      <c r="L52" s="1103"/>
      <c r="M52" s="1104"/>
    </row>
    <row r="53" spans="1:13" s="24" customFormat="1" x14ac:dyDescent="0.2">
      <c r="A53" s="1102"/>
      <c r="B53" s="1103"/>
      <c r="C53" s="1103"/>
      <c r="D53" s="1103"/>
      <c r="E53" s="1103"/>
      <c r="F53" s="1103"/>
      <c r="G53" s="1103"/>
      <c r="H53" s="1103"/>
      <c r="I53" s="1103"/>
      <c r="J53" s="1103"/>
      <c r="K53" s="1103"/>
      <c r="L53" s="1103"/>
      <c r="M53" s="1104"/>
    </row>
    <row r="54" spans="1:13" s="24" customFormat="1" x14ac:dyDescent="0.2">
      <c r="A54" s="1102"/>
      <c r="B54" s="1103"/>
      <c r="C54" s="1103"/>
      <c r="D54" s="1103"/>
      <c r="E54" s="1103"/>
      <c r="F54" s="1103"/>
      <c r="G54" s="1103"/>
      <c r="H54" s="1103"/>
      <c r="I54" s="1103"/>
      <c r="J54" s="1103"/>
      <c r="K54" s="1103"/>
      <c r="L54" s="1103"/>
      <c r="M54" s="1104"/>
    </row>
    <row r="55" spans="1:13" s="24" customFormat="1" x14ac:dyDescent="0.2">
      <c r="A55" s="1102"/>
      <c r="B55" s="1103"/>
      <c r="C55" s="1103"/>
      <c r="D55" s="1103"/>
      <c r="E55" s="1103"/>
      <c r="F55" s="1103"/>
      <c r="G55" s="1103"/>
      <c r="H55" s="1103"/>
      <c r="I55" s="1103"/>
      <c r="J55" s="1103"/>
      <c r="K55" s="1103"/>
      <c r="L55" s="1103"/>
      <c r="M55" s="1104"/>
    </row>
    <row r="56" spans="1:13" s="24" customFormat="1" x14ac:dyDescent="0.2">
      <c r="A56" s="1102"/>
      <c r="B56" s="1103"/>
      <c r="C56" s="1103"/>
      <c r="D56" s="1103"/>
      <c r="E56" s="1103"/>
      <c r="F56" s="1103"/>
      <c r="G56" s="1103"/>
      <c r="H56" s="1103"/>
      <c r="I56" s="1103"/>
      <c r="J56" s="1103"/>
      <c r="K56" s="1103"/>
      <c r="L56" s="1103"/>
      <c r="M56" s="1104"/>
    </row>
    <row r="57" spans="1:13" s="24" customFormat="1" x14ac:dyDescent="0.2">
      <c r="A57" s="1102"/>
      <c r="B57" s="1103"/>
      <c r="C57" s="1103"/>
      <c r="D57" s="1103"/>
      <c r="E57" s="1103"/>
      <c r="F57" s="1103"/>
      <c r="G57" s="1103"/>
      <c r="H57" s="1103"/>
      <c r="I57" s="1103"/>
      <c r="J57" s="1103"/>
      <c r="K57" s="1103"/>
      <c r="L57" s="1103"/>
      <c r="M57" s="1104"/>
    </row>
    <row r="58" spans="1:13" s="24" customFormat="1" x14ac:dyDescent="0.2">
      <c r="A58" s="1102"/>
      <c r="B58" s="1103"/>
      <c r="C58" s="1103"/>
      <c r="D58" s="1103"/>
      <c r="E58" s="1103"/>
      <c r="F58" s="1103"/>
      <c r="G58" s="1103"/>
      <c r="H58" s="1103"/>
      <c r="I58" s="1103"/>
      <c r="J58" s="1103"/>
      <c r="K58" s="1103"/>
      <c r="L58" s="1103"/>
      <c r="M58" s="1104"/>
    </row>
    <row r="59" spans="1:13" s="24" customFormat="1" x14ac:dyDescent="0.2">
      <c r="A59" s="1102"/>
      <c r="B59" s="1103"/>
      <c r="C59" s="1103"/>
      <c r="D59" s="1103"/>
      <c r="E59" s="1103"/>
      <c r="F59" s="1103"/>
      <c r="G59" s="1103"/>
      <c r="H59" s="1103"/>
      <c r="I59" s="1103"/>
      <c r="J59" s="1103"/>
      <c r="K59" s="1103"/>
      <c r="L59" s="1103"/>
      <c r="M59" s="1104"/>
    </row>
    <row r="60" spans="1:13" s="24" customFormat="1" x14ac:dyDescent="0.2">
      <c r="A60" s="1102"/>
      <c r="B60" s="1103"/>
      <c r="C60" s="1103"/>
      <c r="D60" s="1103"/>
      <c r="E60" s="1103"/>
      <c r="F60" s="1103"/>
      <c r="G60" s="1103"/>
      <c r="H60" s="1103"/>
      <c r="I60" s="1103"/>
      <c r="J60" s="1103"/>
      <c r="K60" s="1103"/>
      <c r="L60" s="1103"/>
      <c r="M60" s="1104"/>
    </row>
    <row r="61" spans="1:13" s="24" customFormat="1" x14ac:dyDescent="0.2">
      <c r="A61" s="1102"/>
      <c r="B61" s="1103"/>
      <c r="C61" s="1103"/>
      <c r="D61" s="1103"/>
      <c r="E61" s="1103"/>
      <c r="F61" s="1103"/>
      <c r="G61" s="1103"/>
      <c r="H61" s="1103"/>
      <c r="I61" s="1103"/>
      <c r="J61" s="1103"/>
      <c r="K61" s="1103"/>
      <c r="L61" s="1103"/>
      <c r="M61" s="1104"/>
    </row>
    <row r="62" spans="1:13" s="24" customFormat="1" x14ac:dyDescent="0.2">
      <c r="A62" s="1102"/>
      <c r="B62" s="1103"/>
      <c r="C62" s="1103"/>
      <c r="D62" s="1103"/>
      <c r="E62" s="1103"/>
      <c r="F62" s="1103"/>
      <c r="G62" s="1103"/>
      <c r="H62" s="1103"/>
      <c r="I62" s="1103"/>
      <c r="J62" s="1103"/>
      <c r="K62" s="1103"/>
      <c r="L62" s="1103"/>
      <c r="M62" s="1104"/>
    </row>
    <row r="63" spans="1:13" s="24" customFormat="1" x14ac:dyDescent="0.2">
      <c r="A63" s="1102"/>
      <c r="B63" s="1103"/>
      <c r="C63" s="1103"/>
      <c r="D63" s="1103"/>
      <c r="E63" s="1103"/>
      <c r="F63" s="1103"/>
      <c r="G63" s="1103"/>
      <c r="H63" s="1103"/>
      <c r="I63" s="1103"/>
      <c r="J63" s="1103"/>
      <c r="K63" s="1103"/>
      <c r="L63" s="1103"/>
      <c r="M63" s="1104"/>
    </row>
    <row r="64" spans="1:13" s="24" customFormat="1" x14ac:dyDescent="0.2">
      <c r="A64" s="1102"/>
      <c r="B64" s="1103"/>
      <c r="C64" s="1103"/>
      <c r="D64" s="1103"/>
      <c r="E64" s="1103"/>
      <c r="F64" s="1103"/>
      <c r="G64" s="1103"/>
      <c r="H64" s="1103"/>
      <c r="I64" s="1103"/>
      <c r="J64" s="1103"/>
      <c r="K64" s="1103"/>
      <c r="L64" s="1103"/>
      <c r="M64" s="1104"/>
    </row>
    <row r="65" spans="1:13" s="24" customFormat="1" x14ac:dyDescent="0.2">
      <c r="A65" s="1102"/>
      <c r="B65" s="1103"/>
      <c r="C65" s="1103"/>
      <c r="D65" s="1103"/>
      <c r="E65" s="1103"/>
      <c r="F65" s="1103"/>
      <c r="G65" s="1103"/>
      <c r="H65" s="1103"/>
      <c r="I65" s="1103"/>
      <c r="J65" s="1103"/>
      <c r="K65" s="1103"/>
      <c r="L65" s="1103"/>
      <c r="M65" s="1104"/>
    </row>
    <row r="66" spans="1:13" s="24" customFormat="1" x14ac:dyDescent="0.2">
      <c r="A66" s="1102"/>
      <c r="B66" s="1103"/>
      <c r="C66" s="1103"/>
      <c r="D66" s="1103"/>
      <c r="E66" s="1103"/>
      <c r="F66" s="1103"/>
      <c r="G66" s="1103"/>
      <c r="H66" s="1103"/>
      <c r="I66" s="1103"/>
      <c r="J66" s="1103"/>
      <c r="K66" s="1103"/>
      <c r="L66" s="1103"/>
      <c r="M66" s="1104"/>
    </row>
    <row r="67" spans="1:13" s="24" customFormat="1" x14ac:dyDescent="0.2">
      <c r="A67" s="1102"/>
      <c r="B67" s="1103"/>
      <c r="C67" s="1103"/>
      <c r="D67" s="1103"/>
      <c r="E67" s="1103"/>
      <c r="F67" s="1103"/>
      <c r="G67" s="1103"/>
      <c r="H67" s="1103"/>
      <c r="I67" s="1103"/>
      <c r="J67" s="1103"/>
      <c r="K67" s="1103"/>
      <c r="L67" s="1103"/>
      <c r="M67" s="1104"/>
    </row>
    <row r="68" spans="1:13" s="24" customFormat="1" x14ac:dyDescent="0.2">
      <c r="A68" s="1102"/>
      <c r="B68" s="1103"/>
      <c r="C68" s="1103"/>
      <c r="D68" s="1103"/>
      <c r="E68" s="1103"/>
      <c r="F68" s="1103"/>
      <c r="G68" s="1103"/>
      <c r="H68" s="1103"/>
      <c r="I68" s="1103"/>
      <c r="J68" s="1103"/>
      <c r="K68" s="1103"/>
      <c r="L68" s="1103"/>
      <c r="M68" s="1104"/>
    </row>
    <row r="69" spans="1:13" s="24" customFormat="1" x14ac:dyDescent="0.2">
      <c r="A69" s="1102"/>
      <c r="B69" s="1103"/>
      <c r="C69" s="1103"/>
      <c r="D69" s="1103"/>
      <c r="E69" s="1103"/>
      <c r="F69" s="1103"/>
      <c r="G69" s="1103"/>
      <c r="H69" s="1103"/>
      <c r="I69" s="1103"/>
      <c r="J69" s="1103"/>
      <c r="K69" s="1103"/>
      <c r="L69" s="1103"/>
      <c r="M69" s="1104"/>
    </row>
    <row r="70" spans="1:13" s="24" customFormat="1" x14ac:dyDescent="0.2">
      <c r="A70" s="1102"/>
      <c r="B70" s="1103"/>
      <c r="C70" s="1103"/>
      <c r="D70" s="1103"/>
      <c r="E70" s="1103"/>
      <c r="F70" s="1103"/>
      <c r="G70" s="1103"/>
      <c r="H70" s="1103"/>
      <c r="I70" s="1103"/>
      <c r="J70" s="1103"/>
      <c r="K70" s="1103"/>
      <c r="L70" s="1103"/>
      <c r="M70" s="1104"/>
    </row>
    <row r="71" spans="1:13" s="24" customFormat="1" x14ac:dyDescent="0.2">
      <c r="A71" s="1102"/>
      <c r="B71" s="1103"/>
      <c r="C71" s="1103"/>
      <c r="D71" s="1103"/>
      <c r="E71" s="1103"/>
      <c r="F71" s="1103"/>
      <c r="G71" s="1103"/>
      <c r="H71" s="1103"/>
      <c r="I71" s="1103"/>
      <c r="J71" s="1103"/>
      <c r="K71" s="1103"/>
      <c r="L71" s="1103"/>
      <c r="M71" s="1104"/>
    </row>
    <row r="72" spans="1:13" s="24" customFormat="1" x14ac:dyDescent="0.2">
      <c r="A72" s="1102"/>
      <c r="B72" s="1103"/>
      <c r="C72" s="1103"/>
      <c r="D72" s="1103"/>
      <c r="E72" s="1103"/>
      <c r="F72" s="1103"/>
      <c r="G72" s="1103"/>
      <c r="H72" s="1103"/>
      <c r="I72" s="1103"/>
      <c r="J72" s="1103"/>
      <c r="K72" s="1103"/>
      <c r="L72" s="1103"/>
      <c r="M72" s="1104"/>
    </row>
    <row r="73" spans="1:13" s="24" customFormat="1" x14ac:dyDescent="0.2">
      <c r="A73" s="1102"/>
      <c r="B73" s="1103"/>
      <c r="C73" s="1103"/>
      <c r="D73" s="1103"/>
      <c r="E73" s="1103"/>
      <c r="F73" s="1103"/>
      <c r="G73" s="1103"/>
      <c r="H73" s="1103"/>
      <c r="I73" s="1103"/>
      <c r="J73" s="1103"/>
      <c r="K73" s="1103"/>
      <c r="L73" s="1103"/>
      <c r="M73" s="1104"/>
    </row>
    <row r="74" spans="1:13" s="24" customFormat="1" x14ac:dyDescent="0.2">
      <c r="A74" s="1102"/>
      <c r="B74" s="1103"/>
      <c r="C74" s="1103"/>
      <c r="D74" s="1103"/>
      <c r="E74" s="1103"/>
      <c r="F74" s="1103"/>
      <c r="G74" s="1103"/>
      <c r="H74" s="1103"/>
      <c r="I74" s="1103"/>
      <c r="J74" s="1103"/>
      <c r="K74" s="1103"/>
      <c r="L74" s="1103"/>
      <c r="M74" s="1104"/>
    </row>
    <row r="75" spans="1:13" s="24" customFormat="1" ht="13.5" thickBot="1" x14ac:dyDescent="0.25">
      <c r="A75" s="27" t="s">
        <v>303</v>
      </c>
      <c r="B75" s="28"/>
      <c r="C75" s="28"/>
      <c r="D75" s="28"/>
      <c r="E75" s="28"/>
      <c r="F75" s="28"/>
      <c r="G75" s="28"/>
      <c r="H75" s="28"/>
      <c r="I75" s="28"/>
      <c r="J75" s="28"/>
      <c r="K75" s="28"/>
      <c r="L75" s="28"/>
      <c r="M75" s="51"/>
    </row>
    <row r="76" spans="1:13" ht="13.5" thickTop="1" x14ac:dyDescent="0.2">
      <c r="A76"/>
      <c r="B76"/>
      <c r="C76"/>
      <c r="D76"/>
      <c r="E76"/>
      <c r="F76"/>
      <c r="G76"/>
      <c r="H76"/>
    </row>
    <row r="77" spans="1:13" x14ac:dyDescent="0.2">
      <c r="A77"/>
      <c r="B77"/>
      <c r="C77"/>
      <c r="D77"/>
      <c r="E77"/>
      <c r="F77"/>
      <c r="G77"/>
      <c r="H77"/>
    </row>
    <row r="78" spans="1:13" x14ac:dyDescent="0.2">
      <c r="A78"/>
      <c r="B78"/>
      <c r="C78"/>
      <c r="D78"/>
      <c r="E78"/>
      <c r="F78"/>
      <c r="G78"/>
      <c r="H78"/>
    </row>
    <row r="79" spans="1:13" x14ac:dyDescent="0.2">
      <c r="A79"/>
      <c r="B79"/>
      <c r="C79"/>
      <c r="D79"/>
      <c r="E79"/>
      <c r="F79"/>
      <c r="G79"/>
      <c r="H79"/>
    </row>
    <row r="80" spans="1:13" x14ac:dyDescent="0.2">
      <c r="A80"/>
      <c r="B80"/>
      <c r="C80"/>
      <c r="D80"/>
      <c r="E80"/>
      <c r="F80"/>
      <c r="G80"/>
      <c r="H80"/>
    </row>
    <row r="81" spans="1:14" x14ac:dyDescent="0.2">
      <c r="A81"/>
      <c r="B81"/>
      <c r="C81"/>
      <c r="D81"/>
      <c r="E81"/>
      <c r="F81"/>
      <c r="G81"/>
      <c r="H81"/>
    </row>
    <row r="82" spans="1:14" x14ac:dyDescent="0.2">
      <c r="A82"/>
      <c r="B82"/>
      <c r="C82"/>
      <c r="D82"/>
      <c r="E82"/>
      <c r="F82"/>
      <c r="G82"/>
      <c r="H82"/>
    </row>
    <row r="83" spans="1:14" x14ac:dyDescent="0.2">
      <c r="A83"/>
      <c r="B83"/>
      <c r="C83"/>
      <c r="D83"/>
      <c r="E83"/>
      <c r="F83"/>
      <c r="G83"/>
      <c r="H83"/>
    </row>
    <row r="84" spans="1:14" x14ac:dyDescent="0.2">
      <c r="A84"/>
      <c r="B84"/>
      <c r="C84"/>
      <c r="D84"/>
      <c r="E84"/>
      <c r="F84"/>
      <c r="G84"/>
      <c r="H84"/>
    </row>
    <row r="85" spans="1:14" x14ac:dyDescent="0.2">
      <c r="A85"/>
      <c r="B85"/>
      <c r="C85"/>
      <c r="D85"/>
      <c r="E85"/>
      <c r="F85"/>
      <c r="G85"/>
      <c r="H85"/>
    </row>
    <row r="87" spans="1:14" x14ac:dyDescent="0.2">
      <c r="A87" s="18"/>
      <c r="B87" s="18"/>
      <c r="C87" s="18"/>
      <c r="D87" s="31"/>
      <c r="E87" s="32"/>
      <c r="F87" s="31"/>
      <c r="G87" s="32"/>
      <c r="H87" s="31"/>
      <c r="I87" s="32"/>
      <c r="J87" s="32"/>
      <c r="K87" s="32"/>
      <c r="L87" s="18"/>
      <c r="M87" s="18"/>
      <c r="N87" s="18"/>
    </row>
    <row r="88" spans="1:14" x14ac:dyDescent="0.2">
      <c r="A88" s="29"/>
      <c r="B88" s="29"/>
      <c r="C88" s="29"/>
      <c r="D88" s="29"/>
      <c r="F88" s="29"/>
      <c r="H88" s="29"/>
      <c r="L88" s="29"/>
      <c r="M88" s="29"/>
      <c r="N88" s="18"/>
    </row>
    <row r="89" spans="1:14" x14ac:dyDescent="0.2">
      <c r="A89" s="29"/>
      <c r="B89" s="29"/>
      <c r="C89" s="29"/>
      <c r="D89" s="29"/>
      <c r="F89" s="29"/>
      <c r="H89" s="29"/>
      <c r="L89" s="29"/>
      <c r="M89" s="29"/>
      <c r="N89" s="18"/>
    </row>
    <row r="90" spans="1:14" x14ac:dyDescent="0.2">
      <c r="A90" s="29"/>
      <c r="B90" s="29"/>
      <c r="C90" s="29"/>
      <c r="D90" s="29"/>
      <c r="F90" s="29"/>
      <c r="H90" s="29"/>
      <c r="L90" s="29"/>
      <c r="M90" s="29"/>
      <c r="N90" s="18"/>
    </row>
    <row r="91" spans="1:14" x14ac:dyDescent="0.2">
      <c r="A91" s="29"/>
      <c r="B91" s="29"/>
      <c r="C91" s="29"/>
      <c r="D91" s="29"/>
      <c r="F91" s="29"/>
      <c r="H91" s="29"/>
      <c r="L91" s="29"/>
      <c r="M91" s="29"/>
      <c r="N91" s="18"/>
    </row>
    <row r="92" spans="1:14" x14ac:dyDescent="0.2">
      <c r="A92" s="29"/>
      <c r="B92" s="29"/>
      <c r="C92" s="29"/>
      <c r="D92" s="29"/>
      <c r="F92" s="29"/>
      <c r="H92" s="29"/>
      <c r="L92" s="29"/>
      <c r="M92" s="29"/>
      <c r="N92" s="18"/>
    </row>
    <row r="93" spans="1:14" x14ac:dyDescent="0.2">
      <c r="A93" s="29"/>
      <c r="B93" s="29"/>
      <c r="C93" s="29"/>
      <c r="D93" s="29"/>
      <c r="F93" s="29"/>
      <c r="H93" s="29"/>
      <c r="L93" s="29"/>
      <c r="M93" s="29"/>
      <c r="N93" s="18"/>
    </row>
    <row r="94" spans="1:14" x14ac:dyDescent="0.2">
      <c r="A94" s="29"/>
      <c r="B94" s="29"/>
      <c r="C94" s="29"/>
      <c r="D94" s="29"/>
      <c r="F94" s="29"/>
      <c r="H94" s="29"/>
      <c r="L94" s="29"/>
      <c r="M94" s="29"/>
      <c r="N94" s="8"/>
    </row>
    <row r="95" spans="1:14" x14ac:dyDescent="0.2">
      <c r="A95" s="29"/>
      <c r="B95" s="29"/>
      <c r="C95" s="29"/>
      <c r="D95" s="29"/>
      <c r="F95" s="29"/>
      <c r="H95" s="29"/>
      <c r="L95" s="29"/>
      <c r="M95" s="29"/>
      <c r="N95" s="8"/>
    </row>
    <row r="96" spans="1:14" x14ac:dyDescent="0.2">
      <c r="A96" s="29"/>
      <c r="B96" s="29"/>
      <c r="C96" s="29"/>
      <c r="D96" s="29"/>
      <c r="F96" s="29"/>
      <c r="H96" s="29"/>
      <c r="L96" s="29"/>
      <c r="M96" s="29"/>
      <c r="N96" s="8"/>
    </row>
    <row r="97" spans="1:14" x14ac:dyDescent="0.2">
      <c r="A97" s="29"/>
      <c r="B97" s="29"/>
      <c r="C97" s="29"/>
      <c r="D97" s="29"/>
      <c r="F97" s="29"/>
      <c r="H97" s="29"/>
      <c r="L97" s="29"/>
      <c r="M97" s="29"/>
      <c r="N97" s="8"/>
    </row>
    <row r="98" spans="1:14" x14ac:dyDescent="0.2">
      <c r="A98" s="29"/>
      <c r="B98" s="29"/>
      <c r="C98" s="29"/>
      <c r="D98" s="29"/>
      <c r="F98" s="29"/>
      <c r="H98" s="29"/>
      <c r="L98" s="29"/>
      <c r="M98" s="29"/>
      <c r="N98" s="8"/>
    </row>
    <row r="99" spans="1:14" x14ac:dyDescent="0.2">
      <c r="A99" s="29"/>
      <c r="B99" s="29"/>
      <c r="C99" s="29"/>
      <c r="D99" s="29"/>
      <c r="F99" s="29"/>
      <c r="H99" s="29"/>
      <c r="L99" s="29"/>
      <c r="M99" s="29"/>
      <c r="N99" s="8"/>
    </row>
    <row r="100" spans="1:14" x14ac:dyDescent="0.2">
      <c r="A100" s="29"/>
      <c r="B100" s="29"/>
      <c r="C100" s="29"/>
      <c r="D100" s="29"/>
      <c r="F100" s="29"/>
      <c r="H100" s="29"/>
      <c r="L100" s="29"/>
      <c r="M100" s="29"/>
    </row>
    <row r="101" spans="1:14" ht="12.75" customHeight="1" x14ac:dyDescent="0.2">
      <c r="A101" s="29"/>
      <c r="B101" s="29"/>
      <c r="C101" s="29"/>
      <c r="D101" s="29"/>
      <c r="F101" s="29"/>
      <c r="H101" s="29"/>
      <c r="L101" s="29"/>
      <c r="M101" s="29"/>
      <c r="N101" s="18"/>
    </row>
    <row r="102" spans="1:14" ht="12.75" customHeight="1" x14ac:dyDescent="0.2">
      <c r="A102" s="29"/>
      <c r="B102" s="29"/>
      <c r="C102" s="29"/>
      <c r="D102" s="29"/>
      <c r="F102" s="29"/>
      <c r="H102" s="29"/>
      <c r="L102" s="29"/>
      <c r="M102" s="29"/>
      <c r="N102" s="18"/>
    </row>
    <row r="103" spans="1:14" ht="12.75" customHeight="1" x14ac:dyDescent="0.2">
      <c r="A103" s="29"/>
      <c r="B103" s="29"/>
      <c r="C103" s="29"/>
      <c r="D103" s="29"/>
      <c r="F103" s="29"/>
      <c r="H103" s="29"/>
      <c r="L103" s="29"/>
      <c r="M103" s="29"/>
      <c r="N103" s="18"/>
    </row>
    <row r="104" spans="1:14" x14ac:dyDescent="0.2">
      <c r="A104" s="29"/>
      <c r="B104" s="29"/>
      <c r="C104" s="29"/>
      <c r="D104" s="29"/>
      <c r="F104" s="29"/>
      <c r="H104" s="29"/>
      <c r="L104" s="29"/>
      <c r="M104" s="29"/>
      <c r="N104" s="18"/>
    </row>
    <row r="105" spans="1:14" ht="12.75" customHeight="1" x14ac:dyDescent="0.2">
      <c r="A105" s="29"/>
      <c r="B105" s="29"/>
      <c r="C105" s="29"/>
      <c r="D105" s="29"/>
      <c r="F105" s="29"/>
      <c r="H105" s="29"/>
      <c r="L105" s="29"/>
      <c r="M105" s="29"/>
      <c r="N105" s="18"/>
    </row>
    <row r="106" spans="1:14" ht="12.75" customHeight="1" x14ac:dyDescent="0.2">
      <c r="A106" s="29"/>
      <c r="B106" s="29"/>
      <c r="C106" s="29"/>
      <c r="D106" s="29"/>
      <c r="F106" s="29"/>
      <c r="H106" s="29"/>
      <c r="L106" s="29"/>
      <c r="M106" s="29"/>
      <c r="N106" s="18"/>
    </row>
    <row r="107" spans="1:14" ht="12.75" customHeight="1" x14ac:dyDescent="0.2">
      <c r="A107" s="29"/>
      <c r="B107" s="29"/>
      <c r="C107" s="29"/>
      <c r="D107" s="29"/>
      <c r="F107" s="29"/>
      <c r="H107" s="29"/>
      <c r="L107" s="29"/>
      <c r="M107" s="29"/>
      <c r="N107" s="18"/>
    </row>
    <row r="108" spans="1:14" ht="12.75" customHeight="1" x14ac:dyDescent="0.2">
      <c r="A108" s="29"/>
      <c r="B108" s="29"/>
      <c r="C108" s="29"/>
      <c r="D108" s="29"/>
      <c r="F108" s="29"/>
      <c r="H108" s="29"/>
      <c r="L108" s="29"/>
      <c r="M108" s="29"/>
      <c r="N108" s="18"/>
    </row>
    <row r="109" spans="1:14" ht="12.75" customHeight="1" x14ac:dyDescent="0.2">
      <c r="A109" s="29"/>
      <c r="B109" s="29"/>
      <c r="C109" s="29"/>
      <c r="D109" s="29"/>
      <c r="F109" s="29"/>
      <c r="H109" s="29"/>
      <c r="L109" s="29"/>
      <c r="M109" s="29"/>
      <c r="N109" s="18"/>
    </row>
    <row r="110" spans="1:14" ht="12.75" customHeight="1" x14ac:dyDescent="0.2">
      <c r="A110" s="29"/>
      <c r="B110" s="29"/>
      <c r="C110" s="29"/>
      <c r="D110" s="29"/>
      <c r="F110" s="29"/>
      <c r="H110" s="29"/>
      <c r="L110" s="29"/>
      <c r="M110" s="29"/>
      <c r="N110" s="18"/>
    </row>
    <row r="111" spans="1:14" ht="12.75" customHeight="1" x14ac:dyDescent="0.2">
      <c r="A111" s="29"/>
      <c r="B111" s="29"/>
      <c r="C111" s="29"/>
      <c r="D111" s="29"/>
      <c r="F111" s="29"/>
      <c r="H111" s="29"/>
      <c r="L111" s="29"/>
      <c r="M111" s="29"/>
      <c r="N111" s="18"/>
    </row>
    <row r="112" spans="1:14" ht="13.5" customHeight="1" x14ac:dyDescent="0.2">
      <c r="A112" s="29"/>
      <c r="B112" s="29"/>
      <c r="C112" s="29"/>
      <c r="D112" s="29"/>
      <c r="F112" s="29"/>
      <c r="H112" s="29"/>
      <c r="L112" s="29"/>
      <c r="M112" s="29"/>
      <c r="N112" s="18"/>
    </row>
    <row r="113" spans="1:14" ht="13.5" customHeight="1" x14ac:dyDescent="0.2">
      <c r="A113" s="29"/>
      <c r="B113" s="29"/>
      <c r="C113" s="29"/>
      <c r="D113" s="29"/>
      <c r="F113" s="29"/>
      <c r="H113" s="29"/>
      <c r="L113" s="29"/>
      <c r="M113" s="29"/>
      <c r="N113" s="18"/>
    </row>
    <row r="114" spans="1:14" ht="12.75" customHeight="1" x14ac:dyDescent="0.2">
      <c r="A114" s="29"/>
      <c r="B114" s="29"/>
      <c r="C114" s="29"/>
      <c r="D114" s="29"/>
      <c r="F114" s="29"/>
      <c r="H114" s="29"/>
      <c r="L114" s="29"/>
      <c r="M114" s="29"/>
      <c r="N114" s="18"/>
    </row>
    <row r="115" spans="1:14" ht="12.75" customHeight="1" x14ac:dyDescent="0.2">
      <c r="A115" s="29"/>
      <c r="B115" s="29"/>
      <c r="C115" s="29"/>
      <c r="D115" s="29"/>
      <c r="F115" s="29"/>
      <c r="H115" s="29"/>
      <c r="L115" s="29"/>
      <c r="M115" s="29"/>
      <c r="N115" s="18"/>
    </row>
    <row r="116" spans="1:14" ht="12.75" customHeight="1" x14ac:dyDescent="0.2">
      <c r="A116" s="29"/>
      <c r="B116" s="29"/>
      <c r="C116" s="29"/>
      <c r="D116" s="29"/>
      <c r="F116" s="29"/>
      <c r="H116" s="29"/>
      <c r="L116" s="29"/>
      <c r="M116" s="29"/>
      <c r="N116" s="18"/>
    </row>
    <row r="117" spans="1:14" ht="12.75" customHeight="1" x14ac:dyDescent="0.2">
      <c r="A117" s="29"/>
      <c r="B117" s="29"/>
      <c r="C117" s="29"/>
      <c r="D117" s="29"/>
      <c r="F117" s="29"/>
      <c r="H117" s="29"/>
      <c r="L117" s="29"/>
      <c r="M117" s="29"/>
      <c r="N117" s="18"/>
    </row>
    <row r="118" spans="1:14" ht="12.75" customHeight="1" x14ac:dyDescent="0.2">
      <c r="A118" s="29"/>
      <c r="B118" s="29"/>
      <c r="C118" s="29"/>
      <c r="D118" s="29"/>
      <c r="F118" s="29"/>
      <c r="H118" s="29"/>
      <c r="L118" s="29"/>
      <c r="M118" s="29"/>
      <c r="N118" s="18"/>
    </row>
    <row r="119" spans="1:14" ht="12.75" customHeight="1" x14ac:dyDescent="0.2">
      <c r="A119" s="29"/>
      <c r="B119" s="29"/>
      <c r="C119" s="29"/>
      <c r="D119" s="29"/>
      <c r="F119" s="29"/>
      <c r="H119" s="29"/>
      <c r="L119" s="29"/>
      <c r="M119" s="29"/>
      <c r="N119" s="18"/>
    </row>
    <row r="120" spans="1:14" ht="12.75" customHeight="1" x14ac:dyDescent="0.2">
      <c r="A120" s="29"/>
      <c r="B120" s="29"/>
      <c r="C120" s="29"/>
      <c r="D120" s="29"/>
      <c r="F120" s="29"/>
      <c r="H120" s="29"/>
      <c r="L120" s="29"/>
      <c r="M120" s="29"/>
      <c r="N120" s="18"/>
    </row>
    <row r="121" spans="1:14" ht="13.5" customHeight="1" x14ac:dyDescent="0.2">
      <c r="A121" s="29"/>
      <c r="B121" s="29"/>
      <c r="C121" s="29"/>
      <c r="D121" s="29"/>
      <c r="F121" s="29"/>
      <c r="H121" s="29"/>
      <c r="L121" s="29"/>
      <c r="M121" s="29"/>
      <c r="N121" s="18"/>
    </row>
    <row r="122" spans="1:14" ht="13.5" customHeight="1" x14ac:dyDescent="0.2">
      <c r="A122" s="29"/>
      <c r="B122" s="29"/>
      <c r="C122" s="29"/>
      <c r="D122" s="29"/>
      <c r="F122" s="29"/>
      <c r="H122" s="29"/>
      <c r="L122" s="29"/>
      <c r="M122" s="29"/>
      <c r="N122" s="18"/>
    </row>
    <row r="123" spans="1:14" ht="12.75" customHeight="1" x14ac:dyDescent="0.2">
      <c r="A123" s="29"/>
      <c r="B123" s="29"/>
      <c r="C123" s="29"/>
      <c r="D123" s="29"/>
      <c r="F123" s="29"/>
      <c r="H123" s="29"/>
      <c r="L123" s="29"/>
      <c r="M123" s="29"/>
      <c r="N123" s="18"/>
    </row>
    <row r="124" spans="1:14" ht="12.75" customHeight="1" x14ac:dyDescent="0.2">
      <c r="A124" s="29"/>
      <c r="B124" s="29"/>
      <c r="C124" s="29"/>
      <c r="D124" s="29"/>
      <c r="F124" s="29"/>
      <c r="H124" s="29"/>
      <c r="L124" s="29"/>
      <c r="M124" s="29"/>
      <c r="N124" s="18"/>
    </row>
    <row r="125" spans="1:14" ht="12.75" customHeight="1" x14ac:dyDescent="0.2">
      <c r="A125" s="29"/>
      <c r="B125" s="29"/>
      <c r="C125" s="29"/>
      <c r="D125" s="29"/>
      <c r="F125" s="29"/>
      <c r="H125" s="29"/>
      <c r="L125" s="29"/>
      <c r="M125" s="29"/>
      <c r="N125" s="18"/>
    </row>
    <row r="126" spans="1:14" ht="12.75" customHeight="1" x14ac:dyDescent="0.2">
      <c r="A126" s="29"/>
      <c r="B126" s="29"/>
      <c r="C126" s="29"/>
      <c r="D126" s="29"/>
      <c r="F126" s="29"/>
      <c r="H126" s="29"/>
      <c r="L126" s="29"/>
      <c r="M126" s="29"/>
      <c r="N126" s="18"/>
    </row>
    <row r="127" spans="1:14" ht="12.75" customHeight="1" x14ac:dyDescent="0.2">
      <c r="A127" s="29"/>
      <c r="B127" s="29"/>
      <c r="C127" s="29"/>
      <c r="D127" s="29"/>
      <c r="F127" s="29"/>
      <c r="H127" s="29"/>
      <c r="L127" s="29"/>
      <c r="M127" s="29"/>
      <c r="N127" s="18"/>
    </row>
    <row r="128" spans="1:14" ht="12.75" customHeight="1" x14ac:dyDescent="0.2">
      <c r="A128" s="29"/>
      <c r="B128" s="29"/>
      <c r="C128" s="29"/>
      <c r="D128" s="29"/>
      <c r="F128" s="29"/>
      <c r="H128" s="29"/>
      <c r="L128" s="29"/>
      <c r="M128" s="29"/>
      <c r="N128" s="18"/>
    </row>
    <row r="129" spans="1:14" ht="12.75" customHeight="1" x14ac:dyDescent="0.2">
      <c r="A129" s="29"/>
      <c r="B129" s="29"/>
      <c r="C129" s="29"/>
      <c r="D129" s="29"/>
      <c r="F129" s="29"/>
      <c r="H129" s="29"/>
      <c r="L129" s="29"/>
      <c r="M129" s="29"/>
      <c r="N129" s="18"/>
    </row>
    <row r="130" spans="1:14" ht="12.75" customHeight="1" x14ac:dyDescent="0.2">
      <c r="A130" s="29"/>
      <c r="B130" s="29"/>
      <c r="C130" s="29"/>
      <c r="D130" s="29"/>
      <c r="F130" s="29"/>
      <c r="H130" s="29"/>
      <c r="L130" s="29"/>
      <c r="M130" s="29"/>
      <c r="N130" s="18"/>
    </row>
    <row r="131" spans="1:14" ht="12.75" customHeight="1" x14ac:dyDescent="0.2">
      <c r="A131" s="29"/>
      <c r="B131" s="29"/>
      <c r="C131" s="29"/>
      <c r="D131" s="29"/>
      <c r="F131" s="29"/>
      <c r="H131" s="29"/>
      <c r="L131" s="29"/>
      <c r="M131" s="29"/>
      <c r="N131" s="18"/>
    </row>
    <row r="132" spans="1:14" ht="13.5" customHeight="1" x14ac:dyDescent="0.2">
      <c r="A132" s="29"/>
      <c r="B132" s="29"/>
      <c r="C132" s="29"/>
      <c r="D132" s="29"/>
      <c r="F132" s="29"/>
      <c r="H132" s="29"/>
      <c r="L132" s="29"/>
      <c r="M132" s="29"/>
      <c r="N132" s="18"/>
    </row>
    <row r="133" spans="1:14" ht="13.5" customHeight="1" x14ac:dyDescent="0.2">
      <c r="A133" s="29"/>
      <c r="B133" s="29"/>
      <c r="C133" s="29"/>
      <c r="D133" s="29"/>
      <c r="F133" s="29"/>
      <c r="H133" s="29"/>
      <c r="L133" s="29"/>
      <c r="M133" s="29"/>
      <c r="N133" s="18"/>
    </row>
    <row r="134" spans="1:14" x14ac:dyDescent="0.2">
      <c r="A134" s="29"/>
      <c r="B134" s="29"/>
      <c r="C134" s="29"/>
      <c r="D134" s="29"/>
      <c r="F134" s="29"/>
      <c r="H134" s="29"/>
      <c r="L134" s="29"/>
      <c r="M134" s="29"/>
      <c r="N134" s="18"/>
    </row>
    <row r="135" spans="1:14" ht="13.5" customHeight="1" x14ac:dyDescent="0.2">
      <c r="A135" s="29"/>
      <c r="B135" s="29"/>
      <c r="C135" s="29"/>
      <c r="D135" s="29"/>
      <c r="F135" s="29"/>
      <c r="H135" s="29"/>
      <c r="L135" s="29"/>
      <c r="M135" s="29"/>
      <c r="N135" s="18"/>
    </row>
    <row r="136" spans="1:14" x14ac:dyDescent="0.2">
      <c r="A136" s="29"/>
      <c r="B136" s="29"/>
      <c r="C136" s="29"/>
      <c r="D136" s="29"/>
      <c r="F136" s="29"/>
      <c r="H136" s="29"/>
      <c r="L136" s="29"/>
      <c r="M136" s="29"/>
      <c r="N136" s="18"/>
    </row>
    <row r="137" spans="1:14" x14ac:dyDescent="0.2">
      <c r="A137" s="29"/>
      <c r="B137" s="29"/>
      <c r="C137" s="29"/>
      <c r="D137" s="29"/>
      <c r="F137" s="29"/>
      <c r="H137" s="29"/>
      <c r="L137" s="29"/>
      <c r="M137" s="29"/>
      <c r="N137" s="18"/>
    </row>
    <row r="138" spans="1:14" x14ac:dyDescent="0.2">
      <c r="A138" s="29"/>
      <c r="B138" s="29"/>
      <c r="C138" s="29"/>
      <c r="D138" s="29"/>
      <c r="F138" s="29"/>
      <c r="H138" s="29"/>
      <c r="L138" s="29"/>
      <c r="M138" s="29"/>
      <c r="N138" s="18"/>
    </row>
    <row r="139" spans="1:14" x14ac:dyDescent="0.2">
      <c r="A139" s="29"/>
      <c r="B139" s="29"/>
      <c r="C139" s="29"/>
      <c r="D139" s="29"/>
      <c r="F139" s="29"/>
      <c r="H139" s="29"/>
      <c r="L139" s="29"/>
      <c r="M139" s="29"/>
      <c r="N139" s="18"/>
    </row>
    <row r="140" spans="1:14" x14ac:dyDescent="0.2">
      <c r="A140" s="29"/>
      <c r="B140" s="29"/>
      <c r="C140" s="29"/>
      <c r="D140" s="29"/>
      <c r="F140" s="29"/>
      <c r="H140" s="29"/>
      <c r="L140" s="29"/>
      <c r="M140" s="29"/>
      <c r="N140" s="18"/>
    </row>
    <row r="141" spans="1:14" x14ac:dyDescent="0.2">
      <c r="A141" s="29"/>
      <c r="B141" s="29"/>
      <c r="C141" s="29"/>
      <c r="D141" s="29"/>
      <c r="F141" s="29"/>
      <c r="H141" s="29"/>
      <c r="L141" s="29"/>
      <c r="M141" s="29"/>
      <c r="N141" s="18"/>
    </row>
    <row r="142" spans="1:14" x14ac:dyDescent="0.2">
      <c r="A142" s="29"/>
      <c r="B142" s="29"/>
      <c r="C142" s="29"/>
      <c r="D142" s="29"/>
      <c r="F142" s="29"/>
      <c r="H142" s="29"/>
      <c r="L142" s="29"/>
      <c r="M142" s="29"/>
      <c r="N142" s="18"/>
    </row>
    <row r="143" spans="1:14" x14ac:dyDescent="0.2">
      <c r="A143" s="29"/>
      <c r="B143" s="29"/>
      <c r="C143" s="29"/>
      <c r="D143" s="29"/>
      <c r="F143" s="29"/>
      <c r="H143" s="29"/>
      <c r="L143" s="29"/>
      <c r="M143" s="29"/>
      <c r="N143" s="18"/>
    </row>
    <row r="144" spans="1:14" x14ac:dyDescent="0.2">
      <c r="A144" s="29"/>
      <c r="B144" s="29"/>
      <c r="C144" s="29"/>
      <c r="D144" s="29"/>
      <c r="F144" s="29"/>
      <c r="H144" s="29"/>
      <c r="L144" s="29"/>
      <c r="M144" s="29"/>
      <c r="N144" s="18"/>
    </row>
    <row r="145" spans="1:14" x14ac:dyDescent="0.2">
      <c r="A145" s="29"/>
      <c r="B145" s="29"/>
      <c r="C145" s="29"/>
      <c r="D145" s="29"/>
      <c r="F145" s="29"/>
      <c r="H145" s="29"/>
      <c r="L145" s="29"/>
      <c r="M145" s="29"/>
      <c r="N145" s="18"/>
    </row>
    <row r="146" spans="1:14" x14ac:dyDescent="0.2">
      <c r="A146" s="29"/>
      <c r="B146" s="29"/>
      <c r="C146" s="29"/>
      <c r="D146" s="29"/>
      <c r="F146" s="29"/>
      <c r="H146" s="29"/>
      <c r="L146" s="29"/>
      <c r="M146" s="29"/>
      <c r="N146" s="18"/>
    </row>
    <row r="147" spans="1:14" x14ac:dyDescent="0.2">
      <c r="A147" s="29"/>
      <c r="B147" s="29"/>
      <c r="C147" s="29"/>
      <c r="D147" s="29"/>
      <c r="F147" s="29"/>
      <c r="H147" s="29"/>
      <c r="L147" s="29"/>
      <c r="M147" s="29"/>
      <c r="N147" s="18"/>
    </row>
    <row r="148" spans="1:14" x14ac:dyDescent="0.2">
      <c r="A148" s="29"/>
      <c r="B148" s="29"/>
      <c r="C148" s="29"/>
      <c r="D148" s="29"/>
      <c r="F148" s="29"/>
      <c r="H148" s="29"/>
      <c r="L148" s="29"/>
      <c r="M148" s="29"/>
      <c r="N148" s="18"/>
    </row>
    <row r="149" spans="1:14" x14ac:dyDescent="0.2">
      <c r="A149" s="29"/>
      <c r="B149" s="29"/>
      <c r="C149" s="29"/>
      <c r="D149" s="29"/>
      <c r="F149" s="29"/>
      <c r="H149" s="29"/>
      <c r="L149" s="29"/>
      <c r="M149" s="29"/>
      <c r="N149" s="18"/>
    </row>
    <row r="150" spans="1:14" x14ac:dyDescent="0.2">
      <c r="A150" s="29"/>
      <c r="B150" s="29"/>
      <c r="C150" s="29"/>
      <c r="D150" s="29"/>
      <c r="F150" s="29"/>
      <c r="H150" s="29"/>
      <c r="L150" s="29"/>
      <c r="M150" s="29"/>
      <c r="N150" s="18"/>
    </row>
    <row r="151" spans="1:14" x14ac:dyDescent="0.2">
      <c r="A151" s="29"/>
      <c r="B151" s="29"/>
      <c r="C151" s="29"/>
      <c r="D151" s="29"/>
      <c r="F151" s="29"/>
      <c r="H151" s="29"/>
      <c r="L151" s="29"/>
      <c r="M151" s="29"/>
      <c r="N151" s="18"/>
    </row>
    <row r="152" spans="1:14" x14ac:dyDescent="0.2">
      <c r="A152" s="29"/>
      <c r="B152" s="29"/>
      <c r="C152" s="29"/>
      <c r="D152" s="29"/>
      <c r="F152" s="29"/>
      <c r="H152" s="29"/>
      <c r="L152" s="29"/>
      <c r="M152" s="29"/>
      <c r="N152" s="18"/>
    </row>
    <row r="153" spans="1:14" x14ac:dyDescent="0.2">
      <c r="A153" s="29"/>
      <c r="B153" s="29"/>
      <c r="C153" s="29"/>
      <c r="D153" s="29"/>
      <c r="F153" s="29"/>
      <c r="H153" s="29"/>
      <c r="L153" s="29"/>
      <c r="M153" s="29"/>
      <c r="N153" s="18"/>
    </row>
    <row r="154" spans="1:14" x14ac:dyDescent="0.2">
      <c r="A154" s="29"/>
      <c r="B154" s="29"/>
      <c r="C154" s="29"/>
      <c r="D154" s="29"/>
      <c r="F154" s="29"/>
      <c r="H154" s="29"/>
      <c r="L154" s="29"/>
      <c r="M154" s="29"/>
      <c r="N154" s="18"/>
    </row>
    <row r="155" spans="1:14" x14ac:dyDescent="0.2">
      <c r="A155" s="29"/>
      <c r="B155" s="29"/>
      <c r="C155" s="29"/>
      <c r="D155" s="29"/>
      <c r="F155" s="29"/>
      <c r="H155" s="29"/>
      <c r="L155" s="29"/>
      <c r="M155" s="29"/>
      <c r="N155" s="18"/>
    </row>
    <row r="156" spans="1:14" x14ac:dyDescent="0.2">
      <c r="A156" s="29"/>
      <c r="B156" s="29"/>
      <c r="C156" s="29"/>
      <c r="D156" s="29"/>
      <c r="F156" s="29"/>
      <c r="H156" s="29"/>
      <c r="L156" s="29"/>
      <c r="M156" s="29"/>
      <c r="N156" s="18"/>
    </row>
    <row r="157" spans="1:14" x14ac:dyDescent="0.2">
      <c r="A157" s="29"/>
      <c r="B157" s="29"/>
      <c r="C157" s="29"/>
      <c r="D157" s="29"/>
      <c r="F157" s="29"/>
      <c r="H157" s="29"/>
      <c r="L157" s="29"/>
      <c r="M157" s="29"/>
      <c r="N157" s="18"/>
    </row>
    <row r="158" spans="1:14" x14ac:dyDescent="0.2">
      <c r="A158" s="29"/>
      <c r="B158" s="29"/>
      <c r="C158" s="29"/>
      <c r="D158" s="29"/>
      <c r="F158" s="29"/>
      <c r="H158" s="29"/>
      <c r="L158" s="29"/>
      <c r="M158" s="29"/>
      <c r="N158" s="18"/>
    </row>
    <row r="159" spans="1:14" x14ac:dyDescent="0.2">
      <c r="A159" s="29"/>
      <c r="B159" s="29"/>
      <c r="C159" s="29"/>
      <c r="D159" s="29"/>
      <c r="F159" s="29"/>
      <c r="H159" s="29"/>
      <c r="L159" s="29"/>
      <c r="M159" s="29"/>
      <c r="N159" s="18"/>
    </row>
    <row r="160" spans="1:14" x14ac:dyDescent="0.2">
      <c r="A160" s="29"/>
      <c r="B160" s="29"/>
      <c r="C160" s="29"/>
      <c r="D160" s="29"/>
      <c r="F160" s="29"/>
      <c r="H160" s="29"/>
      <c r="L160" s="29"/>
      <c r="M160" s="29"/>
      <c r="N160" s="18"/>
    </row>
    <row r="161" spans="1:14" x14ac:dyDescent="0.2">
      <c r="A161" s="3348"/>
      <c r="B161" s="3348"/>
      <c r="C161" s="3349"/>
      <c r="D161" s="31"/>
      <c r="E161" s="32"/>
      <c r="F161" s="31"/>
      <c r="G161" s="32"/>
      <c r="H161" s="31"/>
      <c r="I161" s="32"/>
      <c r="J161" s="32"/>
      <c r="K161" s="32"/>
      <c r="L161" s="18"/>
      <c r="M161" s="18"/>
      <c r="N161" s="18"/>
    </row>
    <row r="162" spans="1:14" x14ac:dyDescent="0.2">
      <c r="A162" s="3348"/>
      <c r="B162" s="3348"/>
      <c r="C162" s="3349"/>
      <c r="D162" s="31"/>
      <c r="E162" s="32"/>
      <c r="F162" s="31"/>
      <c r="G162" s="32"/>
      <c r="H162" s="31"/>
      <c r="I162" s="32"/>
      <c r="J162" s="32"/>
      <c r="K162" s="32"/>
      <c r="L162" s="18"/>
      <c r="M162" s="18"/>
      <c r="N162" s="18"/>
    </row>
  </sheetData>
  <mergeCells count="39">
    <mergeCell ref="A49:C49"/>
    <mergeCell ref="A161:C161"/>
    <mergeCell ref="A162:C162"/>
    <mergeCell ref="A43:C43"/>
    <mergeCell ref="A44:C44"/>
    <mergeCell ref="A45:C45"/>
    <mergeCell ref="A46:C46"/>
    <mergeCell ref="A47:C47"/>
    <mergeCell ref="A48:C48"/>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A18:C18"/>
    <mergeCell ref="A10:C10"/>
    <mergeCell ref="A11:C11"/>
    <mergeCell ref="A15:M15"/>
    <mergeCell ref="A16:C16"/>
    <mergeCell ref="A17:C17"/>
  </mergeCells>
  <printOptions horizontalCentered="1" verticalCentered="1"/>
  <pageMargins left="0.39370078740157483" right="0.39370078740157483" top="0.39370078740157483" bottom="0.39370078740157483" header="0.59055118110236227" footer="0"/>
  <pageSetup scale="64" fitToWidth="0" fitToHeight="0"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theme="9" tint="-0.499984740745262"/>
    <pageSetUpPr fitToPage="1"/>
  </sheetPr>
  <dimension ref="A2:N221"/>
  <sheetViews>
    <sheetView showGridLines="0" zoomScaleNormal="100" workbookViewId="0">
      <selection activeCell="K28" sqref="K28"/>
    </sheetView>
  </sheetViews>
  <sheetFormatPr baseColWidth="10" defaultRowHeight="12.75" outlineLevelCol="1" x14ac:dyDescent="0.2"/>
  <cols>
    <col min="1" max="1" width="13.42578125" style="18" customWidth="1"/>
    <col min="2" max="2" width="23.5703125" style="18" customWidth="1"/>
    <col min="3" max="3" width="2.7109375" style="18" customWidth="1"/>
    <col min="4" max="4" width="15.7109375" style="31" customWidth="1"/>
    <col min="5" max="5" width="10" style="32" customWidth="1"/>
    <col min="6" max="6" width="15.7109375" style="31" customWidth="1"/>
    <col min="7" max="7" width="9.5703125" style="32" customWidth="1"/>
    <col min="8" max="8" width="16" style="31" customWidth="1"/>
    <col min="9" max="9" width="9.5703125" style="32" customWidth="1"/>
    <col min="10" max="10" width="16" style="32" customWidth="1" outlineLevel="1"/>
    <col min="11" max="11" width="9.5703125" style="32" customWidth="1" outlineLevel="1"/>
    <col min="12" max="12" width="15.7109375" style="18" customWidth="1" outlineLevel="1"/>
    <col min="13" max="13" width="9.85546875" style="18" customWidth="1" outlineLevel="1"/>
    <col min="14" max="16384" width="11.42578125" style="18"/>
  </cols>
  <sheetData>
    <row r="2" spans="1:14" x14ac:dyDescent="0.2">
      <c r="H2" s="33"/>
    </row>
    <row r="3" spans="1:14" x14ac:dyDescent="0.2">
      <c r="H3" s="33"/>
    </row>
    <row r="4" spans="1:14" x14ac:dyDescent="0.2">
      <c r="H4" s="33"/>
    </row>
    <row r="5" spans="1:14" x14ac:dyDescent="0.2">
      <c r="B5" s="34" t="s">
        <v>105</v>
      </c>
      <c r="C5" s="35">
        <f>+General!D6</f>
        <v>0</v>
      </c>
      <c r="D5" s="207"/>
      <c r="E5" s="208"/>
      <c r="F5" s="221"/>
      <c r="G5" s="208"/>
      <c r="H5" s="214"/>
      <c r="I5" s="215"/>
    </row>
    <row r="6" spans="1:14" x14ac:dyDescent="0.2">
      <c r="B6" s="34" t="s">
        <v>106</v>
      </c>
      <c r="C6" s="35">
        <f>+General!D7</f>
        <v>0</v>
      </c>
      <c r="D6" s="209"/>
      <c r="E6" s="210"/>
      <c r="F6" s="211"/>
      <c r="G6" s="210"/>
      <c r="H6" s="216"/>
      <c r="I6" s="217"/>
    </row>
    <row r="7" spans="1:14" x14ac:dyDescent="0.2">
      <c r="B7" s="36" t="e">
        <f>#REF!</f>
        <v>#REF!</v>
      </c>
      <c r="C7" s="35">
        <f>+General!D9</f>
        <v>0</v>
      </c>
      <c r="D7" s="208"/>
      <c r="E7" s="220"/>
      <c r="H7" s="36" t="s">
        <v>272</v>
      </c>
      <c r="I7" s="37" t="str">
        <f>General!D20</f>
        <v>NO</v>
      </c>
      <c r="J7" s="433"/>
      <c r="K7" s="433"/>
    </row>
    <row r="8" spans="1:14" s="8" customFormat="1" x14ac:dyDescent="0.2">
      <c r="B8" s="36" t="s">
        <v>109</v>
      </c>
      <c r="C8" s="35">
        <f>General!D21</f>
        <v>0</v>
      </c>
      <c r="D8" s="207"/>
      <c r="E8" s="213"/>
      <c r="F8" s="213"/>
      <c r="G8" s="213"/>
      <c r="H8" s="213"/>
      <c r="I8" s="213"/>
      <c r="J8" s="36"/>
      <c r="K8" s="36"/>
    </row>
    <row r="9" spans="1:14" s="8" customFormat="1" ht="13.5" thickBot="1" x14ac:dyDescent="0.25">
      <c r="A9" s="36"/>
      <c r="B9" s="36"/>
      <c r="C9" s="40"/>
      <c r="D9" s="40"/>
      <c r="E9" s="38"/>
      <c r="F9" s="39"/>
      <c r="G9" s="38"/>
      <c r="H9" s="39"/>
      <c r="I9" s="38"/>
      <c r="J9" s="38"/>
      <c r="K9" s="38"/>
    </row>
    <row r="10" spans="1:14" s="8" customFormat="1" ht="14.25" x14ac:dyDescent="0.2">
      <c r="A10" s="3355" t="s">
        <v>273</v>
      </c>
      <c r="B10" s="3355"/>
      <c r="C10" s="3355"/>
      <c r="D10" s="231" t="str">
        <f>+'Activos (USD)'!D10</f>
        <v>NO</v>
      </c>
      <c r="E10" s="230"/>
      <c r="F10" s="231" t="str">
        <f>+'Activos (USD)'!F10</f>
        <v>NO</v>
      </c>
      <c r="G10" s="230"/>
      <c r="H10" s="231" t="str">
        <f>+'Activos (USD)'!H10</f>
        <v>NO</v>
      </c>
      <c r="I10" s="230"/>
      <c r="J10" s="231" t="str">
        <f>+'Activos (USD)'!J10</f>
        <v>NO</v>
      </c>
      <c r="K10" s="230"/>
      <c r="L10" s="231" t="str">
        <f>+'Activos (USD)'!L10</f>
        <v>NO</v>
      </c>
    </row>
    <row r="11" spans="1:14" s="8" customFormat="1" ht="13.5" thickBot="1" x14ac:dyDescent="0.25">
      <c r="A11" s="3355" t="s">
        <v>274</v>
      </c>
      <c r="B11" s="3355"/>
      <c r="C11" s="3355"/>
      <c r="D11" s="232">
        <f>+'Activos (USD)'!D11</f>
        <v>42735</v>
      </c>
      <c r="E11" s="230"/>
      <c r="F11" s="232">
        <f>+'Activos (USD)'!F11</f>
        <v>43100</v>
      </c>
      <c r="G11" s="230"/>
      <c r="H11" s="232">
        <f>+'Activos (USD)'!H11</f>
        <v>43465</v>
      </c>
      <c r="I11" s="230"/>
      <c r="J11" s="232">
        <f>+'Activos (USD)'!J11</f>
        <v>43281</v>
      </c>
      <c r="K11" s="230"/>
      <c r="L11" s="232">
        <f>+'Activos (USD)'!L11</f>
        <v>43646</v>
      </c>
    </row>
    <row r="12" spans="1:14" s="8" customFormat="1" ht="13.5" thickBot="1" x14ac:dyDescent="0.25">
      <c r="A12" s="1304"/>
      <c r="B12" s="1304"/>
      <c r="C12" s="1304" t="s">
        <v>402</v>
      </c>
      <c r="D12" s="1319">
        <f>+'Activos (USD)'!D12</f>
        <v>3000.71</v>
      </c>
      <c r="E12" s="1320"/>
      <c r="F12" s="1319">
        <f>+'Activos (USD)'!F12</f>
        <v>2984</v>
      </c>
      <c r="G12" s="1320"/>
      <c r="H12" s="1319">
        <f>+'Activos (USD)'!H12</f>
        <v>3249.75</v>
      </c>
      <c r="I12" s="1320"/>
      <c r="J12" s="1319">
        <f>+'Activos (USD)'!J12</f>
        <v>2930.8</v>
      </c>
      <c r="K12" s="1320"/>
      <c r="L12" s="1319">
        <f>+'Activos (USD)'!L12</f>
        <v>3205.67</v>
      </c>
    </row>
    <row r="13" spans="1:14" s="8" customFormat="1" ht="13.5" thickBot="1" x14ac:dyDescent="0.25">
      <c r="D13" s="39"/>
      <c r="E13" s="38"/>
      <c r="F13" s="39"/>
      <c r="G13" s="38"/>
      <c r="H13" s="39"/>
      <c r="I13" s="38"/>
      <c r="J13" s="38"/>
      <c r="K13" s="38"/>
    </row>
    <row r="14" spans="1:14" s="8" customFormat="1" ht="13.5" thickBot="1" x14ac:dyDescent="0.25">
      <c r="A14" s="11"/>
      <c r="B14" s="11"/>
      <c r="C14" s="11"/>
      <c r="D14" s="222" t="str">
        <f>+'Activos (USD)'!D14</f>
        <v>COP MM</v>
      </c>
      <c r="E14" s="223" t="s">
        <v>275</v>
      </c>
      <c r="F14" s="222" t="str">
        <f>+'Activos (USD)'!F14</f>
        <v>COP MM</v>
      </c>
      <c r="G14" s="223" t="s">
        <v>275</v>
      </c>
      <c r="H14" s="222" t="str">
        <f>+'Activos (USD)'!H14</f>
        <v>COP MM</v>
      </c>
      <c r="I14" s="223" t="s">
        <v>275</v>
      </c>
      <c r="J14" s="222" t="str">
        <f>+'Activos (USD)'!J14</f>
        <v>COP MM</v>
      </c>
      <c r="K14" s="223" t="s">
        <v>275</v>
      </c>
      <c r="L14" s="222" t="str">
        <f>+'Activos (USD)'!L14</f>
        <v>COP MM</v>
      </c>
      <c r="M14" s="223" t="s">
        <v>275</v>
      </c>
    </row>
    <row r="15" spans="1:14" s="4" customFormat="1" ht="15" thickBot="1" x14ac:dyDescent="0.25">
      <c r="A15" s="3331" t="s">
        <v>304</v>
      </c>
      <c r="B15" s="3332"/>
      <c r="C15" s="3332"/>
      <c r="D15" s="3332"/>
      <c r="E15" s="3332"/>
      <c r="F15" s="3332"/>
      <c r="G15" s="3332"/>
      <c r="H15" s="3332"/>
      <c r="I15" s="3332"/>
      <c r="J15" s="3332"/>
      <c r="K15" s="3332"/>
      <c r="L15" s="3332"/>
      <c r="M15" s="3332"/>
    </row>
    <row r="16" spans="1:14" s="4" customFormat="1" x14ac:dyDescent="0.2">
      <c r="A16" s="3356" t="str">
        <f>'Info Entrada'!B215</f>
        <v>Obligaciones Financieras Corto Plazo</v>
      </c>
      <c r="B16" s="3357"/>
      <c r="C16" s="3357"/>
      <c r="D16" s="240">
        <f>'Info Entrada'!C215/$D$12</f>
        <v>0</v>
      </c>
      <c r="E16" s="241" t="e">
        <f t="shared" ref="E16:E50" si="0">+D16/D$50</f>
        <v>#DIV/0!</v>
      </c>
      <c r="F16" s="240">
        <f>'Info Entrada'!D215/$F$12</f>
        <v>0</v>
      </c>
      <c r="G16" s="241" t="e">
        <f t="shared" ref="G16:G50" si="1">+F16/F$50</f>
        <v>#DIV/0!</v>
      </c>
      <c r="H16" s="240">
        <f>'Info Entrada'!E215/$H$12</f>
        <v>0</v>
      </c>
      <c r="I16" s="241" t="e">
        <f t="shared" ref="I16:I50" si="2">+H16/H$50</f>
        <v>#DIV/0!</v>
      </c>
      <c r="J16" s="240">
        <f>'Info Entrada'!F215/$J$12</f>
        <v>0</v>
      </c>
      <c r="K16" s="241" t="e">
        <f t="shared" ref="K16:K50" si="3">+J16/J$50</f>
        <v>#DIV/0!</v>
      </c>
      <c r="L16" s="240">
        <f>'Info Entrada'!G215/$L$12</f>
        <v>0</v>
      </c>
      <c r="M16" s="242" t="e">
        <f t="shared" ref="M16:M50" si="4">+L16/L$50</f>
        <v>#DIV/0!</v>
      </c>
      <c r="N16" s="18"/>
    </row>
    <row r="17" spans="1:14" s="4" customFormat="1" x14ac:dyDescent="0.2">
      <c r="A17" s="3358" t="str">
        <f>'Info Entrada'!B216</f>
        <v>Otra Deuda Financiera de Corto Plazo</v>
      </c>
      <c r="B17" s="3359"/>
      <c r="C17" s="3359"/>
      <c r="D17" s="41">
        <f>'Info Entrada'!C216/$D$12</f>
        <v>0</v>
      </c>
      <c r="E17" s="42" t="e">
        <f t="shared" si="0"/>
        <v>#DIV/0!</v>
      </c>
      <c r="F17" s="41">
        <f>'Info Entrada'!D216/$F$12</f>
        <v>0</v>
      </c>
      <c r="G17" s="42" t="e">
        <f t="shared" si="1"/>
        <v>#DIV/0!</v>
      </c>
      <c r="H17" s="41">
        <f>'Info Entrada'!E216/$H$12</f>
        <v>0</v>
      </c>
      <c r="I17" s="42" t="e">
        <f t="shared" si="2"/>
        <v>#DIV/0!</v>
      </c>
      <c r="J17" s="41">
        <f>'Info Entrada'!F216/$J$12</f>
        <v>0</v>
      </c>
      <c r="K17" s="42" t="e">
        <f t="shared" si="3"/>
        <v>#DIV/0!</v>
      </c>
      <c r="L17" s="41">
        <f>'Info Entrada'!G216/$L$12</f>
        <v>0</v>
      </c>
      <c r="M17" s="235" t="e">
        <f t="shared" si="4"/>
        <v>#DIV/0!</v>
      </c>
      <c r="N17" s="18"/>
    </row>
    <row r="18" spans="1:14" s="4" customFormat="1" x14ac:dyDescent="0.2">
      <c r="A18" s="3358" t="str">
        <f>'Info Entrada'!B217</f>
        <v>Porción Circulante de Deuda de L/P</v>
      </c>
      <c r="B18" s="3359"/>
      <c r="C18" s="3359"/>
      <c r="D18" s="41">
        <f>'Info Entrada'!C217/$D$12</f>
        <v>0</v>
      </c>
      <c r="E18" s="42" t="e">
        <f t="shared" si="0"/>
        <v>#DIV/0!</v>
      </c>
      <c r="F18" s="41">
        <f>'Info Entrada'!D217/$F$12</f>
        <v>0</v>
      </c>
      <c r="G18" s="42" t="e">
        <f t="shared" si="1"/>
        <v>#DIV/0!</v>
      </c>
      <c r="H18" s="41">
        <f>'Info Entrada'!E217/$H$12</f>
        <v>0</v>
      </c>
      <c r="I18" s="42" t="e">
        <f t="shared" si="2"/>
        <v>#DIV/0!</v>
      </c>
      <c r="J18" s="41">
        <f>'Info Entrada'!F217/$J$12</f>
        <v>0</v>
      </c>
      <c r="K18" s="42" t="e">
        <f t="shared" si="3"/>
        <v>#DIV/0!</v>
      </c>
      <c r="L18" s="41">
        <f>'Info Entrada'!G217/$L$12</f>
        <v>0</v>
      </c>
      <c r="M18" s="235" t="e">
        <f t="shared" si="4"/>
        <v>#DIV/0!</v>
      </c>
      <c r="N18" s="18"/>
    </row>
    <row r="19" spans="1:14" s="4" customFormat="1" x14ac:dyDescent="0.2">
      <c r="A19" s="3358" t="str">
        <f>'Info Entrada'!B218</f>
        <v>Proveedores</v>
      </c>
      <c r="B19" s="3359"/>
      <c r="C19" s="3359"/>
      <c r="D19" s="41">
        <f>'Info Entrada'!C218/$D$12</f>
        <v>0</v>
      </c>
      <c r="E19" s="42" t="e">
        <f t="shared" si="0"/>
        <v>#DIV/0!</v>
      </c>
      <c r="F19" s="41">
        <f>'Info Entrada'!D218/$F$12</f>
        <v>0</v>
      </c>
      <c r="G19" s="42" t="e">
        <f t="shared" si="1"/>
        <v>#DIV/0!</v>
      </c>
      <c r="H19" s="41">
        <f>'Info Entrada'!E218/$H$12</f>
        <v>0</v>
      </c>
      <c r="I19" s="42" t="e">
        <f t="shared" si="2"/>
        <v>#DIV/0!</v>
      </c>
      <c r="J19" s="41">
        <f>'Info Entrada'!F218/$J$12</f>
        <v>0</v>
      </c>
      <c r="K19" s="42" t="e">
        <f t="shared" si="3"/>
        <v>#DIV/0!</v>
      </c>
      <c r="L19" s="41">
        <f>'Info Entrada'!G218/$L$12</f>
        <v>0</v>
      </c>
      <c r="M19" s="235" t="e">
        <f t="shared" si="4"/>
        <v>#DIV/0!</v>
      </c>
      <c r="N19" s="18"/>
    </row>
    <row r="20" spans="1:14" s="4" customFormat="1" x14ac:dyDescent="0.2">
      <c r="A20" s="3369" t="str">
        <f>'Info Entrada'!B219</f>
        <v>Proveedores Grupo</v>
      </c>
      <c r="B20" s="3370"/>
      <c r="C20" s="3361"/>
      <c r="D20" s="43">
        <f>'Info Entrada'!C219/$D$12</f>
        <v>0</v>
      </c>
      <c r="E20" s="44" t="e">
        <f t="shared" si="0"/>
        <v>#DIV/0!</v>
      </c>
      <c r="F20" s="43">
        <f>'Info Entrada'!D219/$F$12</f>
        <v>0</v>
      </c>
      <c r="G20" s="44" t="e">
        <f t="shared" si="1"/>
        <v>#DIV/0!</v>
      </c>
      <c r="H20" s="43">
        <f>'Info Entrada'!E219/$H$12</f>
        <v>0</v>
      </c>
      <c r="I20" s="44" t="e">
        <f t="shared" si="2"/>
        <v>#DIV/0!</v>
      </c>
      <c r="J20" s="43">
        <f>'Info Entrada'!F219/$J$12</f>
        <v>0</v>
      </c>
      <c r="K20" s="44" t="e">
        <f t="shared" si="3"/>
        <v>#DIV/0!</v>
      </c>
      <c r="L20" s="41">
        <f>'Info Entrada'!G219/$L$12</f>
        <v>0</v>
      </c>
      <c r="M20" s="236" t="e">
        <f t="shared" si="4"/>
        <v>#DIV/0!</v>
      </c>
      <c r="N20" s="18"/>
    </row>
    <row r="21" spans="1:14" s="4" customFormat="1" x14ac:dyDescent="0.2">
      <c r="A21" s="3360" t="str">
        <f>'Info Entrada'!B220</f>
        <v>Cuentas Financieras a Pagar Grupo</v>
      </c>
      <c r="B21" s="3361"/>
      <c r="C21" s="3361"/>
      <c r="D21" s="43">
        <f>'Info Entrada'!C220/$D$12</f>
        <v>0</v>
      </c>
      <c r="E21" s="44" t="e">
        <f t="shared" si="0"/>
        <v>#DIV/0!</v>
      </c>
      <c r="F21" s="43">
        <f>'Info Entrada'!D220/$F$12</f>
        <v>0</v>
      </c>
      <c r="G21" s="44" t="e">
        <f t="shared" si="1"/>
        <v>#DIV/0!</v>
      </c>
      <c r="H21" s="43">
        <f>'Info Entrada'!E220/$H$12</f>
        <v>0</v>
      </c>
      <c r="I21" s="44" t="e">
        <f t="shared" si="2"/>
        <v>#DIV/0!</v>
      </c>
      <c r="J21" s="43">
        <f>'Info Entrada'!F220/$J$12</f>
        <v>0</v>
      </c>
      <c r="K21" s="44" t="e">
        <f t="shared" si="3"/>
        <v>#DIV/0!</v>
      </c>
      <c r="L21" s="41">
        <f>'Info Entrada'!G220/$L$12</f>
        <v>0</v>
      </c>
      <c r="M21" s="236" t="e">
        <f t="shared" si="4"/>
        <v>#DIV/0!</v>
      </c>
      <c r="N21" s="18"/>
    </row>
    <row r="22" spans="1:14" s="4" customFormat="1" x14ac:dyDescent="0.2">
      <c r="A22" s="3360" t="str">
        <f>'Info Entrada'!B221</f>
        <v>Costos y Gastos por Pagar (Acreedores Varios)</v>
      </c>
      <c r="B22" s="3361"/>
      <c r="C22" s="3361"/>
      <c r="D22" s="43">
        <f>'Info Entrada'!C221/$D$12</f>
        <v>0</v>
      </c>
      <c r="E22" s="44" t="e">
        <f t="shared" si="0"/>
        <v>#DIV/0!</v>
      </c>
      <c r="F22" s="171">
        <f>'Info Entrada'!D221/$F$12</f>
        <v>0</v>
      </c>
      <c r="G22" s="44" t="e">
        <f t="shared" si="1"/>
        <v>#DIV/0!</v>
      </c>
      <c r="H22" s="171">
        <f>'Info Entrada'!E221/$H$12</f>
        <v>0</v>
      </c>
      <c r="I22" s="44" t="e">
        <f t="shared" si="2"/>
        <v>#DIV/0!</v>
      </c>
      <c r="J22" s="171">
        <f>'Info Entrada'!F221/$J$12</f>
        <v>0</v>
      </c>
      <c r="K22" s="44" t="e">
        <f t="shared" si="3"/>
        <v>#DIV/0!</v>
      </c>
      <c r="L22" s="41">
        <f>'Info Entrada'!G221/$L$12</f>
        <v>0</v>
      </c>
      <c r="M22" s="236" t="e">
        <f t="shared" si="4"/>
        <v>#DIV/0!</v>
      </c>
      <c r="N22" s="18"/>
    </row>
    <row r="23" spans="1:14" s="4" customFormat="1" x14ac:dyDescent="0.2">
      <c r="A23" s="3360" t="str">
        <f>'Info Entrada'!B222</f>
        <v>Impuestos por Pagar</v>
      </c>
      <c r="B23" s="3361"/>
      <c r="C23" s="3361"/>
      <c r="D23" s="43">
        <f>'Info Entrada'!C222/$D$12</f>
        <v>0</v>
      </c>
      <c r="E23" s="44" t="e">
        <f t="shared" si="0"/>
        <v>#DIV/0!</v>
      </c>
      <c r="F23" s="43">
        <f>'Info Entrada'!D222/$F$12</f>
        <v>0</v>
      </c>
      <c r="G23" s="44" t="e">
        <f t="shared" si="1"/>
        <v>#DIV/0!</v>
      </c>
      <c r="H23" s="43">
        <f>'Info Entrada'!E222/$H$12</f>
        <v>0</v>
      </c>
      <c r="I23" s="44" t="e">
        <f t="shared" si="2"/>
        <v>#DIV/0!</v>
      </c>
      <c r="J23" s="43">
        <f>'Info Entrada'!F222/$J$12</f>
        <v>0</v>
      </c>
      <c r="K23" s="44" t="e">
        <f t="shared" si="3"/>
        <v>#DIV/0!</v>
      </c>
      <c r="L23" s="41">
        <f>'Info Entrada'!G222/$L$12</f>
        <v>0</v>
      </c>
      <c r="M23" s="236" t="e">
        <f t="shared" si="4"/>
        <v>#DIV/0!</v>
      </c>
      <c r="N23" s="18"/>
    </row>
    <row r="24" spans="1:14" s="4" customFormat="1" x14ac:dyDescent="0.2">
      <c r="A24" s="3360" t="str">
        <f>'Info Entrada'!B223</f>
        <v>Dividendos por Pagar</v>
      </c>
      <c r="B24" s="3361"/>
      <c r="C24" s="3361"/>
      <c r="D24" s="43">
        <f>'Info Entrada'!C223/$D$12</f>
        <v>0</v>
      </c>
      <c r="E24" s="44" t="e">
        <f t="shared" si="0"/>
        <v>#DIV/0!</v>
      </c>
      <c r="F24" s="43">
        <f>'Info Entrada'!D223/$F$12</f>
        <v>0</v>
      </c>
      <c r="G24" s="44" t="e">
        <f t="shared" si="1"/>
        <v>#DIV/0!</v>
      </c>
      <c r="H24" s="43">
        <f>'Info Entrada'!E223/$H$12</f>
        <v>0</v>
      </c>
      <c r="I24" s="44" t="e">
        <f t="shared" si="2"/>
        <v>#DIV/0!</v>
      </c>
      <c r="J24" s="43">
        <f>'Info Entrada'!F223/$J$12</f>
        <v>0</v>
      </c>
      <c r="K24" s="44" t="e">
        <f t="shared" si="3"/>
        <v>#DIV/0!</v>
      </c>
      <c r="L24" s="41">
        <f>'Info Entrada'!G223/$L$12</f>
        <v>0</v>
      </c>
      <c r="M24" s="236" t="e">
        <f t="shared" si="4"/>
        <v>#DIV/0!</v>
      </c>
      <c r="N24" s="18"/>
    </row>
    <row r="25" spans="1:14" s="4" customFormat="1" x14ac:dyDescent="0.2">
      <c r="A25" s="3360" t="str">
        <f>'Info Entrada'!B224</f>
        <v>Obligaciones Laborales</v>
      </c>
      <c r="B25" s="3361"/>
      <c r="C25" s="3361"/>
      <c r="D25" s="43">
        <f>'Info Entrada'!C224/$D$12</f>
        <v>0</v>
      </c>
      <c r="E25" s="44" t="e">
        <f t="shared" si="0"/>
        <v>#DIV/0!</v>
      </c>
      <c r="F25" s="43">
        <f>'Info Entrada'!D224/$F$12</f>
        <v>0</v>
      </c>
      <c r="G25" s="44" t="e">
        <f t="shared" si="1"/>
        <v>#DIV/0!</v>
      </c>
      <c r="H25" s="43">
        <f>'Info Entrada'!E224/$H$12</f>
        <v>0</v>
      </c>
      <c r="I25" s="44" t="e">
        <f t="shared" si="2"/>
        <v>#DIV/0!</v>
      </c>
      <c r="J25" s="43">
        <f>'Info Entrada'!F224/$J$12</f>
        <v>0</v>
      </c>
      <c r="K25" s="44" t="e">
        <f t="shared" si="3"/>
        <v>#DIV/0!</v>
      </c>
      <c r="L25" s="41">
        <f>'Info Entrada'!G224/$L$12</f>
        <v>0</v>
      </c>
      <c r="M25" s="236" t="e">
        <f t="shared" si="4"/>
        <v>#DIV/0!</v>
      </c>
      <c r="N25" s="18"/>
    </row>
    <row r="26" spans="1:14" s="4" customFormat="1" x14ac:dyDescent="0.2">
      <c r="A26" s="3360" t="str">
        <f>'Info Entrada'!B225</f>
        <v>Otros Pasivos C/P</v>
      </c>
      <c r="B26" s="3361"/>
      <c r="C26" s="3361"/>
      <c r="D26" s="171">
        <f>'Info Entrada'!C225/$D$12</f>
        <v>0</v>
      </c>
      <c r="E26" s="44" t="e">
        <f t="shared" si="0"/>
        <v>#DIV/0!</v>
      </c>
      <c r="F26" s="43">
        <f>'Info Entrada'!D225/$F$12</f>
        <v>0</v>
      </c>
      <c r="G26" s="44" t="e">
        <f t="shared" si="1"/>
        <v>#DIV/0!</v>
      </c>
      <c r="H26" s="43">
        <f>'Info Entrada'!E225/$H$12</f>
        <v>0</v>
      </c>
      <c r="I26" s="44" t="e">
        <f t="shared" si="2"/>
        <v>#DIV/0!</v>
      </c>
      <c r="J26" s="43">
        <f>'Info Entrada'!F225/$J$12</f>
        <v>0</v>
      </c>
      <c r="K26" s="44" t="e">
        <f t="shared" si="3"/>
        <v>#DIV/0!</v>
      </c>
      <c r="L26" s="41">
        <f>'Info Entrada'!G225/$L$12</f>
        <v>0</v>
      </c>
      <c r="M26" s="236" t="e">
        <f t="shared" si="4"/>
        <v>#DIV/0!</v>
      </c>
      <c r="N26" s="18"/>
    </row>
    <row r="27" spans="1:14" s="4" customFormat="1" ht="13.5" thickBot="1" x14ac:dyDescent="0.25">
      <c r="A27" s="3362" t="str">
        <f>'Info Entrada'!B226</f>
        <v>Anticipos recibidos</v>
      </c>
      <c r="B27" s="3363"/>
      <c r="C27" s="3363"/>
      <c r="D27" s="237">
        <f>'Info Entrada'!C226/$D$12</f>
        <v>0</v>
      </c>
      <c r="E27" s="238" t="e">
        <f t="shared" si="0"/>
        <v>#DIV/0!</v>
      </c>
      <c r="F27" s="237">
        <f>'Info Entrada'!D226/$F$12</f>
        <v>0</v>
      </c>
      <c r="G27" s="238" t="e">
        <f t="shared" si="1"/>
        <v>#DIV/0!</v>
      </c>
      <c r="H27" s="237">
        <f>'Info Entrada'!E226/$H$12</f>
        <v>0</v>
      </c>
      <c r="I27" s="238" t="e">
        <f t="shared" si="2"/>
        <v>#DIV/0!</v>
      </c>
      <c r="J27" s="237">
        <f>'Info Entrada'!F226/$J$12</f>
        <v>0</v>
      </c>
      <c r="K27" s="238" t="e">
        <f t="shared" si="3"/>
        <v>#DIV/0!</v>
      </c>
      <c r="L27" s="237">
        <f>'Info Entrada'!G226/$L$12</f>
        <v>0</v>
      </c>
      <c r="M27" s="239" t="e">
        <f t="shared" si="4"/>
        <v>#DIV/0!</v>
      </c>
      <c r="N27" s="18"/>
    </row>
    <row r="28" spans="1:14" s="4" customFormat="1" ht="13.5" thickBot="1" x14ac:dyDescent="0.25">
      <c r="A28" s="3364" t="str">
        <f>'Info Entrada'!B227</f>
        <v>PASIVO CIRCULANTE</v>
      </c>
      <c r="B28" s="3365"/>
      <c r="C28" s="3366"/>
      <c r="D28" s="243">
        <f>SUM(D16:D27)</f>
        <v>0</v>
      </c>
      <c r="E28" s="244" t="e">
        <f t="shared" si="0"/>
        <v>#DIV/0!</v>
      </c>
      <c r="F28" s="243">
        <f>SUM(F16:F27)</f>
        <v>0</v>
      </c>
      <c r="G28" s="244" t="e">
        <f t="shared" si="1"/>
        <v>#DIV/0!</v>
      </c>
      <c r="H28" s="243">
        <f>SUM(H16:H27)</f>
        <v>0</v>
      </c>
      <c r="I28" s="244" t="e">
        <f t="shared" si="2"/>
        <v>#DIV/0!</v>
      </c>
      <c r="J28" s="243">
        <f>SUM(J16:J27)</f>
        <v>0</v>
      </c>
      <c r="K28" s="244" t="e">
        <f t="shared" si="3"/>
        <v>#DIV/0!</v>
      </c>
      <c r="L28" s="243">
        <f>SUM(L16:L27)</f>
        <v>0</v>
      </c>
      <c r="M28" s="249" t="e">
        <f t="shared" si="4"/>
        <v>#DIV/0!</v>
      </c>
      <c r="N28" s="18"/>
    </row>
    <row r="29" spans="1:14" s="4" customFormat="1" x14ac:dyDescent="0.2">
      <c r="A29" s="3367" t="str">
        <f>'Info Entrada'!B228</f>
        <v>Créditos Bancarios de L/P</v>
      </c>
      <c r="B29" s="3368"/>
      <c r="C29" s="3368"/>
      <c r="D29" s="245">
        <f>'Info Entrada'!C228/$D$12</f>
        <v>0</v>
      </c>
      <c r="E29" s="246" t="e">
        <f t="shared" si="0"/>
        <v>#DIV/0!</v>
      </c>
      <c r="F29" s="245">
        <f>'Info Entrada'!D228/$F$12</f>
        <v>0</v>
      </c>
      <c r="G29" s="246" t="e">
        <f t="shared" si="1"/>
        <v>#DIV/0!</v>
      </c>
      <c r="H29" s="245">
        <f>'Info Entrada'!E228/$H$12</f>
        <v>0</v>
      </c>
      <c r="I29" s="246" t="e">
        <f t="shared" si="2"/>
        <v>#DIV/0!</v>
      </c>
      <c r="J29" s="245">
        <f>'Info Entrada'!F228/$J$12</f>
        <v>0</v>
      </c>
      <c r="K29" s="246" t="e">
        <f t="shared" si="3"/>
        <v>#DIV/0!</v>
      </c>
      <c r="L29" s="245">
        <f>'Info Entrada'!G228/$L$12</f>
        <v>0</v>
      </c>
      <c r="M29" s="247" t="e">
        <f t="shared" si="4"/>
        <v>#DIV/0!</v>
      </c>
      <c r="N29" s="18"/>
    </row>
    <row r="30" spans="1:14" s="4" customFormat="1" x14ac:dyDescent="0.2">
      <c r="A30" s="3360" t="str">
        <f>'Info Entrada'!B229</f>
        <v>Arrendamiento / Leasing</v>
      </c>
      <c r="B30" s="3361"/>
      <c r="C30" s="3361"/>
      <c r="D30" s="43">
        <f>'Info Entrada'!C229/$D$12</f>
        <v>0</v>
      </c>
      <c r="E30" s="44" t="e">
        <f t="shared" si="0"/>
        <v>#DIV/0!</v>
      </c>
      <c r="F30" s="43">
        <f>'Info Entrada'!D229/$F$12</f>
        <v>0</v>
      </c>
      <c r="G30" s="44" t="e">
        <f t="shared" si="1"/>
        <v>#DIV/0!</v>
      </c>
      <c r="H30" s="43">
        <f>'Info Entrada'!E229/$H$12</f>
        <v>0</v>
      </c>
      <c r="I30" s="44" t="e">
        <f t="shared" si="2"/>
        <v>#DIV/0!</v>
      </c>
      <c r="J30" s="43">
        <f>'Info Entrada'!F229/$J$12</f>
        <v>0</v>
      </c>
      <c r="K30" s="44" t="e">
        <f t="shared" si="3"/>
        <v>#DIV/0!</v>
      </c>
      <c r="L30" s="43">
        <f>'Info Entrada'!G229/$L$12</f>
        <v>0</v>
      </c>
      <c r="M30" s="236" t="e">
        <f t="shared" si="4"/>
        <v>#DIV/0!</v>
      </c>
      <c r="N30" s="18"/>
    </row>
    <row r="31" spans="1:14" s="4" customFormat="1" x14ac:dyDescent="0.2">
      <c r="A31" s="3360" t="str">
        <f>'Info Entrada'!B230</f>
        <v>Cuentas por Pagar L/P</v>
      </c>
      <c r="B31" s="3361"/>
      <c r="C31" s="3361"/>
      <c r="D31" s="43">
        <f>'Info Entrada'!C230/$D$12</f>
        <v>0</v>
      </c>
      <c r="E31" s="44" t="e">
        <f t="shared" si="0"/>
        <v>#DIV/0!</v>
      </c>
      <c r="F31" s="43">
        <f>'Info Entrada'!D230/$F$12</f>
        <v>0</v>
      </c>
      <c r="G31" s="44" t="e">
        <f t="shared" si="1"/>
        <v>#DIV/0!</v>
      </c>
      <c r="H31" s="43">
        <f>'Info Entrada'!E230/$H$12</f>
        <v>0</v>
      </c>
      <c r="I31" s="44" t="e">
        <f t="shared" si="2"/>
        <v>#DIV/0!</v>
      </c>
      <c r="J31" s="43">
        <f>'Info Entrada'!F230/$J$12</f>
        <v>0</v>
      </c>
      <c r="K31" s="44" t="e">
        <f t="shared" si="3"/>
        <v>#DIV/0!</v>
      </c>
      <c r="L31" s="43">
        <f>'Info Entrada'!G230/$L$12</f>
        <v>0</v>
      </c>
      <c r="M31" s="236" t="e">
        <f t="shared" si="4"/>
        <v>#DIV/0!</v>
      </c>
      <c r="N31" s="18"/>
    </row>
    <row r="32" spans="1:14" s="4" customFormat="1" x14ac:dyDescent="0.2">
      <c r="A32" s="3360" t="str">
        <f>'Info Entrada'!B231</f>
        <v>Cuentas por Pagar L/P Grupo y/o Asociadas</v>
      </c>
      <c r="B32" s="3361"/>
      <c r="C32" s="3361"/>
      <c r="D32" s="43">
        <f>'Info Entrada'!C231/$D$12</f>
        <v>0</v>
      </c>
      <c r="E32" s="44" t="e">
        <f t="shared" si="0"/>
        <v>#DIV/0!</v>
      </c>
      <c r="F32" s="43">
        <f>'Info Entrada'!D231/$F$12</f>
        <v>0</v>
      </c>
      <c r="G32" s="44" t="e">
        <f t="shared" si="1"/>
        <v>#DIV/0!</v>
      </c>
      <c r="H32" s="43">
        <f>'Info Entrada'!E231/$H$12</f>
        <v>0</v>
      </c>
      <c r="I32" s="44" t="e">
        <f t="shared" si="2"/>
        <v>#DIV/0!</v>
      </c>
      <c r="J32" s="43">
        <f>'Info Entrada'!F231/$J$12</f>
        <v>0</v>
      </c>
      <c r="K32" s="44" t="e">
        <f t="shared" si="3"/>
        <v>#DIV/0!</v>
      </c>
      <c r="L32" s="43">
        <f>'Info Entrada'!G231/$L$12</f>
        <v>0</v>
      </c>
      <c r="M32" s="236" t="e">
        <f t="shared" si="4"/>
        <v>#DIV/0!</v>
      </c>
      <c r="N32" s="18"/>
    </row>
    <row r="33" spans="1:14" s="4" customFormat="1" x14ac:dyDescent="0.2">
      <c r="A33" s="3360" t="str">
        <f>'Info Entrada'!B232</f>
        <v>Impuestos por Pagar L/P</v>
      </c>
      <c r="B33" s="3361"/>
      <c r="C33" s="3361"/>
      <c r="D33" s="43">
        <f>'Info Entrada'!C232/$D$12</f>
        <v>0</v>
      </c>
      <c r="E33" s="44" t="e">
        <f t="shared" si="0"/>
        <v>#DIV/0!</v>
      </c>
      <c r="F33" s="43">
        <f>'Info Entrada'!D232/$F$12</f>
        <v>0</v>
      </c>
      <c r="G33" s="44" t="e">
        <f t="shared" si="1"/>
        <v>#DIV/0!</v>
      </c>
      <c r="H33" s="43">
        <f>'Info Entrada'!E232/$H$12</f>
        <v>0</v>
      </c>
      <c r="I33" s="44" t="e">
        <f t="shared" si="2"/>
        <v>#DIV/0!</v>
      </c>
      <c r="J33" s="43">
        <f>'Info Entrada'!F232/$J$12</f>
        <v>0</v>
      </c>
      <c r="K33" s="44" t="e">
        <f t="shared" si="3"/>
        <v>#DIV/0!</v>
      </c>
      <c r="L33" s="43">
        <f>'Info Entrada'!G232/$L$12</f>
        <v>0</v>
      </c>
      <c r="M33" s="236" t="e">
        <f t="shared" si="4"/>
        <v>#DIV/0!</v>
      </c>
      <c r="N33" s="18"/>
    </row>
    <row r="34" spans="1:14" s="4" customFormat="1" x14ac:dyDescent="0.2">
      <c r="A34" s="3360" t="str">
        <f>'Info Entrada'!B233</f>
        <v>Pensiones de Jubilación</v>
      </c>
      <c r="B34" s="3361"/>
      <c r="C34" s="3361"/>
      <c r="D34" s="43">
        <f>'Info Entrada'!C233/$D$12</f>
        <v>0</v>
      </c>
      <c r="E34" s="44" t="e">
        <f t="shared" si="0"/>
        <v>#DIV/0!</v>
      </c>
      <c r="F34" s="43">
        <f>'Info Entrada'!D233/$F$12</f>
        <v>0</v>
      </c>
      <c r="G34" s="44" t="e">
        <f t="shared" si="1"/>
        <v>#DIV/0!</v>
      </c>
      <c r="H34" s="43">
        <f>'Info Entrada'!E233/$H$12</f>
        <v>0</v>
      </c>
      <c r="I34" s="44" t="e">
        <f t="shared" si="2"/>
        <v>#DIV/0!</v>
      </c>
      <c r="J34" s="43">
        <f>'Info Entrada'!F233/$J$12</f>
        <v>0</v>
      </c>
      <c r="K34" s="44" t="e">
        <f t="shared" si="3"/>
        <v>#DIV/0!</v>
      </c>
      <c r="L34" s="43">
        <f>'Info Entrada'!G233/$L$12</f>
        <v>0</v>
      </c>
      <c r="M34" s="236" t="e">
        <f t="shared" si="4"/>
        <v>#DIV/0!</v>
      </c>
      <c r="N34" s="18"/>
    </row>
    <row r="35" spans="1:14" s="4" customFormat="1" x14ac:dyDescent="0.2">
      <c r="A35" s="3360" t="str">
        <f>'Info Entrada'!B234</f>
        <v>Pasivos Diferidos</v>
      </c>
      <c r="B35" s="3361"/>
      <c r="C35" s="3361"/>
      <c r="D35" s="43">
        <f>'Info Entrada'!C234/$D$12</f>
        <v>0</v>
      </c>
      <c r="E35" s="44" t="e">
        <f t="shared" si="0"/>
        <v>#DIV/0!</v>
      </c>
      <c r="F35" s="43">
        <f>'Info Entrada'!D234/$F$12</f>
        <v>0</v>
      </c>
      <c r="G35" s="44" t="e">
        <f t="shared" si="1"/>
        <v>#DIV/0!</v>
      </c>
      <c r="H35" s="43">
        <f>'Info Entrada'!E234/$H$12</f>
        <v>0</v>
      </c>
      <c r="I35" s="44" t="e">
        <f t="shared" si="2"/>
        <v>#DIV/0!</v>
      </c>
      <c r="J35" s="43">
        <f>'Info Entrada'!F234/$J$12</f>
        <v>0</v>
      </c>
      <c r="K35" s="44" t="e">
        <f t="shared" si="3"/>
        <v>#DIV/0!</v>
      </c>
      <c r="L35" s="43">
        <f>'Info Entrada'!G234/$L$12</f>
        <v>0</v>
      </c>
      <c r="M35" s="236" t="e">
        <f t="shared" si="4"/>
        <v>#DIV/0!</v>
      </c>
      <c r="N35" s="18"/>
    </row>
    <row r="36" spans="1:14" s="4" customFormat="1" ht="13.5" thickBot="1" x14ac:dyDescent="0.25">
      <c r="A36" s="3362" t="str">
        <f>'Info Entrada'!B235</f>
        <v>Bonos y Papeles Comerciales LP</v>
      </c>
      <c r="B36" s="3363"/>
      <c r="C36" s="3363"/>
      <c r="D36" s="237">
        <f>'Info Entrada'!C235/$D$12</f>
        <v>0</v>
      </c>
      <c r="E36" s="238" t="e">
        <f t="shared" si="0"/>
        <v>#DIV/0!</v>
      </c>
      <c r="F36" s="237">
        <f>'Info Entrada'!D235/$F$12</f>
        <v>0</v>
      </c>
      <c r="G36" s="238" t="e">
        <f t="shared" si="1"/>
        <v>#DIV/0!</v>
      </c>
      <c r="H36" s="237">
        <f>'Info Entrada'!E235/$H$12</f>
        <v>0</v>
      </c>
      <c r="I36" s="238" t="e">
        <f t="shared" si="2"/>
        <v>#DIV/0!</v>
      </c>
      <c r="J36" s="237">
        <f>'Info Entrada'!F235/$J$12</f>
        <v>0</v>
      </c>
      <c r="K36" s="238" t="e">
        <f t="shared" si="3"/>
        <v>#DIV/0!</v>
      </c>
      <c r="L36" s="237">
        <f>'Info Entrada'!G235/$L$12</f>
        <v>0</v>
      </c>
      <c r="M36" s="239" t="e">
        <f t="shared" si="4"/>
        <v>#DIV/0!</v>
      </c>
      <c r="N36" s="18"/>
    </row>
    <row r="37" spans="1:14" s="4" customFormat="1" ht="13.5" thickBot="1" x14ac:dyDescent="0.25">
      <c r="A37" s="3364" t="str">
        <f>'Info Entrada'!B236</f>
        <v>PASIVO LARGO PLAZO</v>
      </c>
      <c r="B37" s="3365"/>
      <c r="C37" s="3366"/>
      <c r="D37" s="243">
        <f>SUM(D29:D36)</f>
        <v>0</v>
      </c>
      <c r="E37" s="244" t="e">
        <f t="shared" si="0"/>
        <v>#DIV/0!</v>
      </c>
      <c r="F37" s="243">
        <f>SUM(F29:F36)</f>
        <v>0</v>
      </c>
      <c r="G37" s="244" t="e">
        <f t="shared" si="1"/>
        <v>#DIV/0!</v>
      </c>
      <c r="H37" s="243">
        <f>SUM(H29:H36)</f>
        <v>0</v>
      </c>
      <c r="I37" s="244" t="e">
        <f t="shared" si="2"/>
        <v>#DIV/0!</v>
      </c>
      <c r="J37" s="243">
        <f>SUM(J29:J36)</f>
        <v>0</v>
      </c>
      <c r="K37" s="244" t="e">
        <f t="shared" si="3"/>
        <v>#DIV/0!</v>
      </c>
      <c r="L37" s="243">
        <f>SUM(L29:L36)</f>
        <v>0</v>
      </c>
      <c r="M37" s="249" t="e">
        <f t="shared" si="4"/>
        <v>#DIV/0!</v>
      </c>
      <c r="N37" s="18"/>
    </row>
    <row r="38" spans="1:14" s="4" customFormat="1" x14ac:dyDescent="0.2">
      <c r="A38" s="3367" t="str">
        <f>'Info Entrada'!B241</f>
        <v>Capital Social, Suscrito y Pagado</v>
      </c>
      <c r="B38" s="3368"/>
      <c r="C38" s="3368"/>
      <c r="D38" s="245">
        <f>'Info Entrada'!C241/$D$12</f>
        <v>0</v>
      </c>
      <c r="E38" s="246" t="e">
        <f t="shared" si="0"/>
        <v>#DIV/0!</v>
      </c>
      <c r="F38" s="245">
        <f>'Info Entrada'!D241/$F$12</f>
        <v>0</v>
      </c>
      <c r="G38" s="246" t="e">
        <f t="shared" si="1"/>
        <v>#DIV/0!</v>
      </c>
      <c r="H38" s="245">
        <f>'Info Entrada'!E241/$H$12</f>
        <v>0</v>
      </c>
      <c r="I38" s="246" t="e">
        <f t="shared" si="2"/>
        <v>#DIV/0!</v>
      </c>
      <c r="J38" s="245">
        <f>'Info Entrada'!F241/$J$12</f>
        <v>0</v>
      </c>
      <c r="K38" s="246" t="e">
        <f t="shared" si="3"/>
        <v>#DIV/0!</v>
      </c>
      <c r="L38" s="245">
        <f>'Info Entrada'!G241/$L$12</f>
        <v>0</v>
      </c>
      <c r="M38" s="247" t="e">
        <f t="shared" si="4"/>
        <v>#DIV/0!</v>
      </c>
      <c r="N38" s="18"/>
    </row>
    <row r="39" spans="1:14" s="4" customFormat="1" x14ac:dyDescent="0.2">
      <c r="A39" s="3371" t="str">
        <f>'Info Entrada'!B242</f>
        <v xml:space="preserve">Aportaciones para Futuros Aumentos de Capital </v>
      </c>
      <c r="B39" s="3372"/>
      <c r="C39" s="3372"/>
      <c r="D39" s="43">
        <f>'Info Entrada'!C242/$D$12</f>
        <v>0</v>
      </c>
      <c r="E39" s="44" t="e">
        <f t="shared" si="0"/>
        <v>#DIV/0!</v>
      </c>
      <c r="F39" s="43">
        <f>'Info Entrada'!D242/$F$12</f>
        <v>0</v>
      </c>
      <c r="G39" s="44" t="e">
        <f t="shared" si="1"/>
        <v>#DIV/0!</v>
      </c>
      <c r="H39" s="43">
        <f>'Info Entrada'!E242/$H$12</f>
        <v>0</v>
      </c>
      <c r="I39" s="44" t="e">
        <f t="shared" si="2"/>
        <v>#DIV/0!</v>
      </c>
      <c r="J39" s="43">
        <f>'Info Entrada'!F242/$J$12</f>
        <v>0</v>
      </c>
      <c r="K39" s="44" t="e">
        <f t="shared" si="3"/>
        <v>#DIV/0!</v>
      </c>
      <c r="L39" s="43">
        <f>'Info Entrada'!G242/$L$12</f>
        <v>0</v>
      </c>
      <c r="M39" s="236" t="e">
        <f t="shared" si="4"/>
        <v>#DIV/0!</v>
      </c>
      <c r="N39" s="18"/>
    </row>
    <row r="40" spans="1:14" s="4" customFormat="1" x14ac:dyDescent="0.2">
      <c r="A40" s="3360" t="str">
        <f>'Info Entrada'!B243</f>
        <v>- Acciones Propias en tesorería / Autocartera</v>
      </c>
      <c r="B40" s="3361"/>
      <c r="C40" s="3361"/>
      <c r="D40" s="43">
        <f>'Info Entrada'!C243/$D$12</f>
        <v>0</v>
      </c>
      <c r="E40" s="44" t="e">
        <f t="shared" si="0"/>
        <v>#DIV/0!</v>
      </c>
      <c r="F40" s="43">
        <f>'Info Entrada'!D243/$F$12</f>
        <v>0</v>
      </c>
      <c r="G40" s="44" t="e">
        <f t="shared" si="1"/>
        <v>#DIV/0!</v>
      </c>
      <c r="H40" s="43">
        <f>'Info Entrada'!E243/$H$12</f>
        <v>0</v>
      </c>
      <c r="I40" s="44" t="e">
        <f t="shared" si="2"/>
        <v>#DIV/0!</v>
      </c>
      <c r="J40" s="43">
        <f>'Info Entrada'!F243/$J$12</f>
        <v>0</v>
      </c>
      <c r="K40" s="44" t="e">
        <f t="shared" si="3"/>
        <v>#DIV/0!</v>
      </c>
      <c r="L40" s="43">
        <f>'Info Entrada'!G243/$L$12</f>
        <v>0</v>
      </c>
      <c r="M40" s="236" t="e">
        <f t="shared" si="4"/>
        <v>#DIV/0!</v>
      </c>
      <c r="N40" s="18"/>
    </row>
    <row r="41" spans="1:14" s="4" customFormat="1" x14ac:dyDescent="0.2">
      <c r="A41" s="3360" t="str">
        <f>'Info Entrada'!B244</f>
        <v>Prima en colocación de acciones</v>
      </c>
      <c r="B41" s="3361"/>
      <c r="C41" s="3361"/>
      <c r="D41" s="171">
        <f>'Info Entrada'!C244/$D$12</f>
        <v>0</v>
      </c>
      <c r="E41" s="44" t="e">
        <f t="shared" si="0"/>
        <v>#DIV/0!</v>
      </c>
      <c r="F41" s="43">
        <f>'Info Entrada'!D244/$F$12</f>
        <v>0</v>
      </c>
      <c r="G41" s="44" t="e">
        <f t="shared" si="1"/>
        <v>#DIV/0!</v>
      </c>
      <c r="H41" s="43">
        <f>'Info Entrada'!E244/$H$12</f>
        <v>0</v>
      </c>
      <c r="I41" s="44" t="e">
        <f t="shared" si="2"/>
        <v>#DIV/0!</v>
      </c>
      <c r="J41" s="43">
        <f>'Info Entrada'!F244/$J$12</f>
        <v>0</v>
      </c>
      <c r="K41" s="44" t="e">
        <f t="shared" si="3"/>
        <v>#DIV/0!</v>
      </c>
      <c r="L41" s="43">
        <f>'Info Entrada'!G244/$L$12</f>
        <v>0</v>
      </c>
      <c r="M41" s="236" t="e">
        <f t="shared" si="4"/>
        <v>#DIV/0!</v>
      </c>
      <c r="N41" s="18"/>
    </row>
    <row r="42" spans="1:14" s="4" customFormat="1" x14ac:dyDescent="0.2">
      <c r="A42" s="3369" t="str">
        <f>'Info Entrada'!B245</f>
        <v>+/- Utilidades / Pérdidas Retenidas</v>
      </c>
      <c r="B42" s="3370"/>
      <c r="C42" s="3361"/>
      <c r="D42" s="43">
        <f>'Info Entrada'!C245/$D$12</f>
        <v>0</v>
      </c>
      <c r="E42" s="44" t="e">
        <f t="shared" si="0"/>
        <v>#DIV/0!</v>
      </c>
      <c r="F42" s="43">
        <f>'Info Entrada'!D245/$F$12</f>
        <v>0</v>
      </c>
      <c r="G42" s="44" t="e">
        <f t="shared" si="1"/>
        <v>#DIV/0!</v>
      </c>
      <c r="H42" s="43">
        <f>'Info Entrada'!E245/$H$12</f>
        <v>0</v>
      </c>
      <c r="I42" s="44" t="e">
        <f t="shared" si="2"/>
        <v>#DIV/0!</v>
      </c>
      <c r="J42" s="43">
        <f>'Info Entrada'!F245/$J$12</f>
        <v>0</v>
      </c>
      <c r="K42" s="44" t="e">
        <f t="shared" si="3"/>
        <v>#DIV/0!</v>
      </c>
      <c r="L42" s="43">
        <f>'Info Entrada'!G245/$L$12</f>
        <v>0</v>
      </c>
      <c r="M42" s="236" t="e">
        <f t="shared" si="4"/>
        <v>#DIV/0!</v>
      </c>
      <c r="N42" s="18"/>
    </row>
    <row r="43" spans="1:14" s="4" customFormat="1" x14ac:dyDescent="0.2">
      <c r="A43" s="3369" t="str">
        <f>'Info Entrada'!B246</f>
        <v>+/-  Método de Participación</v>
      </c>
      <c r="B43" s="3370"/>
      <c r="C43" s="3361"/>
      <c r="D43" s="43">
        <f>'Info Entrada'!C246/$D$12</f>
        <v>0</v>
      </c>
      <c r="E43" s="44" t="e">
        <f t="shared" si="0"/>
        <v>#DIV/0!</v>
      </c>
      <c r="F43" s="43">
        <f>'Info Entrada'!D246/$F$12</f>
        <v>0</v>
      </c>
      <c r="G43" s="44" t="e">
        <f t="shared" si="1"/>
        <v>#DIV/0!</v>
      </c>
      <c r="H43" s="43">
        <f>'Info Entrada'!E246/$H$12</f>
        <v>0</v>
      </c>
      <c r="I43" s="44" t="e">
        <f t="shared" si="2"/>
        <v>#DIV/0!</v>
      </c>
      <c r="J43" s="43">
        <f>'Info Entrada'!F246/$J$12</f>
        <v>0</v>
      </c>
      <c r="K43" s="44" t="e">
        <f t="shared" si="3"/>
        <v>#DIV/0!</v>
      </c>
      <c r="L43" s="43">
        <f>'Info Entrada'!G246/$L$12</f>
        <v>0</v>
      </c>
      <c r="M43" s="236" t="e">
        <f t="shared" si="4"/>
        <v>#DIV/0!</v>
      </c>
      <c r="N43" s="18"/>
    </row>
    <row r="44" spans="1:14" s="4" customFormat="1" x14ac:dyDescent="0.2">
      <c r="A44" s="3369" t="str">
        <f>'Info Entrada'!B247</f>
        <v>+/- Utilidad (Pérdida) del Ejercicio</v>
      </c>
      <c r="B44" s="3370"/>
      <c r="C44" s="3361"/>
      <c r="D44" s="45">
        <f>'Info Entrada'!C247/$D$12</f>
        <v>0</v>
      </c>
      <c r="E44" s="44" t="e">
        <f t="shared" si="0"/>
        <v>#DIV/0!</v>
      </c>
      <c r="F44" s="45">
        <f>'Info Entrada'!D247/$F$12</f>
        <v>0</v>
      </c>
      <c r="G44" s="44" t="e">
        <f t="shared" si="1"/>
        <v>#DIV/0!</v>
      </c>
      <c r="H44" s="45">
        <f>'Info Entrada'!E247/$H$12</f>
        <v>0</v>
      </c>
      <c r="I44" s="44" t="e">
        <f t="shared" si="2"/>
        <v>#DIV/0!</v>
      </c>
      <c r="J44" s="45">
        <f>'Info Entrada'!F247/$J$12</f>
        <v>0</v>
      </c>
      <c r="K44" s="44" t="e">
        <f t="shared" si="3"/>
        <v>#DIV/0!</v>
      </c>
      <c r="L44" s="45">
        <f>'Info Entrada'!G247/$L$12</f>
        <v>0</v>
      </c>
      <c r="M44" s="236" t="e">
        <f t="shared" si="4"/>
        <v>#DIV/0!</v>
      </c>
      <c r="N44" s="18"/>
    </row>
    <row r="45" spans="1:14" s="4" customFormat="1" x14ac:dyDescent="0.2">
      <c r="A45" s="3360" t="str">
        <f>'Info Entrada'!B248</f>
        <v>Revalorización del Patrimonio</v>
      </c>
      <c r="B45" s="3361"/>
      <c r="C45" s="3361"/>
      <c r="D45" s="43">
        <f>'Info Entrada'!C248/$D$12</f>
        <v>0</v>
      </c>
      <c r="E45" s="44" t="e">
        <f>+D45/D$50</f>
        <v>#DIV/0!</v>
      </c>
      <c r="F45" s="43">
        <f>'Info Entrada'!D248/$F$12</f>
        <v>0</v>
      </c>
      <c r="G45" s="44" t="e">
        <f t="shared" si="1"/>
        <v>#DIV/0!</v>
      </c>
      <c r="H45" s="43">
        <f>'Info Entrada'!E248/$H$12</f>
        <v>0</v>
      </c>
      <c r="I45" s="44" t="e">
        <f t="shared" si="2"/>
        <v>#DIV/0!</v>
      </c>
      <c r="J45" s="43">
        <f>'Info Entrada'!F248/$J$12</f>
        <v>0</v>
      </c>
      <c r="K45" s="44" t="e">
        <f t="shared" si="3"/>
        <v>#DIV/0!</v>
      </c>
      <c r="L45" s="43">
        <f>'Info Entrada'!G248/$L$12</f>
        <v>0</v>
      </c>
      <c r="M45" s="236" t="e">
        <f t="shared" si="4"/>
        <v>#DIV/0!</v>
      </c>
      <c r="N45" s="18"/>
    </row>
    <row r="46" spans="1:14" s="4" customFormat="1" x14ac:dyDescent="0.2">
      <c r="A46" s="3360" t="str">
        <f>'Info Entrada'!B249</f>
        <v>Reservas (Legal + Otras Reservas)</v>
      </c>
      <c r="B46" s="3361"/>
      <c r="C46" s="3361"/>
      <c r="D46" s="43">
        <f>'Info Entrada'!C249/$D$12</f>
        <v>0</v>
      </c>
      <c r="E46" s="44" t="e">
        <f>+D46/D$50</f>
        <v>#DIV/0!</v>
      </c>
      <c r="F46" s="43">
        <f>'Info Entrada'!D249/$F$12</f>
        <v>0</v>
      </c>
      <c r="G46" s="44" t="e">
        <f t="shared" si="1"/>
        <v>#DIV/0!</v>
      </c>
      <c r="H46" s="43">
        <f>'Info Entrada'!E249/$H$12</f>
        <v>0</v>
      </c>
      <c r="I46" s="44" t="e">
        <f t="shared" si="2"/>
        <v>#DIV/0!</v>
      </c>
      <c r="J46" s="43">
        <f>'Info Entrada'!F249/$J$12</f>
        <v>0</v>
      </c>
      <c r="K46" s="44" t="e">
        <f t="shared" si="3"/>
        <v>#DIV/0!</v>
      </c>
      <c r="L46" s="43">
        <f>'Info Entrada'!G249/$L$12</f>
        <v>0</v>
      </c>
      <c r="M46" s="236" t="e">
        <f t="shared" si="4"/>
        <v>#DIV/0!</v>
      </c>
      <c r="N46" s="18"/>
    </row>
    <row r="47" spans="1:14" s="4" customFormat="1" ht="13.5" thickBot="1" x14ac:dyDescent="0.25">
      <c r="A47" s="3362" t="str">
        <f>'Info Entrada'!B250</f>
        <v>Valorizaciones</v>
      </c>
      <c r="B47" s="3363"/>
      <c r="C47" s="3363"/>
      <c r="D47" s="250">
        <f>'Info Entrada'!C250/$D$12</f>
        <v>0</v>
      </c>
      <c r="E47" s="238" t="e">
        <f t="shared" si="0"/>
        <v>#DIV/0!</v>
      </c>
      <c r="F47" s="250">
        <f>'Info Entrada'!D250/$F$12</f>
        <v>0</v>
      </c>
      <c r="G47" s="238" t="e">
        <f t="shared" si="1"/>
        <v>#DIV/0!</v>
      </c>
      <c r="H47" s="250">
        <f>'Info Entrada'!E250/$H$12</f>
        <v>0</v>
      </c>
      <c r="I47" s="238" t="e">
        <f t="shared" si="2"/>
        <v>#DIV/0!</v>
      </c>
      <c r="J47" s="250">
        <f>'Info Entrada'!F250/$J$12</f>
        <v>0</v>
      </c>
      <c r="K47" s="238" t="e">
        <f t="shared" si="3"/>
        <v>#DIV/0!</v>
      </c>
      <c r="L47" s="250">
        <f>'Info Entrada'!G250/$L$12</f>
        <v>0</v>
      </c>
      <c r="M47" s="239" t="e">
        <f t="shared" si="4"/>
        <v>#DIV/0!</v>
      </c>
      <c r="N47" s="18"/>
    </row>
    <row r="48" spans="1:14" s="4" customFormat="1" ht="13.5" thickBot="1" x14ac:dyDescent="0.25">
      <c r="A48" s="3364" t="s">
        <v>332</v>
      </c>
      <c r="B48" s="3365"/>
      <c r="C48" s="3366"/>
      <c r="D48" s="243">
        <f>SUM(D38:D47)</f>
        <v>0</v>
      </c>
      <c r="E48" s="244" t="e">
        <f t="shared" si="0"/>
        <v>#DIV/0!</v>
      </c>
      <c r="F48" s="243">
        <f>SUM(F38:F47)</f>
        <v>0</v>
      </c>
      <c r="G48" s="244" t="e">
        <f t="shared" si="1"/>
        <v>#DIV/0!</v>
      </c>
      <c r="H48" s="243">
        <f>SUM(H38:H47)</f>
        <v>0</v>
      </c>
      <c r="I48" s="244" t="e">
        <f t="shared" si="2"/>
        <v>#DIV/0!</v>
      </c>
      <c r="J48" s="243">
        <f>SUM(J38:J47)</f>
        <v>0</v>
      </c>
      <c r="K48" s="244" t="e">
        <f t="shared" si="3"/>
        <v>#DIV/0!</v>
      </c>
      <c r="L48" s="243">
        <f>SUM(L38:L47)</f>
        <v>0</v>
      </c>
      <c r="M48" s="249" t="e">
        <f t="shared" si="4"/>
        <v>#DIV/0!</v>
      </c>
      <c r="N48" s="18"/>
    </row>
    <row r="49" spans="1:14" s="4" customFormat="1" ht="13.5" thickBot="1" x14ac:dyDescent="0.25">
      <c r="A49" s="3373" t="s">
        <v>333</v>
      </c>
      <c r="B49" s="3374"/>
      <c r="C49" s="3374"/>
      <c r="D49" s="254">
        <f>(D28+D37)</f>
        <v>0</v>
      </c>
      <c r="E49" s="255" t="e">
        <f t="shared" si="0"/>
        <v>#DIV/0!</v>
      </c>
      <c r="F49" s="254">
        <f>(F28+F37)</f>
        <v>0</v>
      </c>
      <c r="G49" s="255" t="e">
        <f t="shared" si="1"/>
        <v>#DIV/0!</v>
      </c>
      <c r="H49" s="254">
        <f>+H28+H37</f>
        <v>0</v>
      </c>
      <c r="I49" s="255" t="e">
        <f t="shared" si="2"/>
        <v>#DIV/0!</v>
      </c>
      <c r="J49" s="254">
        <f>+J28+J37</f>
        <v>0</v>
      </c>
      <c r="K49" s="255" t="e">
        <f t="shared" si="3"/>
        <v>#DIV/0!</v>
      </c>
      <c r="L49" s="256">
        <f>+L28+L37</f>
        <v>0</v>
      </c>
      <c r="M49" s="257" t="e">
        <f t="shared" si="4"/>
        <v>#DIV/0!</v>
      </c>
      <c r="N49" s="18"/>
    </row>
    <row r="50" spans="1:14" s="4" customFormat="1" ht="13.5" thickBot="1" x14ac:dyDescent="0.25">
      <c r="A50" s="3375" t="s">
        <v>334</v>
      </c>
      <c r="B50" s="3376"/>
      <c r="C50" s="3377"/>
      <c r="D50" s="251">
        <f>(D48+D49)</f>
        <v>0</v>
      </c>
      <c r="E50" s="252" t="e">
        <f t="shared" si="0"/>
        <v>#DIV/0!</v>
      </c>
      <c r="F50" s="251">
        <f>(F48+F49)</f>
        <v>0</v>
      </c>
      <c r="G50" s="252" t="e">
        <f t="shared" si="1"/>
        <v>#DIV/0!</v>
      </c>
      <c r="H50" s="251">
        <f>(H48+H49)</f>
        <v>0</v>
      </c>
      <c r="I50" s="252" t="e">
        <f t="shared" si="2"/>
        <v>#DIV/0!</v>
      </c>
      <c r="J50" s="251">
        <f>(J48+J49)</f>
        <v>0</v>
      </c>
      <c r="K50" s="252" t="e">
        <f t="shared" si="3"/>
        <v>#DIV/0!</v>
      </c>
      <c r="L50" s="251">
        <f>(L48+L49)</f>
        <v>0</v>
      </c>
      <c r="M50" s="253" t="e">
        <f t="shared" si="4"/>
        <v>#DIV/0!</v>
      </c>
      <c r="N50" s="18"/>
    </row>
    <row r="51" spans="1:14" x14ac:dyDescent="0.2">
      <c r="A51" s="3348"/>
      <c r="B51" s="3348"/>
      <c r="C51" s="3349"/>
      <c r="D51" s="248"/>
      <c r="F51" s="248"/>
      <c r="L51" s="31"/>
      <c r="M51" s="272"/>
    </row>
    <row r="52" spans="1:14" x14ac:dyDescent="0.2">
      <c r="A52" s="3378" t="s">
        <v>335</v>
      </c>
      <c r="B52" s="3379"/>
      <c r="C52" s="3380"/>
      <c r="D52" s="1198" t="e">
        <f>D50-#REF!</f>
        <v>#REF!</v>
      </c>
      <c r="E52" s="31"/>
      <c r="F52" s="1198" t="e">
        <f>F50-#REF!</f>
        <v>#REF!</v>
      </c>
      <c r="G52" s="31"/>
      <c r="H52" s="1199" t="e">
        <f>H50-#REF!</f>
        <v>#REF!</v>
      </c>
      <c r="I52" s="31"/>
      <c r="J52" s="1199" t="e">
        <f>J50-#REF!</f>
        <v>#REF!</v>
      </c>
      <c r="K52" s="31"/>
      <c r="L52" s="1199" t="e">
        <f>L50-#REF!</f>
        <v>#REF!</v>
      </c>
      <c r="M52" s="32"/>
    </row>
    <row r="53" spans="1:14" x14ac:dyDescent="0.2">
      <c r="A53" s="199"/>
      <c r="B53" s="199"/>
      <c r="C53" s="199"/>
      <c r="D53" s="200"/>
      <c r="F53" s="200"/>
      <c r="H53" s="201"/>
      <c r="J53" s="201"/>
      <c r="L53" s="201"/>
      <c r="M53" s="32"/>
    </row>
    <row r="54" spans="1:14" x14ac:dyDescent="0.2">
      <c r="A54" s="3378" t="s">
        <v>358</v>
      </c>
      <c r="B54" s="3379"/>
      <c r="C54" s="3380"/>
      <c r="D54" s="172">
        <f>'Info Entrada'!C253/$D$12</f>
        <v>0</v>
      </c>
      <c r="F54" s="172">
        <f>'Info Entrada'!D253/$F$12</f>
        <v>0</v>
      </c>
      <c r="H54" s="172">
        <f>'Info Entrada'!E253/$H$12</f>
        <v>0</v>
      </c>
      <c r="J54" s="172">
        <f>'Info Entrada'!F253/$J$12</f>
        <v>0</v>
      </c>
      <c r="L54" s="172">
        <f>'Info Entrada'!G253/$L$12</f>
        <v>0</v>
      </c>
      <c r="M54" s="32"/>
    </row>
    <row r="55" spans="1:14" ht="12.75" customHeight="1" x14ac:dyDescent="0.2">
      <c r="A55" s="3378" t="s">
        <v>357</v>
      </c>
      <c r="B55" s="3379"/>
      <c r="C55" s="3380"/>
      <c r="D55" s="172">
        <f>'Info Entrada'!C254/$D$12</f>
        <v>0</v>
      </c>
      <c r="F55" s="172">
        <f>'Info Entrada'!D254/$F$12</f>
        <v>0</v>
      </c>
      <c r="H55" s="172">
        <f>'Info Entrada'!E254/$H$12</f>
        <v>0</v>
      </c>
      <c r="J55" s="172">
        <f>'Info Entrada'!F254/$J$12</f>
        <v>0</v>
      </c>
      <c r="L55" s="172">
        <f>'Info Entrada'!G254/$L$12</f>
        <v>0</v>
      </c>
      <c r="M55" s="32"/>
    </row>
    <row r="56" spans="1:14" x14ac:dyDescent="0.2">
      <c r="A56" s="46"/>
      <c r="B56" s="46"/>
      <c r="C56" s="46"/>
      <c r="D56" s="173"/>
      <c r="F56" s="47"/>
      <c r="H56" s="47"/>
      <c r="L56" s="47"/>
      <c r="M56" s="32"/>
    </row>
    <row r="57" spans="1:14" ht="13.5" thickBot="1" x14ac:dyDescent="0.25">
      <c r="A57" s="48" t="s">
        <v>336</v>
      </c>
      <c r="B57" s="48"/>
      <c r="D57" s="49"/>
      <c r="L57" s="31"/>
      <c r="M57" s="32"/>
    </row>
    <row r="58" spans="1:14" ht="13.5" thickTop="1" x14ac:dyDescent="0.2">
      <c r="A58" s="25" t="s">
        <v>303</v>
      </c>
      <c r="B58" s="26"/>
      <c r="C58" s="26"/>
      <c r="D58" s="26"/>
      <c r="E58" s="26"/>
      <c r="F58" s="26"/>
      <c r="G58" s="26"/>
      <c r="H58" s="26"/>
      <c r="I58" s="26"/>
      <c r="J58" s="26"/>
      <c r="K58" s="26"/>
      <c r="L58" s="26"/>
      <c r="M58" s="50"/>
    </row>
    <row r="59" spans="1:14" x14ac:dyDescent="0.2">
      <c r="A59" s="1102" t="s">
        <v>303</v>
      </c>
      <c r="B59" s="1103"/>
      <c r="C59" s="1103"/>
      <c r="D59" s="1103"/>
      <c r="E59" s="1103"/>
      <c r="F59" s="1103"/>
      <c r="G59" s="1103"/>
      <c r="H59" s="1103"/>
      <c r="I59" s="1103"/>
      <c r="J59" s="1103"/>
      <c r="K59" s="1103"/>
      <c r="L59" s="1103"/>
      <c r="M59" s="1104"/>
    </row>
    <row r="60" spans="1:14" x14ac:dyDescent="0.2">
      <c r="A60" s="1102"/>
      <c r="B60" s="1103"/>
      <c r="C60" s="1103"/>
      <c r="D60" s="1103"/>
      <c r="E60" s="1103"/>
      <c r="F60" s="1103"/>
      <c r="G60" s="1103"/>
      <c r="H60" s="1103"/>
      <c r="I60" s="1103"/>
      <c r="J60" s="1103"/>
      <c r="K60" s="1103"/>
      <c r="L60" s="1103"/>
      <c r="M60" s="1104"/>
    </row>
    <row r="61" spans="1:14" x14ac:dyDescent="0.2">
      <c r="A61" s="1102"/>
      <c r="B61" s="1103"/>
      <c r="C61" s="1103"/>
      <c r="D61" s="1103"/>
      <c r="E61" s="1103"/>
      <c r="F61" s="1103"/>
      <c r="G61" s="1103"/>
      <c r="H61" s="1103"/>
      <c r="I61" s="1103"/>
      <c r="J61" s="1103"/>
      <c r="K61" s="1103"/>
      <c r="L61" s="1103"/>
      <c r="M61" s="1104"/>
    </row>
    <row r="62" spans="1:14" x14ac:dyDescent="0.2">
      <c r="A62" s="1102"/>
      <c r="B62" s="1103"/>
      <c r="C62" s="1103"/>
      <c r="D62" s="1103"/>
      <c r="E62" s="1103"/>
      <c r="F62" s="1103"/>
      <c r="G62" s="1103"/>
      <c r="H62" s="1103"/>
      <c r="I62" s="1103"/>
      <c r="J62" s="1103"/>
      <c r="K62" s="1103"/>
      <c r="L62" s="1103"/>
      <c r="M62" s="1104"/>
    </row>
    <row r="63" spans="1:14" x14ac:dyDescent="0.2">
      <c r="A63" s="1102"/>
      <c r="B63" s="1103"/>
      <c r="C63" s="1103"/>
      <c r="D63" s="1103"/>
      <c r="E63" s="1103"/>
      <c r="F63" s="1103"/>
      <c r="G63" s="1103"/>
      <c r="H63" s="1103"/>
      <c r="I63" s="1103"/>
      <c r="J63" s="1103"/>
      <c r="K63" s="1103"/>
      <c r="L63" s="1103"/>
      <c r="M63" s="1104"/>
    </row>
    <row r="64" spans="1:14" x14ac:dyDescent="0.2">
      <c r="A64" s="1102"/>
      <c r="B64" s="1103"/>
      <c r="C64" s="1103"/>
      <c r="D64" s="1103"/>
      <c r="E64" s="1103"/>
      <c r="F64" s="1103"/>
      <c r="G64" s="1103"/>
      <c r="H64" s="1103"/>
      <c r="I64" s="1103"/>
      <c r="J64" s="1103"/>
      <c r="K64" s="1103"/>
      <c r="L64" s="1103"/>
      <c r="M64" s="1104"/>
    </row>
    <row r="65" spans="1:13" x14ac:dyDescent="0.2">
      <c r="A65" s="1102"/>
      <c r="B65" s="1103"/>
      <c r="C65" s="1103"/>
      <c r="D65" s="1103"/>
      <c r="E65" s="1103"/>
      <c r="F65" s="1103"/>
      <c r="G65" s="1103"/>
      <c r="H65" s="1103"/>
      <c r="I65" s="1103"/>
      <c r="J65" s="1103"/>
      <c r="K65" s="1103"/>
      <c r="L65" s="1103"/>
      <c r="M65" s="1104"/>
    </row>
    <row r="66" spans="1:13" x14ac:dyDescent="0.2">
      <c r="A66" s="1102"/>
      <c r="B66" s="1103"/>
      <c r="C66" s="1103"/>
      <c r="D66" s="1103"/>
      <c r="E66" s="1103"/>
      <c r="F66" s="1103"/>
      <c r="G66" s="1103"/>
      <c r="H66" s="1103"/>
      <c r="I66" s="1103"/>
      <c r="J66" s="1103"/>
      <c r="K66" s="1103"/>
      <c r="L66" s="1103"/>
      <c r="M66" s="1104"/>
    </row>
    <row r="67" spans="1:13" x14ac:dyDescent="0.2">
      <c r="A67" s="1102"/>
      <c r="B67" s="1103"/>
      <c r="C67" s="1103"/>
      <c r="D67" s="1103"/>
      <c r="E67" s="1103"/>
      <c r="F67" s="1103"/>
      <c r="G67" s="1103"/>
      <c r="H67" s="1103"/>
      <c r="I67" s="1103"/>
      <c r="J67" s="1103"/>
      <c r="K67" s="1103"/>
      <c r="L67" s="1103"/>
      <c r="M67" s="1104"/>
    </row>
    <row r="68" spans="1:13" x14ac:dyDescent="0.2">
      <c r="A68" s="1102"/>
      <c r="B68" s="1103"/>
      <c r="C68" s="1103"/>
      <c r="D68" s="1103"/>
      <c r="E68" s="1103"/>
      <c r="F68" s="1103"/>
      <c r="G68" s="1103"/>
      <c r="H68" s="1103"/>
      <c r="I68" s="1103"/>
      <c r="J68" s="1103"/>
      <c r="K68" s="1103"/>
      <c r="L68" s="1103"/>
      <c r="M68" s="1104"/>
    </row>
    <row r="69" spans="1:13" x14ac:dyDescent="0.2">
      <c r="A69" s="1102"/>
      <c r="B69" s="1103"/>
      <c r="C69" s="1103"/>
      <c r="D69" s="1103"/>
      <c r="E69" s="1103"/>
      <c r="F69" s="1103"/>
      <c r="G69" s="1103"/>
      <c r="H69" s="1103"/>
      <c r="I69" s="1103"/>
      <c r="J69" s="1103"/>
      <c r="K69" s="1103"/>
      <c r="L69" s="1103"/>
      <c r="M69" s="1104"/>
    </row>
    <row r="70" spans="1:13" x14ac:dyDescent="0.2">
      <c r="A70" s="1102"/>
      <c r="B70" s="1103"/>
      <c r="C70" s="1103"/>
      <c r="D70" s="1103"/>
      <c r="E70" s="1103"/>
      <c r="F70" s="1103"/>
      <c r="G70" s="1103"/>
      <c r="H70" s="1103"/>
      <c r="I70" s="1103"/>
      <c r="J70" s="1103"/>
      <c r="K70" s="1103"/>
      <c r="L70" s="1103"/>
      <c r="M70" s="1104"/>
    </row>
    <row r="71" spans="1:13" x14ac:dyDescent="0.2">
      <c r="A71" s="1102"/>
      <c r="B71" s="1103"/>
      <c r="C71" s="1103"/>
      <c r="D71" s="1103"/>
      <c r="E71" s="1103"/>
      <c r="F71" s="1103"/>
      <c r="G71" s="1103"/>
      <c r="H71" s="1103"/>
      <c r="I71" s="1103"/>
      <c r="J71" s="1103"/>
      <c r="K71" s="1103"/>
      <c r="L71" s="1103"/>
      <c r="M71" s="1104"/>
    </row>
    <row r="72" spans="1:13" x14ac:dyDescent="0.2">
      <c r="A72" s="1102"/>
      <c r="B72" s="1103"/>
      <c r="C72" s="1103"/>
      <c r="D72" s="1103"/>
      <c r="E72" s="1103"/>
      <c r="F72" s="1103"/>
      <c r="G72" s="1103"/>
      <c r="H72" s="1103"/>
      <c r="I72" s="1103"/>
      <c r="J72" s="1103"/>
      <c r="K72" s="1103"/>
      <c r="L72" s="1103"/>
      <c r="M72" s="1104"/>
    </row>
    <row r="73" spans="1:13" x14ac:dyDescent="0.2">
      <c r="A73" s="1102"/>
      <c r="B73" s="1103"/>
      <c r="C73" s="1103"/>
      <c r="D73" s="1103"/>
      <c r="E73" s="1103"/>
      <c r="F73" s="1103"/>
      <c r="G73" s="1103"/>
      <c r="H73" s="1103"/>
      <c r="I73" s="1103"/>
      <c r="J73" s="1103"/>
      <c r="K73" s="1103"/>
      <c r="L73" s="1103"/>
      <c r="M73" s="1104"/>
    </row>
    <row r="74" spans="1:13" x14ac:dyDescent="0.2">
      <c r="A74" s="1102"/>
      <c r="B74" s="1103"/>
      <c r="C74" s="1103"/>
      <c r="D74" s="1103"/>
      <c r="E74" s="1103"/>
      <c r="F74" s="1103"/>
      <c r="G74" s="1103"/>
      <c r="H74" s="1103"/>
      <c r="I74" s="1103"/>
      <c r="J74" s="1103"/>
      <c r="K74" s="1103"/>
      <c r="L74" s="1103"/>
      <c r="M74" s="1104"/>
    </row>
    <row r="75" spans="1:13" ht="13.5" thickBot="1" x14ac:dyDescent="0.25">
      <c r="A75" s="27" t="s">
        <v>303</v>
      </c>
      <c r="B75" s="28"/>
      <c r="C75" s="28"/>
      <c r="D75" s="28"/>
      <c r="E75" s="28"/>
      <c r="F75" s="28"/>
      <c r="G75" s="28"/>
      <c r="H75" s="28"/>
      <c r="I75" s="28"/>
      <c r="J75" s="28"/>
      <c r="K75" s="28"/>
      <c r="L75" s="28"/>
      <c r="M75" s="51"/>
    </row>
    <row r="76" spans="1:13" ht="13.5" thickTop="1" x14ac:dyDescent="0.2">
      <c r="A76" s="3348"/>
      <c r="B76" s="3348"/>
      <c r="C76" s="3349"/>
    </row>
    <row r="77" spans="1:13" x14ac:dyDescent="0.2">
      <c r="A77" s="3348"/>
      <c r="B77" s="3348"/>
      <c r="C77" s="3349"/>
    </row>
    <row r="78" spans="1:13" x14ac:dyDescent="0.2">
      <c r="A78" s="3348"/>
      <c r="B78" s="3348"/>
      <c r="C78" s="3349"/>
    </row>
    <row r="79" spans="1:13" x14ac:dyDescent="0.2">
      <c r="A79" s="3348"/>
      <c r="B79" s="3348"/>
      <c r="C79" s="3349"/>
    </row>
    <row r="80" spans="1:13" x14ac:dyDescent="0.2">
      <c r="A80" s="3348"/>
      <c r="B80" s="3348"/>
      <c r="C80" s="3349"/>
    </row>
    <row r="81" spans="1:14" x14ac:dyDescent="0.2">
      <c r="A81" s="3348"/>
      <c r="B81" s="3348"/>
      <c r="C81" s="3349"/>
    </row>
    <row r="82" spans="1:14" s="31" customFormat="1" x14ac:dyDescent="0.2">
      <c r="A82" s="3348"/>
      <c r="B82" s="3348"/>
      <c r="C82" s="3349"/>
      <c r="E82" s="32"/>
      <c r="G82" s="32"/>
      <c r="I82" s="32"/>
      <c r="J82" s="32"/>
      <c r="K82" s="32"/>
      <c r="L82" s="18"/>
      <c r="M82" s="18"/>
      <c r="N82" s="18"/>
    </row>
    <row r="83" spans="1:14" s="31" customFormat="1" x14ac:dyDescent="0.2">
      <c r="A83" s="3348"/>
      <c r="B83" s="3348"/>
      <c r="C83" s="3349"/>
      <c r="E83" s="32"/>
      <c r="G83" s="32"/>
      <c r="I83" s="32"/>
      <c r="J83" s="32"/>
      <c r="K83" s="32"/>
      <c r="L83" s="18"/>
      <c r="M83" s="18"/>
      <c r="N83" s="18"/>
    </row>
    <row r="84" spans="1:14" s="31" customFormat="1" x14ac:dyDescent="0.2">
      <c r="A84" s="3348"/>
      <c r="B84" s="3348"/>
      <c r="C84" s="3349"/>
      <c r="E84" s="32"/>
      <c r="G84" s="32"/>
      <c r="I84" s="32"/>
      <c r="J84" s="32"/>
      <c r="K84" s="32"/>
      <c r="L84" s="18"/>
      <c r="M84" s="18"/>
      <c r="N84" s="18"/>
    </row>
    <row r="85" spans="1:14" s="31" customFormat="1" x14ac:dyDescent="0.2">
      <c r="A85" s="3348"/>
      <c r="B85" s="3348"/>
      <c r="C85" s="3349"/>
      <c r="E85" s="32"/>
      <c r="G85" s="32"/>
      <c r="I85" s="32"/>
      <c r="J85" s="32"/>
      <c r="K85" s="32"/>
      <c r="L85" s="18"/>
      <c r="M85" s="18"/>
      <c r="N85" s="18"/>
    </row>
    <row r="86" spans="1:14" s="31" customFormat="1" x14ac:dyDescent="0.2">
      <c r="A86" s="3348"/>
      <c r="B86" s="3348"/>
      <c r="C86" s="3349"/>
      <c r="E86" s="32"/>
      <c r="G86" s="32"/>
      <c r="I86" s="32"/>
      <c r="J86" s="32"/>
      <c r="K86" s="32"/>
      <c r="L86" s="18"/>
      <c r="M86" s="18"/>
      <c r="N86" s="18"/>
    </row>
    <row r="87" spans="1:14" s="31" customFormat="1" x14ac:dyDescent="0.2">
      <c r="A87" s="3348"/>
      <c r="B87" s="3348"/>
      <c r="C87" s="3349"/>
      <c r="E87" s="32"/>
      <c r="G87" s="32"/>
      <c r="I87" s="32"/>
      <c r="J87" s="32"/>
      <c r="K87" s="32"/>
      <c r="L87" s="18"/>
      <c r="M87" s="18"/>
      <c r="N87" s="18"/>
    </row>
    <row r="88" spans="1:14" s="31" customFormat="1" x14ac:dyDescent="0.2">
      <c r="A88" s="3348"/>
      <c r="B88" s="3348"/>
      <c r="C88" s="3349"/>
      <c r="E88" s="32"/>
      <c r="G88" s="32"/>
      <c r="I88" s="32"/>
      <c r="J88" s="32"/>
      <c r="K88" s="32"/>
      <c r="L88" s="18"/>
      <c r="M88" s="18"/>
      <c r="N88" s="18"/>
    </row>
    <row r="89" spans="1:14" s="31" customFormat="1" x14ac:dyDescent="0.2">
      <c r="A89" s="3348"/>
      <c r="B89" s="3348"/>
      <c r="C89" s="3349"/>
      <c r="E89" s="32"/>
      <c r="G89" s="32"/>
      <c r="I89" s="32"/>
      <c r="J89" s="32"/>
      <c r="K89" s="32"/>
      <c r="L89" s="18"/>
      <c r="M89" s="18"/>
      <c r="N89" s="18"/>
    </row>
    <row r="90" spans="1:14" s="31" customFormat="1" x14ac:dyDescent="0.2">
      <c r="A90" s="3348"/>
      <c r="B90" s="3348"/>
      <c r="C90" s="3349"/>
      <c r="E90" s="32"/>
      <c r="G90" s="32"/>
      <c r="I90" s="32"/>
      <c r="J90" s="32"/>
      <c r="K90" s="32"/>
      <c r="L90" s="18"/>
      <c r="M90" s="18"/>
      <c r="N90" s="18"/>
    </row>
    <row r="91" spans="1:14" s="31" customFormat="1" x14ac:dyDescent="0.2">
      <c r="A91" s="3348"/>
      <c r="B91" s="3348"/>
      <c r="C91" s="3349"/>
      <c r="E91" s="32"/>
      <c r="G91" s="32"/>
      <c r="I91" s="32"/>
      <c r="J91" s="32"/>
      <c r="K91" s="32"/>
      <c r="L91" s="18"/>
      <c r="M91" s="18"/>
      <c r="N91" s="18"/>
    </row>
    <row r="92" spans="1:14" s="31" customFormat="1" x14ac:dyDescent="0.2">
      <c r="A92" s="3348"/>
      <c r="B92" s="3348"/>
      <c r="C92" s="3349"/>
      <c r="E92" s="32"/>
      <c r="G92" s="32"/>
      <c r="I92" s="32"/>
      <c r="J92" s="32"/>
      <c r="K92" s="32"/>
      <c r="L92" s="18"/>
      <c r="M92" s="18"/>
      <c r="N92" s="18"/>
    </row>
    <row r="93" spans="1:14" s="31" customFormat="1" x14ac:dyDescent="0.2">
      <c r="A93" s="3348"/>
      <c r="B93" s="3348"/>
      <c r="C93" s="3349"/>
      <c r="E93" s="32"/>
      <c r="G93" s="32"/>
      <c r="I93" s="32"/>
      <c r="J93" s="32"/>
      <c r="K93" s="32"/>
      <c r="L93" s="18"/>
      <c r="M93" s="18"/>
      <c r="N93" s="18"/>
    </row>
    <row r="94" spans="1:14" s="31" customFormat="1" x14ac:dyDescent="0.2">
      <c r="A94" s="3348"/>
      <c r="B94" s="3348"/>
      <c r="C94" s="3349"/>
      <c r="E94" s="32"/>
      <c r="G94" s="32"/>
      <c r="I94" s="32"/>
      <c r="J94" s="32"/>
      <c r="K94" s="32"/>
      <c r="L94" s="18"/>
      <c r="M94" s="18"/>
      <c r="N94" s="18"/>
    </row>
    <row r="95" spans="1:14" s="31" customFormat="1" x14ac:dyDescent="0.2">
      <c r="A95" s="3348"/>
      <c r="B95" s="3348"/>
      <c r="C95" s="3349"/>
      <c r="E95" s="32"/>
      <c r="G95" s="32"/>
      <c r="I95" s="32"/>
      <c r="J95" s="32"/>
      <c r="K95" s="32"/>
      <c r="L95" s="18"/>
      <c r="M95" s="18"/>
      <c r="N95" s="18"/>
    </row>
    <row r="96" spans="1:14" s="31" customFormat="1" x14ac:dyDescent="0.2">
      <c r="A96" s="3348"/>
      <c r="B96" s="3348"/>
      <c r="C96" s="3349"/>
      <c r="E96" s="32"/>
      <c r="G96" s="32"/>
      <c r="I96" s="32"/>
      <c r="J96" s="32"/>
      <c r="K96" s="32"/>
      <c r="L96" s="18"/>
      <c r="M96" s="18"/>
      <c r="N96" s="18"/>
    </row>
    <row r="97" spans="1:14" s="31" customFormat="1" x14ac:dyDescent="0.2">
      <c r="A97" s="3348"/>
      <c r="B97" s="3348"/>
      <c r="C97" s="3349"/>
      <c r="E97" s="32"/>
      <c r="G97" s="32"/>
      <c r="I97" s="32"/>
      <c r="J97" s="32"/>
      <c r="K97" s="32"/>
      <c r="L97" s="18"/>
      <c r="M97" s="18"/>
      <c r="N97" s="18"/>
    </row>
    <row r="98" spans="1:14" s="31" customFormat="1" x14ac:dyDescent="0.2">
      <c r="A98" s="3348"/>
      <c r="B98" s="3348"/>
      <c r="C98" s="3349"/>
      <c r="E98" s="32"/>
      <c r="G98" s="32"/>
      <c r="I98" s="32"/>
      <c r="J98" s="32"/>
      <c r="K98" s="32"/>
      <c r="L98" s="18"/>
      <c r="M98" s="18"/>
      <c r="N98" s="18"/>
    </row>
    <row r="99" spans="1:14" s="31" customFormat="1" x14ac:dyDescent="0.2">
      <c r="A99" s="3348"/>
      <c r="B99" s="3348"/>
      <c r="C99" s="3349"/>
      <c r="E99" s="32"/>
      <c r="G99" s="32"/>
      <c r="I99" s="32"/>
      <c r="J99" s="32"/>
      <c r="K99" s="32"/>
      <c r="L99" s="18"/>
      <c r="M99" s="18"/>
      <c r="N99" s="18"/>
    </row>
    <row r="100" spans="1:14" s="31" customFormat="1" x14ac:dyDescent="0.2">
      <c r="A100" s="3348"/>
      <c r="B100" s="3348"/>
      <c r="C100" s="3349"/>
      <c r="E100" s="32"/>
      <c r="G100" s="32"/>
      <c r="I100" s="32"/>
      <c r="J100" s="32"/>
      <c r="K100" s="32"/>
      <c r="L100" s="18"/>
      <c r="M100" s="18"/>
      <c r="N100" s="18"/>
    </row>
    <row r="101" spans="1:14" s="31" customFormat="1" x14ac:dyDescent="0.2">
      <c r="A101" s="3348"/>
      <c r="B101" s="3348"/>
      <c r="C101" s="3349"/>
      <c r="E101" s="32"/>
      <c r="G101" s="32"/>
      <c r="I101" s="32"/>
      <c r="J101" s="32"/>
      <c r="K101" s="32"/>
      <c r="L101" s="18"/>
      <c r="M101" s="18"/>
      <c r="N101" s="18"/>
    </row>
    <row r="102" spans="1:14" s="31" customFormat="1" x14ac:dyDescent="0.2">
      <c r="A102" s="3348"/>
      <c r="B102" s="3348"/>
      <c r="C102" s="3349"/>
      <c r="E102" s="32"/>
      <c r="G102" s="32"/>
      <c r="I102" s="32"/>
      <c r="J102" s="32"/>
      <c r="K102" s="32"/>
      <c r="L102" s="18"/>
      <c r="M102" s="18"/>
      <c r="N102" s="18"/>
    </row>
    <row r="103" spans="1:14" s="31" customFormat="1" x14ac:dyDescent="0.2">
      <c r="A103" s="3348"/>
      <c r="B103" s="3348"/>
      <c r="C103" s="3349"/>
      <c r="E103" s="32"/>
      <c r="G103" s="32"/>
      <c r="I103" s="32"/>
      <c r="J103" s="32"/>
      <c r="K103" s="32"/>
      <c r="L103" s="18"/>
      <c r="M103" s="18"/>
      <c r="N103" s="18"/>
    </row>
    <row r="104" spans="1:14" s="31" customFormat="1" x14ac:dyDescent="0.2">
      <c r="A104" s="3348"/>
      <c r="B104" s="3348"/>
      <c r="C104" s="3349"/>
      <c r="E104" s="32"/>
      <c r="G104" s="32"/>
      <c r="I104" s="32"/>
      <c r="J104" s="32"/>
      <c r="K104" s="32"/>
      <c r="L104" s="18"/>
      <c r="M104" s="18"/>
      <c r="N104" s="18"/>
    </row>
    <row r="105" spans="1:14" s="31" customFormat="1" x14ac:dyDescent="0.2">
      <c r="A105" s="3348"/>
      <c r="B105" s="3348"/>
      <c r="C105" s="3349"/>
      <c r="E105" s="32"/>
      <c r="G105" s="32"/>
      <c r="I105" s="32"/>
      <c r="J105" s="32"/>
      <c r="K105" s="32"/>
      <c r="L105" s="18"/>
      <c r="M105" s="18"/>
      <c r="N105" s="18"/>
    </row>
    <row r="106" spans="1:14" s="31" customFormat="1" x14ac:dyDescent="0.2">
      <c r="A106" s="3348"/>
      <c r="B106" s="3348"/>
      <c r="C106" s="3349"/>
      <c r="E106" s="32"/>
      <c r="G106" s="32"/>
      <c r="I106" s="32"/>
      <c r="J106" s="32"/>
      <c r="K106" s="32"/>
      <c r="L106" s="18"/>
      <c r="M106" s="18"/>
      <c r="N106" s="18"/>
    </row>
    <row r="107" spans="1:14" s="31" customFormat="1" x14ac:dyDescent="0.2">
      <c r="A107" s="3348"/>
      <c r="B107" s="3348"/>
      <c r="C107" s="3349"/>
      <c r="E107" s="32"/>
      <c r="G107" s="32"/>
      <c r="I107" s="32"/>
      <c r="J107" s="32"/>
      <c r="K107" s="32"/>
      <c r="L107" s="18"/>
      <c r="M107" s="18"/>
      <c r="N107" s="18"/>
    </row>
    <row r="108" spans="1:14" s="31" customFormat="1" x14ac:dyDescent="0.2">
      <c r="A108" s="3348"/>
      <c r="B108" s="3348"/>
      <c r="C108" s="3349"/>
      <c r="E108" s="32"/>
      <c r="G108" s="32"/>
      <c r="I108" s="32"/>
      <c r="J108" s="32"/>
      <c r="K108" s="32"/>
      <c r="L108" s="18"/>
      <c r="M108" s="18"/>
      <c r="N108" s="18"/>
    </row>
    <row r="109" spans="1:14" s="31" customFormat="1" x14ac:dyDescent="0.2">
      <c r="A109" s="3348"/>
      <c r="B109" s="3348"/>
      <c r="C109" s="3349"/>
      <c r="E109" s="32"/>
      <c r="G109" s="32"/>
      <c r="I109" s="32"/>
      <c r="J109" s="32"/>
      <c r="K109" s="32"/>
      <c r="L109" s="18"/>
      <c r="M109" s="18"/>
      <c r="N109" s="18"/>
    </row>
    <row r="110" spans="1:14" s="31" customFormat="1" x14ac:dyDescent="0.2">
      <c r="A110" s="3348"/>
      <c r="B110" s="3348"/>
      <c r="C110" s="3349"/>
      <c r="E110" s="32"/>
      <c r="G110" s="32"/>
      <c r="I110" s="32"/>
      <c r="J110" s="32"/>
      <c r="K110" s="32"/>
      <c r="L110" s="18"/>
      <c r="M110" s="18"/>
      <c r="N110" s="18"/>
    </row>
    <row r="111" spans="1:14" s="31" customFormat="1" x14ac:dyDescent="0.2">
      <c r="A111" s="3348"/>
      <c r="B111" s="3348"/>
      <c r="C111" s="3349"/>
      <c r="E111" s="32"/>
      <c r="G111" s="32"/>
      <c r="I111" s="32"/>
      <c r="J111" s="32"/>
      <c r="K111" s="32"/>
      <c r="L111" s="18"/>
      <c r="M111" s="18"/>
      <c r="N111" s="18"/>
    </row>
    <row r="112" spans="1:14" s="31" customFormat="1" x14ac:dyDescent="0.2">
      <c r="A112" s="3348"/>
      <c r="B112" s="3348"/>
      <c r="C112" s="3349"/>
      <c r="E112" s="32"/>
      <c r="G112" s="32"/>
      <c r="I112" s="32"/>
      <c r="J112" s="32"/>
      <c r="K112" s="32"/>
      <c r="L112" s="18"/>
      <c r="M112" s="18"/>
      <c r="N112" s="18"/>
    </row>
    <row r="113" spans="1:14" s="31" customFormat="1" x14ac:dyDescent="0.2">
      <c r="A113" s="3348"/>
      <c r="B113" s="3348"/>
      <c r="C113" s="3349"/>
      <c r="E113" s="32"/>
      <c r="G113" s="32"/>
      <c r="I113" s="32"/>
      <c r="J113" s="32"/>
      <c r="K113" s="32"/>
      <c r="L113" s="18"/>
      <c r="M113" s="18"/>
      <c r="N113" s="18"/>
    </row>
    <row r="114" spans="1:14" s="31" customFormat="1" x14ac:dyDescent="0.2">
      <c r="A114" s="3348"/>
      <c r="B114" s="3348"/>
      <c r="C114" s="3349"/>
      <c r="E114" s="32"/>
      <c r="G114" s="32"/>
      <c r="I114" s="32"/>
      <c r="J114" s="32"/>
      <c r="K114" s="32"/>
      <c r="L114" s="18"/>
      <c r="M114" s="18"/>
      <c r="N114" s="18"/>
    </row>
    <row r="115" spans="1:14" s="31" customFormat="1" x14ac:dyDescent="0.2">
      <c r="A115" s="3348"/>
      <c r="B115" s="3348"/>
      <c r="C115" s="3349"/>
      <c r="E115" s="32"/>
      <c r="G115" s="32"/>
      <c r="I115" s="32"/>
      <c r="J115" s="32"/>
      <c r="K115" s="32"/>
      <c r="L115" s="18"/>
      <c r="M115" s="18"/>
      <c r="N115" s="18"/>
    </row>
    <row r="116" spans="1:14" s="31" customFormat="1" x14ac:dyDescent="0.2">
      <c r="A116" s="3348"/>
      <c r="B116" s="3348"/>
      <c r="C116" s="3349"/>
      <c r="E116" s="32"/>
      <c r="G116" s="32"/>
      <c r="I116" s="32"/>
      <c r="J116" s="32"/>
      <c r="K116" s="32"/>
      <c r="L116" s="18"/>
      <c r="M116" s="18"/>
      <c r="N116" s="18"/>
    </row>
    <row r="117" spans="1:14" s="31" customFormat="1" x14ac:dyDescent="0.2">
      <c r="A117" s="3348"/>
      <c r="B117" s="3348"/>
      <c r="C117" s="3349"/>
      <c r="E117" s="32"/>
      <c r="G117" s="32"/>
      <c r="I117" s="32"/>
      <c r="J117" s="32"/>
      <c r="K117" s="32"/>
      <c r="L117" s="18"/>
      <c r="M117" s="18"/>
      <c r="N117" s="18"/>
    </row>
    <row r="118" spans="1:14" s="31" customFormat="1" x14ac:dyDescent="0.2">
      <c r="A118" s="3348"/>
      <c r="B118" s="3348"/>
      <c r="C118" s="3349"/>
      <c r="E118" s="32"/>
      <c r="G118" s="32"/>
      <c r="I118" s="32"/>
      <c r="J118" s="32"/>
      <c r="K118" s="32"/>
      <c r="L118" s="18"/>
      <c r="M118" s="18"/>
      <c r="N118" s="18"/>
    </row>
    <row r="119" spans="1:14" s="31" customFormat="1" x14ac:dyDescent="0.2">
      <c r="A119" s="3348"/>
      <c r="B119" s="3348"/>
      <c r="C119" s="3349"/>
      <c r="E119" s="32"/>
      <c r="G119" s="32"/>
      <c r="I119" s="32"/>
      <c r="J119" s="32"/>
      <c r="K119" s="32"/>
      <c r="L119" s="18"/>
      <c r="M119" s="18"/>
      <c r="N119" s="18"/>
    </row>
    <row r="120" spans="1:14" s="31" customFormat="1" x14ac:dyDescent="0.2">
      <c r="A120" s="3348"/>
      <c r="B120" s="3348"/>
      <c r="C120" s="3349"/>
      <c r="E120" s="32"/>
      <c r="G120" s="32"/>
      <c r="I120" s="32"/>
      <c r="J120" s="32"/>
      <c r="K120" s="32"/>
      <c r="L120" s="18"/>
      <c r="M120" s="18"/>
      <c r="N120" s="18"/>
    </row>
    <row r="121" spans="1:14" s="31" customFormat="1" x14ac:dyDescent="0.2">
      <c r="A121" s="3348"/>
      <c r="B121" s="3348"/>
      <c r="C121" s="3349"/>
      <c r="E121" s="32"/>
      <c r="G121" s="32"/>
      <c r="I121" s="32"/>
      <c r="J121" s="32"/>
      <c r="K121" s="32"/>
      <c r="L121" s="18"/>
      <c r="M121" s="18"/>
      <c r="N121" s="18"/>
    </row>
    <row r="122" spans="1:14" s="31" customFormat="1" x14ac:dyDescent="0.2">
      <c r="A122" s="3348"/>
      <c r="B122" s="3348"/>
      <c r="C122" s="3349"/>
      <c r="E122" s="32"/>
      <c r="G122" s="32"/>
      <c r="I122" s="32"/>
      <c r="J122" s="32"/>
      <c r="K122" s="32"/>
      <c r="L122" s="18"/>
      <c r="M122" s="18"/>
      <c r="N122" s="18"/>
    </row>
    <row r="123" spans="1:14" s="31" customFormat="1" x14ac:dyDescent="0.2">
      <c r="A123" s="3348"/>
      <c r="B123" s="3348"/>
      <c r="C123" s="3349"/>
      <c r="E123" s="32"/>
      <c r="G123" s="32"/>
      <c r="I123" s="32"/>
      <c r="J123" s="32"/>
      <c r="K123" s="32"/>
      <c r="L123" s="18"/>
      <c r="M123" s="18"/>
      <c r="N123" s="18"/>
    </row>
    <row r="124" spans="1:14" s="31" customFormat="1" x14ac:dyDescent="0.2">
      <c r="A124" s="3348"/>
      <c r="B124" s="3348"/>
      <c r="C124" s="3349"/>
      <c r="E124" s="32"/>
      <c r="G124" s="32"/>
      <c r="I124" s="32"/>
      <c r="J124" s="32"/>
      <c r="K124" s="32"/>
      <c r="L124" s="18"/>
      <c r="M124" s="18"/>
      <c r="N124" s="18"/>
    </row>
    <row r="125" spans="1:14" s="31" customFormat="1" x14ac:dyDescent="0.2">
      <c r="A125" s="3348"/>
      <c r="B125" s="3348"/>
      <c r="C125" s="3349"/>
      <c r="E125" s="32"/>
      <c r="G125" s="32"/>
      <c r="I125" s="32"/>
      <c r="J125" s="32"/>
      <c r="K125" s="32"/>
      <c r="L125" s="18"/>
      <c r="M125" s="18"/>
      <c r="N125" s="18"/>
    </row>
    <row r="126" spans="1:14" s="31" customFormat="1" x14ac:dyDescent="0.2">
      <c r="A126" s="3348"/>
      <c r="B126" s="3348"/>
      <c r="C126" s="3349"/>
      <c r="E126" s="32"/>
      <c r="G126" s="32"/>
      <c r="I126" s="32"/>
      <c r="J126" s="32"/>
      <c r="K126" s="32"/>
      <c r="L126" s="18"/>
      <c r="M126" s="18"/>
      <c r="N126" s="18"/>
    </row>
    <row r="127" spans="1:14" s="31" customFormat="1" x14ac:dyDescent="0.2">
      <c r="A127" s="3348"/>
      <c r="B127" s="3348"/>
      <c r="C127" s="3349"/>
      <c r="E127" s="32"/>
      <c r="G127" s="32"/>
      <c r="I127" s="32"/>
      <c r="J127" s="32"/>
      <c r="K127" s="32"/>
      <c r="L127" s="18"/>
      <c r="M127" s="18"/>
      <c r="N127" s="18"/>
    </row>
    <row r="128" spans="1:14" s="31" customFormat="1" x14ac:dyDescent="0.2">
      <c r="A128" s="3348"/>
      <c r="B128" s="3348"/>
      <c r="C128" s="3349"/>
      <c r="E128" s="32"/>
      <c r="G128" s="32"/>
      <c r="I128" s="32"/>
      <c r="J128" s="32"/>
      <c r="K128" s="32"/>
      <c r="L128" s="18"/>
      <c r="M128" s="18"/>
      <c r="N128" s="18"/>
    </row>
    <row r="129" spans="1:14" s="31" customFormat="1" x14ac:dyDescent="0.2">
      <c r="A129" s="3348"/>
      <c r="B129" s="3348"/>
      <c r="C129" s="3349"/>
      <c r="E129" s="32"/>
      <c r="G129" s="32"/>
      <c r="I129" s="32"/>
      <c r="J129" s="32"/>
      <c r="K129" s="32"/>
      <c r="L129" s="18"/>
      <c r="M129" s="18"/>
      <c r="N129" s="18"/>
    </row>
    <row r="130" spans="1:14" s="31" customFormat="1" x14ac:dyDescent="0.2">
      <c r="A130" s="3348"/>
      <c r="B130" s="3348"/>
      <c r="C130" s="3349"/>
      <c r="E130" s="32"/>
      <c r="G130" s="32"/>
      <c r="I130" s="32"/>
      <c r="J130" s="32"/>
      <c r="K130" s="32"/>
      <c r="L130" s="18"/>
      <c r="M130" s="18"/>
      <c r="N130" s="18"/>
    </row>
    <row r="131" spans="1:14" s="31" customFormat="1" x14ac:dyDescent="0.2">
      <c r="A131" s="3348"/>
      <c r="B131" s="3348"/>
      <c r="C131" s="3349"/>
      <c r="E131" s="32"/>
      <c r="G131" s="32"/>
      <c r="I131" s="32"/>
      <c r="J131" s="32"/>
      <c r="K131" s="32"/>
      <c r="L131" s="18"/>
      <c r="M131" s="18"/>
      <c r="N131" s="18"/>
    </row>
    <row r="132" spans="1:14" s="31" customFormat="1" x14ac:dyDescent="0.2">
      <c r="A132" s="3348"/>
      <c r="B132" s="3348"/>
      <c r="C132" s="3349"/>
      <c r="E132" s="32"/>
      <c r="G132" s="32"/>
      <c r="I132" s="32"/>
      <c r="J132" s="32"/>
      <c r="K132" s="32"/>
      <c r="L132" s="18"/>
      <c r="M132" s="18"/>
      <c r="N132" s="18"/>
    </row>
    <row r="133" spans="1:14" s="31" customFormat="1" x14ac:dyDescent="0.2">
      <c r="A133" s="3348"/>
      <c r="B133" s="3348"/>
      <c r="C133" s="3349"/>
      <c r="E133" s="32"/>
      <c r="G133" s="32"/>
      <c r="I133" s="32"/>
      <c r="J133" s="32"/>
      <c r="K133" s="32"/>
      <c r="L133" s="18"/>
      <c r="M133" s="18"/>
      <c r="N133" s="18"/>
    </row>
    <row r="134" spans="1:14" s="31" customFormat="1" x14ac:dyDescent="0.2">
      <c r="A134" s="3348"/>
      <c r="B134" s="3348"/>
      <c r="C134" s="3349"/>
      <c r="E134" s="32"/>
      <c r="G134" s="32"/>
      <c r="I134" s="32"/>
      <c r="J134" s="32"/>
      <c r="K134" s="32"/>
      <c r="L134" s="18"/>
      <c r="M134" s="18"/>
      <c r="N134" s="18"/>
    </row>
    <row r="135" spans="1:14" s="31" customFormat="1" x14ac:dyDescent="0.2">
      <c r="A135" s="3348"/>
      <c r="B135" s="3348"/>
      <c r="C135" s="3349"/>
      <c r="E135" s="32"/>
      <c r="G135" s="32"/>
      <c r="I135" s="32"/>
      <c r="J135" s="32"/>
      <c r="K135" s="32"/>
      <c r="L135" s="18"/>
      <c r="M135" s="18"/>
      <c r="N135" s="18"/>
    </row>
    <row r="136" spans="1:14" s="31" customFormat="1" x14ac:dyDescent="0.2">
      <c r="A136" s="3348"/>
      <c r="B136" s="3348"/>
      <c r="C136" s="3349"/>
      <c r="E136" s="32"/>
      <c r="G136" s="32"/>
      <c r="I136" s="32"/>
      <c r="J136" s="32"/>
      <c r="K136" s="32"/>
      <c r="L136" s="18"/>
      <c r="M136" s="18"/>
      <c r="N136" s="18"/>
    </row>
    <row r="137" spans="1:14" s="31" customFormat="1" x14ac:dyDescent="0.2">
      <c r="A137" s="3348"/>
      <c r="B137" s="3348"/>
      <c r="C137" s="3349"/>
      <c r="E137" s="32"/>
      <c r="G137" s="32"/>
      <c r="I137" s="32"/>
      <c r="J137" s="32"/>
      <c r="K137" s="32"/>
      <c r="L137" s="18"/>
      <c r="M137" s="18"/>
      <c r="N137" s="18"/>
    </row>
    <row r="138" spans="1:14" s="31" customFormat="1" x14ac:dyDescent="0.2">
      <c r="A138" s="3348"/>
      <c r="B138" s="3348"/>
      <c r="C138" s="3349"/>
      <c r="E138" s="32"/>
      <c r="G138" s="32"/>
      <c r="I138" s="32"/>
      <c r="J138" s="32"/>
      <c r="K138" s="32"/>
      <c r="L138" s="18"/>
      <c r="M138" s="18"/>
      <c r="N138" s="18"/>
    </row>
    <row r="139" spans="1:14" s="31" customFormat="1" x14ac:dyDescent="0.2">
      <c r="A139" s="3348"/>
      <c r="B139" s="3348"/>
      <c r="C139" s="3349"/>
      <c r="E139" s="32"/>
      <c r="G139" s="32"/>
      <c r="I139" s="32"/>
      <c r="J139" s="32"/>
      <c r="K139" s="32"/>
      <c r="L139" s="18"/>
      <c r="M139" s="18"/>
      <c r="N139" s="18"/>
    </row>
    <row r="140" spans="1:14" s="31" customFormat="1" x14ac:dyDescent="0.2">
      <c r="A140" s="3348"/>
      <c r="B140" s="3348"/>
      <c r="C140" s="3349"/>
      <c r="E140" s="32"/>
      <c r="G140" s="32"/>
      <c r="I140" s="32"/>
      <c r="J140" s="32"/>
      <c r="K140" s="32"/>
      <c r="L140" s="18"/>
      <c r="M140" s="18"/>
      <c r="N140" s="18"/>
    </row>
    <row r="141" spans="1:14" s="31" customFormat="1" x14ac:dyDescent="0.2">
      <c r="A141" s="3348"/>
      <c r="B141" s="3348"/>
      <c r="C141" s="3349"/>
      <c r="E141" s="32"/>
      <c r="G141" s="32"/>
      <c r="I141" s="32"/>
      <c r="J141" s="32"/>
      <c r="K141" s="32"/>
      <c r="L141" s="18"/>
      <c r="M141" s="18"/>
      <c r="N141" s="18"/>
    </row>
    <row r="142" spans="1:14" s="31" customFormat="1" x14ac:dyDescent="0.2">
      <c r="A142" s="3348"/>
      <c r="B142" s="3348"/>
      <c r="C142" s="3349"/>
      <c r="E142" s="32"/>
      <c r="G142" s="32"/>
      <c r="I142" s="32"/>
      <c r="J142" s="32"/>
      <c r="K142" s="32"/>
      <c r="L142" s="18"/>
      <c r="M142" s="18"/>
      <c r="N142" s="18"/>
    </row>
    <row r="143" spans="1:14" s="31" customFormat="1" x14ac:dyDescent="0.2">
      <c r="A143" s="3348"/>
      <c r="B143" s="3348"/>
      <c r="C143" s="3349"/>
      <c r="E143" s="32"/>
      <c r="G143" s="32"/>
      <c r="I143" s="32"/>
      <c r="J143" s="32"/>
      <c r="K143" s="32"/>
      <c r="L143" s="18"/>
      <c r="M143" s="18"/>
      <c r="N143" s="18"/>
    </row>
    <row r="144" spans="1:14" s="31" customFormat="1" x14ac:dyDescent="0.2">
      <c r="A144" s="3348"/>
      <c r="B144" s="3348"/>
      <c r="C144" s="3349"/>
      <c r="E144" s="32"/>
      <c r="G144" s="32"/>
      <c r="I144" s="32"/>
      <c r="J144" s="32"/>
      <c r="K144" s="32"/>
      <c r="L144" s="18"/>
      <c r="M144" s="18"/>
      <c r="N144" s="18"/>
    </row>
    <row r="145" spans="1:14" s="31" customFormat="1" x14ac:dyDescent="0.2">
      <c r="A145" s="3348"/>
      <c r="B145" s="3348"/>
      <c r="C145" s="3349"/>
      <c r="E145" s="32"/>
      <c r="G145" s="32"/>
      <c r="I145" s="32"/>
      <c r="J145" s="32"/>
      <c r="K145" s="32"/>
      <c r="L145" s="18"/>
      <c r="M145" s="18"/>
      <c r="N145" s="18"/>
    </row>
    <row r="146" spans="1:14" s="31" customFormat="1" x14ac:dyDescent="0.2">
      <c r="A146" s="3348"/>
      <c r="B146" s="3348"/>
      <c r="C146" s="3349"/>
      <c r="E146" s="32"/>
      <c r="G146" s="32"/>
      <c r="I146" s="32"/>
      <c r="J146" s="32"/>
      <c r="K146" s="32"/>
      <c r="L146" s="18"/>
      <c r="M146" s="18"/>
      <c r="N146" s="18"/>
    </row>
    <row r="147" spans="1:14" s="31" customFormat="1" x14ac:dyDescent="0.2">
      <c r="A147" s="3348"/>
      <c r="B147" s="3348"/>
      <c r="C147" s="3349"/>
      <c r="E147" s="32"/>
      <c r="G147" s="32"/>
      <c r="I147" s="32"/>
      <c r="J147" s="32"/>
      <c r="K147" s="32"/>
      <c r="L147" s="18"/>
      <c r="M147" s="18"/>
      <c r="N147" s="18"/>
    </row>
    <row r="148" spans="1:14" s="31" customFormat="1" x14ac:dyDescent="0.2">
      <c r="A148" s="3348"/>
      <c r="B148" s="3348"/>
      <c r="C148" s="3349"/>
      <c r="E148" s="32"/>
      <c r="G148" s="32"/>
      <c r="I148" s="32"/>
      <c r="J148" s="32"/>
      <c r="K148" s="32"/>
      <c r="L148" s="18"/>
      <c r="M148" s="18"/>
      <c r="N148" s="18"/>
    </row>
    <row r="149" spans="1:14" s="31" customFormat="1" x14ac:dyDescent="0.2">
      <c r="A149" s="3348"/>
      <c r="B149" s="3348"/>
      <c r="C149" s="3349"/>
      <c r="E149" s="32"/>
      <c r="G149" s="32"/>
      <c r="I149" s="32"/>
      <c r="J149" s="32"/>
      <c r="K149" s="32"/>
      <c r="L149" s="18"/>
      <c r="M149" s="18"/>
      <c r="N149" s="18"/>
    </row>
    <row r="150" spans="1:14" s="31" customFormat="1" x14ac:dyDescent="0.2">
      <c r="A150" s="3348"/>
      <c r="B150" s="3348"/>
      <c r="C150" s="3349"/>
      <c r="E150" s="32"/>
      <c r="G150" s="32"/>
      <c r="I150" s="32"/>
      <c r="J150" s="32"/>
      <c r="K150" s="32"/>
      <c r="L150" s="18"/>
      <c r="M150" s="18"/>
      <c r="N150" s="18"/>
    </row>
    <row r="151" spans="1:14" s="31" customFormat="1" x14ac:dyDescent="0.2">
      <c r="A151" s="3348"/>
      <c r="B151" s="3348"/>
      <c r="C151" s="3349"/>
      <c r="E151" s="32"/>
      <c r="G151" s="32"/>
      <c r="I151" s="32"/>
      <c r="J151" s="32"/>
      <c r="K151" s="32"/>
      <c r="L151" s="18"/>
      <c r="M151" s="18"/>
      <c r="N151" s="18"/>
    </row>
    <row r="152" spans="1:14" s="31" customFormat="1" x14ac:dyDescent="0.2">
      <c r="A152" s="3348"/>
      <c r="B152" s="3348"/>
      <c r="C152" s="3349"/>
      <c r="E152" s="32"/>
      <c r="G152" s="32"/>
      <c r="I152" s="32"/>
      <c r="J152" s="32"/>
      <c r="K152" s="32"/>
      <c r="L152" s="18"/>
      <c r="M152" s="18"/>
      <c r="N152" s="18"/>
    </row>
    <row r="153" spans="1:14" s="31" customFormat="1" x14ac:dyDescent="0.2">
      <c r="A153" s="3348"/>
      <c r="B153" s="3348"/>
      <c r="C153" s="3349"/>
      <c r="E153" s="32"/>
      <c r="G153" s="32"/>
      <c r="I153" s="32"/>
      <c r="J153" s="32"/>
      <c r="K153" s="32"/>
      <c r="L153" s="18"/>
      <c r="M153" s="18"/>
      <c r="N153" s="18"/>
    </row>
    <row r="154" spans="1:14" s="31" customFormat="1" x14ac:dyDescent="0.2">
      <c r="A154" s="3348"/>
      <c r="B154" s="3348"/>
      <c r="C154" s="3349"/>
      <c r="E154" s="32"/>
      <c r="G154" s="32"/>
      <c r="I154" s="32"/>
      <c r="J154" s="32"/>
      <c r="K154" s="32"/>
      <c r="L154" s="18"/>
      <c r="M154" s="18"/>
      <c r="N154" s="18"/>
    </row>
    <row r="155" spans="1:14" s="31" customFormat="1" x14ac:dyDescent="0.2">
      <c r="A155" s="3348"/>
      <c r="B155" s="3348"/>
      <c r="C155" s="3349"/>
      <c r="E155" s="32"/>
      <c r="G155" s="32"/>
      <c r="I155" s="32"/>
      <c r="J155" s="32"/>
      <c r="K155" s="32"/>
      <c r="L155" s="18"/>
      <c r="M155" s="18"/>
      <c r="N155" s="18"/>
    </row>
    <row r="156" spans="1:14" s="31" customFormat="1" x14ac:dyDescent="0.2">
      <c r="A156" s="3348"/>
      <c r="B156" s="3348"/>
      <c r="C156" s="3349"/>
      <c r="E156" s="32"/>
      <c r="G156" s="32"/>
      <c r="I156" s="32"/>
      <c r="J156" s="32"/>
      <c r="K156" s="32"/>
      <c r="L156" s="18"/>
      <c r="M156" s="18"/>
      <c r="N156" s="18"/>
    </row>
    <row r="157" spans="1:14" s="31" customFormat="1" x14ac:dyDescent="0.2">
      <c r="A157" s="3348"/>
      <c r="B157" s="3348"/>
      <c r="C157" s="3349"/>
      <c r="E157" s="32"/>
      <c r="G157" s="32"/>
      <c r="I157" s="32"/>
      <c r="J157" s="32"/>
      <c r="K157" s="32"/>
      <c r="L157" s="18"/>
      <c r="M157" s="18"/>
      <c r="N157" s="18"/>
    </row>
    <row r="158" spans="1:14" s="31" customFormat="1" x14ac:dyDescent="0.2">
      <c r="A158" s="3348"/>
      <c r="B158" s="3348"/>
      <c r="C158" s="3349"/>
      <c r="E158" s="32"/>
      <c r="G158" s="32"/>
      <c r="I158" s="32"/>
      <c r="J158" s="32"/>
      <c r="K158" s="32"/>
      <c r="L158" s="18"/>
      <c r="M158" s="18"/>
      <c r="N158" s="18"/>
    </row>
    <row r="159" spans="1:14" s="31" customFormat="1" x14ac:dyDescent="0.2">
      <c r="A159" s="3348"/>
      <c r="B159" s="3348"/>
      <c r="C159" s="3349"/>
      <c r="E159" s="32"/>
      <c r="G159" s="32"/>
      <c r="I159" s="32"/>
      <c r="J159" s="32"/>
      <c r="K159" s="32"/>
      <c r="L159" s="18"/>
      <c r="M159" s="18"/>
      <c r="N159" s="18"/>
    </row>
    <row r="160" spans="1:14" s="31" customFormat="1" x14ac:dyDescent="0.2">
      <c r="A160" s="3348"/>
      <c r="B160" s="3348"/>
      <c r="C160" s="3349"/>
      <c r="E160" s="32"/>
      <c r="G160" s="32"/>
      <c r="I160" s="32"/>
      <c r="J160" s="32"/>
      <c r="K160" s="32"/>
      <c r="L160" s="18"/>
      <c r="M160" s="18"/>
      <c r="N160" s="18"/>
    </row>
    <row r="161" spans="1:14" s="31" customFormat="1" x14ac:dyDescent="0.2">
      <c r="A161" s="3348"/>
      <c r="B161" s="3348"/>
      <c r="C161" s="3349"/>
      <c r="E161" s="32"/>
      <c r="G161" s="32"/>
      <c r="I161" s="32"/>
      <c r="J161" s="32"/>
      <c r="K161" s="32"/>
      <c r="L161" s="18"/>
      <c r="M161" s="18"/>
      <c r="N161" s="18"/>
    </row>
    <row r="162" spans="1:14" s="31" customFormat="1" x14ac:dyDescent="0.2">
      <c r="A162" s="3348"/>
      <c r="B162" s="3348"/>
      <c r="C162" s="3349"/>
      <c r="E162" s="32"/>
      <c r="G162" s="32"/>
      <c r="I162" s="32"/>
      <c r="J162" s="32"/>
      <c r="K162" s="32"/>
      <c r="L162" s="18"/>
      <c r="M162" s="18"/>
      <c r="N162" s="18"/>
    </row>
    <row r="163" spans="1:14" s="31" customFormat="1" x14ac:dyDescent="0.2">
      <c r="A163" s="3348"/>
      <c r="B163" s="3348"/>
      <c r="C163" s="3349"/>
      <c r="E163" s="32"/>
      <c r="G163" s="32"/>
      <c r="I163" s="32"/>
      <c r="J163" s="32"/>
      <c r="K163" s="32"/>
      <c r="L163" s="18"/>
      <c r="M163" s="18"/>
      <c r="N163" s="18"/>
    </row>
    <row r="164" spans="1:14" s="31" customFormat="1" x14ac:dyDescent="0.2">
      <c r="A164" s="3348"/>
      <c r="B164" s="3348"/>
      <c r="C164" s="3349"/>
      <c r="E164" s="32"/>
      <c r="G164" s="32"/>
      <c r="I164" s="32"/>
      <c r="J164" s="32"/>
      <c r="K164" s="32"/>
      <c r="L164" s="18"/>
      <c r="M164" s="18"/>
      <c r="N164" s="18"/>
    </row>
    <row r="165" spans="1:14" s="31" customFormat="1" x14ac:dyDescent="0.2">
      <c r="A165" s="3348"/>
      <c r="B165" s="3348"/>
      <c r="C165" s="3349"/>
      <c r="E165" s="32"/>
      <c r="G165" s="32"/>
      <c r="I165" s="32"/>
      <c r="J165" s="32"/>
      <c r="K165" s="32"/>
      <c r="L165" s="18"/>
      <c r="M165" s="18"/>
      <c r="N165" s="18"/>
    </row>
    <row r="166" spans="1:14" s="31" customFormat="1" x14ac:dyDescent="0.2">
      <c r="A166" s="3348"/>
      <c r="B166" s="3348"/>
      <c r="C166" s="3349"/>
      <c r="E166" s="32"/>
      <c r="G166" s="32"/>
      <c r="I166" s="32"/>
      <c r="J166" s="32"/>
      <c r="K166" s="32"/>
      <c r="L166" s="18"/>
      <c r="M166" s="18"/>
      <c r="N166" s="18"/>
    </row>
    <row r="167" spans="1:14" s="31" customFormat="1" x14ac:dyDescent="0.2">
      <c r="A167" s="3348"/>
      <c r="B167" s="3348"/>
      <c r="C167" s="3349"/>
      <c r="E167" s="32"/>
      <c r="G167" s="32"/>
      <c r="I167" s="32"/>
      <c r="J167" s="32"/>
      <c r="K167" s="32"/>
      <c r="L167" s="18"/>
      <c r="M167" s="18"/>
      <c r="N167" s="18"/>
    </row>
    <row r="168" spans="1:14" s="31" customFormat="1" x14ac:dyDescent="0.2">
      <c r="A168" s="3348"/>
      <c r="B168" s="3348"/>
      <c r="C168" s="3349"/>
      <c r="E168" s="32"/>
      <c r="G168" s="32"/>
      <c r="I168" s="32"/>
      <c r="J168" s="32"/>
      <c r="K168" s="32"/>
      <c r="L168" s="18"/>
      <c r="M168" s="18"/>
      <c r="N168" s="18"/>
    </row>
    <row r="169" spans="1:14" s="31" customFormat="1" x14ac:dyDescent="0.2">
      <c r="A169" s="3348"/>
      <c r="B169" s="3348"/>
      <c r="C169" s="3349"/>
      <c r="E169" s="32"/>
      <c r="G169" s="32"/>
      <c r="I169" s="32"/>
      <c r="J169" s="32"/>
      <c r="K169" s="32"/>
      <c r="L169" s="18"/>
      <c r="M169" s="18"/>
      <c r="N169" s="18"/>
    </row>
    <row r="170" spans="1:14" s="31" customFormat="1" x14ac:dyDescent="0.2">
      <c r="A170" s="3348"/>
      <c r="B170" s="3348"/>
      <c r="C170" s="3349"/>
      <c r="E170" s="32"/>
      <c r="G170" s="32"/>
      <c r="I170" s="32"/>
      <c r="J170" s="32"/>
      <c r="K170" s="32"/>
      <c r="L170" s="18"/>
      <c r="M170" s="18"/>
      <c r="N170" s="18"/>
    </row>
    <row r="171" spans="1:14" s="31" customFormat="1" x14ac:dyDescent="0.2">
      <c r="A171" s="3348"/>
      <c r="B171" s="3348"/>
      <c r="C171" s="3349"/>
      <c r="E171" s="32"/>
      <c r="G171" s="32"/>
      <c r="I171" s="32"/>
      <c r="J171" s="32"/>
      <c r="K171" s="32"/>
      <c r="L171" s="18"/>
      <c r="M171" s="18"/>
      <c r="N171" s="18"/>
    </row>
    <row r="172" spans="1:14" s="31" customFormat="1" x14ac:dyDescent="0.2">
      <c r="A172" s="3348"/>
      <c r="B172" s="3348"/>
      <c r="C172" s="3349"/>
      <c r="E172" s="32"/>
      <c r="G172" s="32"/>
      <c r="I172" s="32"/>
      <c r="J172" s="32"/>
      <c r="K172" s="32"/>
      <c r="L172" s="18"/>
      <c r="M172" s="18"/>
      <c r="N172" s="18"/>
    </row>
    <row r="173" spans="1:14" s="31" customFormat="1" x14ac:dyDescent="0.2">
      <c r="A173" s="3348"/>
      <c r="B173" s="3348"/>
      <c r="C173" s="3349"/>
      <c r="E173" s="32"/>
      <c r="G173" s="32"/>
      <c r="I173" s="32"/>
      <c r="J173" s="32"/>
      <c r="K173" s="32"/>
      <c r="L173" s="18"/>
      <c r="M173" s="18"/>
      <c r="N173" s="18"/>
    </row>
    <row r="174" spans="1:14" s="31" customFormat="1" x14ac:dyDescent="0.2">
      <c r="A174" s="3348"/>
      <c r="B174" s="3348"/>
      <c r="C174" s="3349"/>
      <c r="E174" s="32"/>
      <c r="G174" s="32"/>
      <c r="I174" s="32"/>
      <c r="J174" s="32"/>
      <c r="K174" s="32"/>
      <c r="L174" s="18"/>
      <c r="M174" s="18"/>
      <c r="N174" s="18"/>
    </row>
    <row r="175" spans="1:14" s="31" customFormat="1" x14ac:dyDescent="0.2">
      <c r="A175" s="3348"/>
      <c r="B175" s="3348"/>
      <c r="C175" s="3349"/>
      <c r="E175" s="32"/>
      <c r="G175" s="32"/>
      <c r="I175" s="32"/>
      <c r="J175" s="32"/>
      <c r="K175" s="32"/>
      <c r="L175" s="18"/>
      <c r="M175" s="18"/>
      <c r="N175" s="18"/>
    </row>
    <row r="176" spans="1:14" s="31" customFormat="1" x14ac:dyDescent="0.2">
      <c r="A176" s="3348"/>
      <c r="B176" s="3348"/>
      <c r="C176" s="3349"/>
      <c r="E176" s="32"/>
      <c r="G176" s="32"/>
      <c r="I176" s="32"/>
      <c r="J176" s="32"/>
      <c r="K176" s="32"/>
      <c r="L176" s="18"/>
      <c r="M176" s="18"/>
      <c r="N176" s="18"/>
    </row>
    <row r="177" spans="1:14" s="31" customFormat="1" x14ac:dyDescent="0.2">
      <c r="A177" s="3348"/>
      <c r="B177" s="3348"/>
      <c r="C177" s="3349"/>
      <c r="E177" s="32"/>
      <c r="G177" s="32"/>
      <c r="I177" s="32"/>
      <c r="J177" s="32"/>
      <c r="K177" s="32"/>
      <c r="L177" s="18"/>
      <c r="M177" s="18"/>
      <c r="N177" s="18"/>
    </row>
    <row r="178" spans="1:14" s="31" customFormat="1" x14ac:dyDescent="0.2">
      <c r="A178" s="3348"/>
      <c r="B178" s="3348"/>
      <c r="C178" s="3349"/>
      <c r="E178" s="32"/>
      <c r="G178" s="32"/>
      <c r="I178" s="32"/>
      <c r="J178" s="32"/>
      <c r="K178" s="32"/>
      <c r="L178" s="18"/>
      <c r="M178" s="18"/>
      <c r="N178" s="18"/>
    </row>
    <row r="179" spans="1:14" s="31" customFormat="1" x14ac:dyDescent="0.2">
      <c r="A179" s="3348"/>
      <c r="B179" s="3348"/>
      <c r="C179" s="3349"/>
      <c r="E179" s="32"/>
      <c r="G179" s="32"/>
      <c r="I179" s="32"/>
      <c r="J179" s="32"/>
      <c r="K179" s="32"/>
      <c r="L179" s="18"/>
      <c r="M179" s="18"/>
      <c r="N179" s="18"/>
    </row>
    <row r="180" spans="1:14" s="31" customFormat="1" x14ac:dyDescent="0.2">
      <c r="A180" s="3348"/>
      <c r="B180" s="3348"/>
      <c r="C180" s="3349"/>
      <c r="E180" s="32"/>
      <c r="G180" s="32"/>
      <c r="I180" s="32"/>
      <c r="J180" s="32"/>
      <c r="K180" s="32"/>
      <c r="L180" s="18"/>
      <c r="M180" s="18"/>
      <c r="N180" s="18"/>
    </row>
    <row r="181" spans="1:14" s="31" customFormat="1" x14ac:dyDescent="0.2">
      <c r="A181" s="3348"/>
      <c r="B181" s="3348"/>
      <c r="C181" s="3349"/>
      <c r="E181" s="32"/>
      <c r="G181" s="32"/>
      <c r="I181" s="32"/>
      <c r="J181" s="32"/>
      <c r="K181" s="32"/>
      <c r="L181" s="18"/>
      <c r="M181" s="18"/>
      <c r="N181" s="18"/>
    </row>
    <row r="182" spans="1:14" s="31" customFormat="1" x14ac:dyDescent="0.2">
      <c r="A182" s="3348"/>
      <c r="B182" s="3348"/>
      <c r="C182" s="3349"/>
      <c r="E182" s="32"/>
      <c r="G182" s="32"/>
      <c r="I182" s="32"/>
      <c r="J182" s="32"/>
      <c r="K182" s="32"/>
      <c r="L182" s="18"/>
      <c r="M182" s="18"/>
      <c r="N182" s="18"/>
    </row>
    <row r="183" spans="1:14" s="31" customFormat="1" x14ac:dyDescent="0.2">
      <c r="A183" s="3348"/>
      <c r="B183" s="3348"/>
      <c r="C183" s="3349"/>
      <c r="E183" s="32"/>
      <c r="G183" s="32"/>
      <c r="I183" s="32"/>
      <c r="J183" s="32"/>
      <c r="K183" s="32"/>
      <c r="L183" s="18"/>
      <c r="M183" s="18"/>
      <c r="N183" s="18"/>
    </row>
    <row r="184" spans="1:14" s="31" customFormat="1" x14ac:dyDescent="0.2">
      <c r="A184" s="3348"/>
      <c r="B184" s="3348"/>
      <c r="C184" s="3349"/>
      <c r="E184" s="32"/>
      <c r="G184" s="32"/>
      <c r="I184" s="32"/>
      <c r="J184" s="32"/>
      <c r="K184" s="32"/>
      <c r="L184" s="18"/>
      <c r="M184" s="18"/>
      <c r="N184" s="18"/>
    </row>
    <row r="185" spans="1:14" s="31" customFormat="1" x14ac:dyDescent="0.2">
      <c r="A185" s="3348"/>
      <c r="B185" s="3348"/>
      <c r="C185" s="3349"/>
      <c r="E185" s="32"/>
      <c r="G185" s="32"/>
      <c r="I185" s="32"/>
      <c r="J185" s="32"/>
      <c r="K185" s="32"/>
      <c r="L185" s="18"/>
      <c r="M185" s="18"/>
      <c r="N185" s="18"/>
    </row>
    <row r="186" spans="1:14" s="31" customFormat="1" x14ac:dyDescent="0.2">
      <c r="A186" s="3348"/>
      <c r="B186" s="3348"/>
      <c r="C186" s="3349"/>
      <c r="E186" s="32"/>
      <c r="G186" s="32"/>
      <c r="I186" s="32"/>
      <c r="J186" s="32"/>
      <c r="K186" s="32"/>
      <c r="L186" s="18"/>
      <c r="M186" s="18"/>
      <c r="N186" s="18"/>
    </row>
    <row r="187" spans="1:14" s="31" customFormat="1" x14ac:dyDescent="0.2">
      <c r="A187" s="3348"/>
      <c r="B187" s="3348"/>
      <c r="C187" s="3349"/>
      <c r="E187" s="32"/>
      <c r="G187" s="32"/>
      <c r="I187" s="32"/>
      <c r="J187" s="32"/>
      <c r="K187" s="32"/>
      <c r="L187" s="18"/>
      <c r="M187" s="18"/>
      <c r="N187" s="18"/>
    </row>
    <row r="188" spans="1:14" s="31" customFormat="1" x14ac:dyDescent="0.2">
      <c r="A188" s="3348"/>
      <c r="B188" s="3348"/>
      <c r="C188" s="3349"/>
      <c r="E188" s="32"/>
      <c r="G188" s="32"/>
      <c r="I188" s="32"/>
      <c r="J188" s="32"/>
      <c r="K188" s="32"/>
      <c r="L188" s="18"/>
      <c r="M188" s="18"/>
      <c r="N188" s="18"/>
    </row>
    <row r="189" spans="1:14" s="31" customFormat="1" x14ac:dyDescent="0.2">
      <c r="A189" s="3348"/>
      <c r="B189" s="3348"/>
      <c r="C189" s="3349"/>
      <c r="E189" s="32"/>
      <c r="G189" s="32"/>
      <c r="I189" s="32"/>
      <c r="J189" s="32"/>
      <c r="K189" s="32"/>
      <c r="L189" s="18"/>
      <c r="M189" s="18"/>
      <c r="N189" s="18"/>
    </row>
    <row r="190" spans="1:14" s="31" customFormat="1" x14ac:dyDescent="0.2">
      <c r="A190" s="3348"/>
      <c r="B190" s="3348"/>
      <c r="C190" s="3349"/>
      <c r="E190" s="32"/>
      <c r="G190" s="32"/>
      <c r="I190" s="32"/>
      <c r="J190" s="32"/>
      <c r="K190" s="32"/>
      <c r="L190" s="18"/>
      <c r="M190" s="18"/>
      <c r="N190" s="18"/>
    </row>
    <row r="191" spans="1:14" s="31" customFormat="1" x14ac:dyDescent="0.2">
      <c r="A191" s="3348"/>
      <c r="B191" s="3348"/>
      <c r="C191" s="3349"/>
      <c r="E191" s="32"/>
      <c r="G191" s="32"/>
      <c r="I191" s="32"/>
      <c r="J191" s="32"/>
      <c r="K191" s="32"/>
      <c r="L191" s="18"/>
      <c r="M191" s="18"/>
      <c r="N191" s="18"/>
    </row>
    <row r="192" spans="1:14" s="31" customFormat="1" x14ac:dyDescent="0.2">
      <c r="A192" s="3348"/>
      <c r="B192" s="3348"/>
      <c r="C192" s="3349"/>
      <c r="E192" s="32"/>
      <c r="G192" s="32"/>
      <c r="I192" s="32"/>
      <c r="J192" s="32"/>
      <c r="K192" s="32"/>
      <c r="L192" s="18"/>
      <c r="M192" s="18"/>
      <c r="N192" s="18"/>
    </row>
    <row r="193" spans="1:14" s="31" customFormat="1" x14ac:dyDescent="0.2">
      <c r="A193" s="3348"/>
      <c r="B193" s="3348"/>
      <c r="C193" s="3349"/>
      <c r="E193" s="32"/>
      <c r="G193" s="32"/>
      <c r="I193" s="32"/>
      <c r="J193" s="32"/>
      <c r="K193" s="32"/>
      <c r="L193" s="18"/>
      <c r="M193" s="18"/>
      <c r="N193" s="18"/>
    </row>
    <row r="194" spans="1:14" s="31" customFormat="1" x14ac:dyDescent="0.2">
      <c r="A194" s="3348"/>
      <c r="B194" s="3348"/>
      <c r="C194" s="3349"/>
      <c r="E194" s="32"/>
      <c r="G194" s="32"/>
      <c r="I194" s="32"/>
      <c r="J194" s="32"/>
      <c r="K194" s="32"/>
      <c r="L194" s="18"/>
      <c r="M194" s="18"/>
      <c r="N194" s="18"/>
    </row>
    <row r="195" spans="1:14" s="31" customFormat="1" x14ac:dyDescent="0.2">
      <c r="A195" s="3348"/>
      <c r="B195" s="3348"/>
      <c r="C195" s="3349"/>
      <c r="E195" s="32"/>
      <c r="G195" s="32"/>
      <c r="I195" s="32"/>
      <c r="J195" s="32"/>
      <c r="K195" s="32"/>
      <c r="L195" s="18"/>
      <c r="M195" s="18"/>
      <c r="N195" s="18"/>
    </row>
    <row r="196" spans="1:14" s="31" customFormat="1" x14ac:dyDescent="0.2">
      <c r="A196" s="3348"/>
      <c r="B196" s="3348"/>
      <c r="C196" s="3349"/>
      <c r="E196" s="32"/>
      <c r="G196" s="32"/>
      <c r="I196" s="32"/>
      <c r="J196" s="32"/>
      <c r="K196" s="32"/>
      <c r="L196" s="18"/>
      <c r="M196" s="18"/>
      <c r="N196" s="18"/>
    </row>
    <row r="197" spans="1:14" s="31" customFormat="1" x14ac:dyDescent="0.2">
      <c r="A197" s="3348"/>
      <c r="B197" s="3348"/>
      <c r="C197" s="3349"/>
      <c r="E197" s="32"/>
      <c r="G197" s="32"/>
      <c r="I197" s="32"/>
      <c r="J197" s="32"/>
      <c r="K197" s="32"/>
      <c r="L197" s="18"/>
      <c r="M197" s="18"/>
      <c r="N197" s="18"/>
    </row>
    <row r="198" spans="1:14" s="31" customFormat="1" x14ac:dyDescent="0.2">
      <c r="A198" s="3348"/>
      <c r="B198" s="3348"/>
      <c r="C198" s="3349"/>
      <c r="E198" s="32"/>
      <c r="G198" s="32"/>
      <c r="I198" s="32"/>
      <c r="J198" s="32"/>
      <c r="K198" s="32"/>
      <c r="L198" s="18"/>
      <c r="M198" s="18"/>
      <c r="N198" s="18"/>
    </row>
    <row r="199" spans="1:14" s="31" customFormat="1" x14ac:dyDescent="0.2">
      <c r="A199" s="3348"/>
      <c r="B199" s="3348"/>
      <c r="C199" s="3349"/>
      <c r="E199" s="32"/>
      <c r="G199" s="32"/>
      <c r="I199" s="32"/>
      <c r="J199" s="32"/>
      <c r="K199" s="32"/>
      <c r="L199" s="18"/>
      <c r="M199" s="18"/>
      <c r="N199" s="18"/>
    </row>
    <row r="200" spans="1:14" s="31" customFormat="1" x14ac:dyDescent="0.2">
      <c r="A200" s="3348"/>
      <c r="B200" s="3348"/>
      <c r="C200" s="3349"/>
      <c r="E200" s="32"/>
      <c r="G200" s="32"/>
      <c r="I200" s="32"/>
      <c r="J200" s="32"/>
      <c r="K200" s="32"/>
      <c r="L200" s="18"/>
      <c r="M200" s="18"/>
      <c r="N200" s="18"/>
    </row>
    <row r="201" spans="1:14" s="31" customFormat="1" x14ac:dyDescent="0.2">
      <c r="A201" s="3348"/>
      <c r="B201" s="3348"/>
      <c r="C201" s="3349"/>
      <c r="E201" s="32"/>
      <c r="G201" s="32"/>
      <c r="I201" s="32"/>
      <c r="J201" s="32"/>
      <c r="K201" s="32"/>
      <c r="L201" s="18"/>
      <c r="M201" s="18"/>
      <c r="N201" s="18"/>
    </row>
    <row r="202" spans="1:14" s="31" customFormat="1" x14ac:dyDescent="0.2">
      <c r="A202" s="3348"/>
      <c r="B202" s="3348"/>
      <c r="C202" s="3349"/>
      <c r="E202" s="32"/>
      <c r="G202" s="32"/>
      <c r="I202" s="32"/>
      <c r="J202" s="32"/>
      <c r="K202" s="32"/>
      <c r="L202" s="18"/>
      <c r="M202" s="18"/>
      <c r="N202" s="18"/>
    </row>
    <row r="203" spans="1:14" s="31" customFormat="1" x14ac:dyDescent="0.2">
      <c r="A203" s="3348"/>
      <c r="B203" s="3348"/>
      <c r="C203" s="3349"/>
      <c r="E203" s="32"/>
      <c r="G203" s="32"/>
      <c r="I203" s="32"/>
      <c r="J203" s="32"/>
      <c r="K203" s="32"/>
      <c r="L203" s="18"/>
      <c r="M203" s="18"/>
      <c r="N203" s="18"/>
    </row>
    <row r="204" spans="1:14" s="31" customFormat="1" x14ac:dyDescent="0.2">
      <c r="A204" s="3348"/>
      <c r="B204" s="3348"/>
      <c r="C204" s="3349"/>
      <c r="E204" s="32"/>
      <c r="G204" s="32"/>
      <c r="I204" s="32"/>
      <c r="J204" s="32"/>
      <c r="K204" s="32"/>
      <c r="L204" s="18"/>
      <c r="M204" s="18"/>
      <c r="N204" s="18"/>
    </row>
    <row r="205" spans="1:14" s="31" customFormat="1" x14ac:dyDescent="0.2">
      <c r="A205" s="3348"/>
      <c r="B205" s="3348"/>
      <c r="C205" s="3349"/>
      <c r="E205" s="32"/>
      <c r="G205" s="32"/>
      <c r="I205" s="32"/>
      <c r="J205" s="32"/>
      <c r="K205" s="32"/>
      <c r="L205" s="18"/>
      <c r="M205" s="18"/>
      <c r="N205" s="18"/>
    </row>
    <row r="206" spans="1:14" s="31" customFormat="1" x14ac:dyDescent="0.2">
      <c r="A206" s="3348"/>
      <c r="B206" s="3348"/>
      <c r="C206" s="3349"/>
      <c r="E206" s="32"/>
      <c r="G206" s="32"/>
      <c r="I206" s="32"/>
      <c r="J206" s="32"/>
      <c r="K206" s="32"/>
      <c r="L206" s="18"/>
      <c r="M206" s="18"/>
      <c r="N206" s="18"/>
    </row>
    <row r="207" spans="1:14" s="31" customFormat="1" x14ac:dyDescent="0.2">
      <c r="A207" s="3348"/>
      <c r="B207" s="3348"/>
      <c r="C207" s="3349"/>
      <c r="E207" s="32"/>
      <c r="G207" s="32"/>
      <c r="I207" s="32"/>
      <c r="J207" s="32"/>
      <c r="K207" s="32"/>
      <c r="L207" s="18"/>
      <c r="M207" s="18"/>
      <c r="N207" s="18"/>
    </row>
    <row r="208" spans="1:14" s="31" customFormat="1" x14ac:dyDescent="0.2">
      <c r="A208" s="3348"/>
      <c r="B208" s="3348"/>
      <c r="C208" s="3349"/>
      <c r="E208" s="32"/>
      <c r="G208" s="32"/>
      <c r="I208" s="32"/>
      <c r="J208" s="32"/>
      <c r="K208" s="32"/>
      <c r="L208" s="18"/>
      <c r="M208" s="18"/>
      <c r="N208" s="18"/>
    </row>
    <row r="209" spans="1:14" s="31" customFormat="1" x14ac:dyDescent="0.2">
      <c r="A209" s="3348"/>
      <c r="B209" s="3348"/>
      <c r="C209" s="3349"/>
      <c r="E209" s="32"/>
      <c r="G209" s="32"/>
      <c r="I209" s="32"/>
      <c r="J209" s="32"/>
      <c r="K209" s="32"/>
      <c r="L209" s="18"/>
      <c r="M209" s="18"/>
      <c r="N209" s="18"/>
    </row>
    <row r="210" spans="1:14" s="31" customFormat="1" x14ac:dyDescent="0.2">
      <c r="A210" s="3348"/>
      <c r="B210" s="3348"/>
      <c r="C210" s="3349"/>
      <c r="E210" s="32"/>
      <c r="G210" s="32"/>
      <c r="I210" s="32"/>
      <c r="J210" s="32"/>
      <c r="K210" s="32"/>
      <c r="L210" s="18"/>
      <c r="M210" s="18"/>
      <c r="N210" s="18"/>
    </row>
    <row r="211" spans="1:14" s="31" customFormat="1" x14ac:dyDescent="0.2">
      <c r="A211" s="3348"/>
      <c r="B211" s="3348"/>
      <c r="C211" s="3349"/>
      <c r="E211" s="32"/>
      <c r="G211" s="32"/>
      <c r="I211" s="32"/>
      <c r="J211" s="32"/>
      <c r="K211" s="32"/>
      <c r="L211" s="18"/>
      <c r="M211" s="18"/>
      <c r="N211" s="18"/>
    </row>
    <row r="212" spans="1:14" s="31" customFormat="1" x14ac:dyDescent="0.2">
      <c r="A212" s="3348"/>
      <c r="B212" s="3348"/>
      <c r="C212" s="3349"/>
      <c r="E212" s="32"/>
      <c r="G212" s="32"/>
      <c r="I212" s="32"/>
      <c r="J212" s="32"/>
      <c r="K212" s="32"/>
      <c r="L212" s="18"/>
      <c r="M212" s="18"/>
      <c r="N212" s="18"/>
    </row>
    <row r="213" spans="1:14" s="31" customFormat="1" x14ac:dyDescent="0.2">
      <c r="A213" s="3348"/>
      <c r="B213" s="3348"/>
      <c r="C213" s="3349"/>
      <c r="E213" s="32"/>
      <c r="G213" s="32"/>
      <c r="I213" s="32"/>
      <c r="J213" s="32"/>
      <c r="K213" s="32"/>
      <c r="L213" s="18"/>
      <c r="M213" s="18"/>
      <c r="N213" s="18"/>
    </row>
    <row r="214" spans="1:14" s="31" customFormat="1" x14ac:dyDescent="0.2">
      <c r="A214" s="3348"/>
      <c r="B214" s="3348"/>
      <c r="C214" s="3349"/>
      <c r="E214" s="32"/>
      <c r="G214" s="32"/>
      <c r="I214" s="32"/>
      <c r="J214" s="32"/>
      <c r="K214" s="32"/>
      <c r="L214" s="18"/>
      <c r="M214" s="18"/>
      <c r="N214" s="18"/>
    </row>
    <row r="215" spans="1:14" s="31" customFormat="1" x14ac:dyDescent="0.2">
      <c r="A215" s="3348"/>
      <c r="B215" s="3348"/>
      <c r="C215" s="3349"/>
      <c r="E215" s="32"/>
      <c r="G215" s="32"/>
      <c r="I215" s="32"/>
      <c r="J215" s="32"/>
      <c r="K215" s="32"/>
      <c r="L215" s="18"/>
      <c r="M215" s="18"/>
      <c r="N215" s="18"/>
    </row>
    <row r="216" spans="1:14" s="31" customFormat="1" x14ac:dyDescent="0.2">
      <c r="A216" s="3348"/>
      <c r="B216" s="3348"/>
      <c r="C216" s="3349"/>
      <c r="E216" s="32"/>
      <c r="G216" s="32"/>
      <c r="I216" s="32"/>
      <c r="J216" s="32"/>
      <c r="K216" s="32"/>
      <c r="L216" s="18"/>
      <c r="M216" s="18"/>
      <c r="N216" s="18"/>
    </row>
    <row r="217" spans="1:14" s="31" customFormat="1" x14ac:dyDescent="0.2">
      <c r="A217" s="3348"/>
      <c r="B217" s="3348"/>
      <c r="C217" s="3349"/>
      <c r="E217" s="32"/>
      <c r="G217" s="32"/>
      <c r="I217" s="32"/>
      <c r="J217" s="32"/>
      <c r="K217" s="32"/>
      <c r="L217" s="18"/>
      <c r="M217" s="18"/>
      <c r="N217" s="18"/>
    </row>
    <row r="218" spans="1:14" s="31" customFormat="1" x14ac:dyDescent="0.2">
      <c r="A218" s="3348"/>
      <c r="B218" s="3348"/>
      <c r="C218" s="3349"/>
      <c r="E218" s="32"/>
      <c r="G218" s="32"/>
      <c r="I218" s="32"/>
      <c r="J218" s="32"/>
      <c r="K218" s="32"/>
      <c r="L218" s="18"/>
      <c r="M218" s="18"/>
      <c r="N218" s="18"/>
    </row>
    <row r="219" spans="1:14" s="31" customFormat="1" x14ac:dyDescent="0.2">
      <c r="A219" s="3348"/>
      <c r="B219" s="3348"/>
      <c r="C219" s="3349"/>
      <c r="E219" s="32"/>
      <c r="G219" s="32"/>
      <c r="I219" s="32"/>
      <c r="J219" s="32"/>
      <c r="K219" s="32"/>
      <c r="L219" s="18"/>
      <c r="M219" s="18"/>
      <c r="N219" s="18"/>
    </row>
    <row r="220" spans="1:14" s="31" customFormat="1" x14ac:dyDescent="0.2">
      <c r="A220" s="3348"/>
      <c r="B220" s="3348"/>
      <c r="C220" s="3349"/>
      <c r="E220" s="32"/>
      <c r="G220" s="32"/>
      <c r="I220" s="32"/>
      <c r="J220" s="32"/>
      <c r="K220" s="32"/>
      <c r="L220" s="18"/>
      <c r="M220" s="18"/>
      <c r="N220" s="18"/>
    </row>
    <row r="221" spans="1:14" s="31" customFormat="1" x14ac:dyDescent="0.2">
      <c r="A221" s="3348"/>
      <c r="B221" s="3348"/>
      <c r="C221" s="3349"/>
      <c r="E221" s="32"/>
      <c r="G221" s="32"/>
      <c r="I221" s="32"/>
      <c r="J221" s="32"/>
      <c r="K221" s="32"/>
      <c r="L221" s="18"/>
      <c r="M221" s="18"/>
      <c r="N221" s="18"/>
    </row>
  </sheetData>
  <mergeCells count="188">
    <mergeCell ref="A220:C220"/>
    <mergeCell ref="A221:C221"/>
    <mergeCell ref="A214:C214"/>
    <mergeCell ref="A215:C215"/>
    <mergeCell ref="A216:C216"/>
    <mergeCell ref="A217:C217"/>
    <mergeCell ref="A218:C218"/>
    <mergeCell ref="A219:C219"/>
    <mergeCell ref="A208:C208"/>
    <mergeCell ref="A209:C209"/>
    <mergeCell ref="A210:C210"/>
    <mergeCell ref="A211:C211"/>
    <mergeCell ref="A212:C212"/>
    <mergeCell ref="A213:C213"/>
    <mergeCell ref="A202:C202"/>
    <mergeCell ref="A203:C203"/>
    <mergeCell ref="A204:C204"/>
    <mergeCell ref="A205:C205"/>
    <mergeCell ref="A206:C206"/>
    <mergeCell ref="A207:C207"/>
    <mergeCell ref="A196:C196"/>
    <mergeCell ref="A197:C197"/>
    <mergeCell ref="A198:C198"/>
    <mergeCell ref="A199:C199"/>
    <mergeCell ref="A200:C200"/>
    <mergeCell ref="A201:C201"/>
    <mergeCell ref="A190:C190"/>
    <mergeCell ref="A191:C191"/>
    <mergeCell ref="A192:C192"/>
    <mergeCell ref="A193:C193"/>
    <mergeCell ref="A194:C194"/>
    <mergeCell ref="A195:C195"/>
    <mergeCell ref="A184:C184"/>
    <mergeCell ref="A185:C185"/>
    <mergeCell ref="A186:C186"/>
    <mergeCell ref="A187:C187"/>
    <mergeCell ref="A188:C188"/>
    <mergeCell ref="A189:C189"/>
    <mergeCell ref="A178:C178"/>
    <mergeCell ref="A179:C179"/>
    <mergeCell ref="A180:C180"/>
    <mergeCell ref="A181:C181"/>
    <mergeCell ref="A182:C182"/>
    <mergeCell ref="A183:C183"/>
    <mergeCell ref="A172:C172"/>
    <mergeCell ref="A173:C173"/>
    <mergeCell ref="A174:C174"/>
    <mergeCell ref="A175:C175"/>
    <mergeCell ref="A176:C176"/>
    <mergeCell ref="A177:C177"/>
    <mergeCell ref="A166:C166"/>
    <mergeCell ref="A167:C167"/>
    <mergeCell ref="A168:C168"/>
    <mergeCell ref="A169:C169"/>
    <mergeCell ref="A170:C170"/>
    <mergeCell ref="A171:C171"/>
    <mergeCell ref="A160:C160"/>
    <mergeCell ref="A161:C161"/>
    <mergeCell ref="A162:C162"/>
    <mergeCell ref="A163:C163"/>
    <mergeCell ref="A164:C164"/>
    <mergeCell ref="A165:C165"/>
    <mergeCell ref="A154:C154"/>
    <mergeCell ref="A155:C155"/>
    <mergeCell ref="A156:C156"/>
    <mergeCell ref="A157:C157"/>
    <mergeCell ref="A158:C158"/>
    <mergeCell ref="A159:C159"/>
    <mergeCell ref="A148:C148"/>
    <mergeCell ref="A149:C149"/>
    <mergeCell ref="A150:C150"/>
    <mergeCell ref="A151:C151"/>
    <mergeCell ref="A152:C152"/>
    <mergeCell ref="A153:C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30:C130"/>
    <mergeCell ref="A131:C131"/>
    <mergeCell ref="A132:C132"/>
    <mergeCell ref="A133:C133"/>
    <mergeCell ref="A134:C134"/>
    <mergeCell ref="A135:C135"/>
    <mergeCell ref="A124:C124"/>
    <mergeCell ref="A125:C125"/>
    <mergeCell ref="A126:C126"/>
    <mergeCell ref="A127:C127"/>
    <mergeCell ref="A128:C128"/>
    <mergeCell ref="A129:C129"/>
    <mergeCell ref="A118:C118"/>
    <mergeCell ref="A119:C119"/>
    <mergeCell ref="A120:C120"/>
    <mergeCell ref="A121:C121"/>
    <mergeCell ref="A122:C122"/>
    <mergeCell ref="A123:C123"/>
    <mergeCell ref="A112:C112"/>
    <mergeCell ref="A113:C113"/>
    <mergeCell ref="A114:C114"/>
    <mergeCell ref="A115:C115"/>
    <mergeCell ref="A116:C116"/>
    <mergeCell ref="A117:C117"/>
    <mergeCell ref="A106:C106"/>
    <mergeCell ref="A107:C107"/>
    <mergeCell ref="A108:C108"/>
    <mergeCell ref="A109:C109"/>
    <mergeCell ref="A110:C110"/>
    <mergeCell ref="A111:C111"/>
    <mergeCell ref="A100:C100"/>
    <mergeCell ref="A101:C101"/>
    <mergeCell ref="A102:C102"/>
    <mergeCell ref="A103:C103"/>
    <mergeCell ref="A104:C104"/>
    <mergeCell ref="A105:C105"/>
    <mergeCell ref="A94:C94"/>
    <mergeCell ref="A95:C95"/>
    <mergeCell ref="A96:C96"/>
    <mergeCell ref="A97:C97"/>
    <mergeCell ref="A98:C98"/>
    <mergeCell ref="A99:C99"/>
    <mergeCell ref="A88:C88"/>
    <mergeCell ref="A89:C89"/>
    <mergeCell ref="A90:C90"/>
    <mergeCell ref="A91:C91"/>
    <mergeCell ref="A92:C92"/>
    <mergeCell ref="A93:C93"/>
    <mergeCell ref="A82:C82"/>
    <mergeCell ref="A83:C83"/>
    <mergeCell ref="A84:C84"/>
    <mergeCell ref="A85:C85"/>
    <mergeCell ref="A86:C86"/>
    <mergeCell ref="A87:C87"/>
    <mergeCell ref="A76:C76"/>
    <mergeCell ref="A77:C77"/>
    <mergeCell ref="A78:C78"/>
    <mergeCell ref="A79:C79"/>
    <mergeCell ref="A80:C80"/>
    <mergeCell ref="A81:C81"/>
    <mergeCell ref="A49:C49"/>
    <mergeCell ref="A50:C50"/>
    <mergeCell ref="A51:C51"/>
    <mergeCell ref="A52:C52"/>
    <mergeCell ref="A54:C54"/>
    <mergeCell ref="A55:C55"/>
    <mergeCell ref="A43:C43"/>
    <mergeCell ref="A44:C44"/>
    <mergeCell ref="A45:C45"/>
    <mergeCell ref="A46:C46"/>
    <mergeCell ref="A47:C47"/>
    <mergeCell ref="A48:C48"/>
    <mergeCell ref="A37:C37"/>
    <mergeCell ref="A38:C38"/>
    <mergeCell ref="A39:C39"/>
    <mergeCell ref="A40:C40"/>
    <mergeCell ref="A41:C41"/>
    <mergeCell ref="A42:C42"/>
    <mergeCell ref="A31:C31"/>
    <mergeCell ref="A32:C32"/>
    <mergeCell ref="A33:C33"/>
    <mergeCell ref="A34:C34"/>
    <mergeCell ref="A35:C35"/>
    <mergeCell ref="A36:C36"/>
    <mergeCell ref="A28:C28"/>
    <mergeCell ref="A29:C29"/>
    <mergeCell ref="A30:C30"/>
    <mergeCell ref="A19:C19"/>
    <mergeCell ref="A20:C20"/>
    <mergeCell ref="A21:C21"/>
    <mergeCell ref="A22:C22"/>
    <mergeCell ref="A23:C23"/>
    <mergeCell ref="A24:C24"/>
    <mergeCell ref="A10:C10"/>
    <mergeCell ref="A11:C11"/>
    <mergeCell ref="A15:M15"/>
    <mergeCell ref="A16:C16"/>
    <mergeCell ref="A17:C17"/>
    <mergeCell ref="A18:C18"/>
    <mergeCell ref="A25:C25"/>
    <mergeCell ref="A26:C26"/>
    <mergeCell ref="A27:C27"/>
  </mergeCells>
  <printOptions horizontalCentered="1" verticalCentered="1"/>
  <pageMargins left="0.39370078740157483" right="0.39370078740157483" top="0.39370078740157483" bottom="0.39370078740157483" header="0.59055118110236227" footer="0"/>
  <pageSetup scale="67"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tabColor theme="9" tint="-0.499984740745262"/>
  </sheetPr>
  <dimension ref="A1:V162"/>
  <sheetViews>
    <sheetView showGridLines="0" zoomScaleNormal="100" workbookViewId="0">
      <selection activeCell="E13" sqref="E13"/>
    </sheetView>
  </sheetViews>
  <sheetFormatPr baseColWidth="10" defaultRowHeight="12.75" x14ac:dyDescent="0.15"/>
  <cols>
    <col min="1" max="1" width="16.28515625" style="279" customWidth="1"/>
    <col min="2" max="2" width="11.7109375" style="279" customWidth="1"/>
    <col min="3" max="3" width="15.5703125" style="279" customWidth="1"/>
    <col min="4" max="4" width="14" style="279" customWidth="1"/>
    <col min="5" max="5" width="16.85546875" style="279" customWidth="1"/>
    <col min="6" max="6" width="15.42578125" style="279" customWidth="1"/>
    <col min="7" max="7" width="12" style="279" customWidth="1"/>
    <col min="8" max="13" width="11" style="279" customWidth="1"/>
    <col min="14" max="14" width="11.42578125" style="279"/>
    <col min="15" max="15" width="11.5703125" style="279" customWidth="1"/>
    <col min="16" max="16" width="11.42578125" style="279" customWidth="1"/>
    <col min="17" max="19" width="11.5703125" style="279" customWidth="1"/>
    <col min="20" max="20" width="11.42578125" style="279" customWidth="1"/>
    <col min="21" max="21" width="11.42578125" style="293" customWidth="1"/>
    <col min="22" max="24" width="11.42578125" style="279" customWidth="1"/>
    <col min="25" max="16384" width="11.42578125" style="279"/>
  </cols>
  <sheetData>
    <row r="1" spans="1:22" x14ac:dyDescent="0.15">
      <c r="A1" s="290"/>
      <c r="B1" s="291"/>
      <c r="C1" s="291"/>
      <c r="D1" s="291"/>
      <c r="E1" s="291"/>
      <c r="F1" s="291"/>
      <c r="G1" s="291"/>
      <c r="H1" s="291"/>
      <c r="I1" s="291"/>
      <c r="J1" s="291"/>
      <c r="K1" s="291"/>
      <c r="L1" s="291"/>
      <c r="M1" s="292"/>
    </row>
    <row r="2" spans="1:22" ht="12.75" customHeight="1" x14ac:dyDescent="0.15">
      <c r="A2" s="294"/>
      <c r="B2" s="295"/>
      <c r="C2" s="296" t="s">
        <v>113</v>
      </c>
      <c r="D2" s="286">
        <f>+AR!D2</f>
        <v>0</v>
      </c>
      <c r="E2" s="295"/>
      <c r="F2" s="295"/>
      <c r="G2" s="296" t="s">
        <v>114</v>
      </c>
      <c r="H2" s="286" t="s">
        <v>524</v>
      </c>
      <c r="J2" s="295"/>
      <c r="K2" s="295"/>
      <c r="L2" s="297" t="s">
        <v>1357</v>
      </c>
      <c r="M2" s="298"/>
      <c r="P2" s="279" t="s">
        <v>103</v>
      </c>
      <c r="V2" s="279">
        <v>210</v>
      </c>
    </row>
    <row r="3" spans="1:22" ht="12.75" customHeight="1" x14ac:dyDescent="0.15">
      <c r="A3" s="299"/>
      <c r="B3" s="286"/>
      <c r="C3" s="300" t="s">
        <v>162</v>
      </c>
      <c r="D3" s="286">
        <f>+AR!D3</f>
        <v>0</v>
      </c>
      <c r="E3" s="301"/>
      <c r="F3" s="302"/>
      <c r="G3" s="302" t="s">
        <v>115</v>
      </c>
      <c r="H3" s="303" t="s">
        <v>1744</v>
      </c>
      <c r="J3" s="286"/>
      <c r="K3" s="295"/>
      <c r="L3" s="297" t="s">
        <v>627</v>
      </c>
      <c r="M3" s="298" t="s">
        <v>104</v>
      </c>
      <c r="P3" s="279" t="s">
        <v>104</v>
      </c>
      <c r="Q3" s="619" t="s">
        <v>1098</v>
      </c>
      <c r="V3" s="279">
        <v>220</v>
      </c>
    </row>
    <row r="4" spans="1:22" ht="12.75" customHeight="1" x14ac:dyDescent="0.15">
      <c r="A4" s="305"/>
      <c r="B4" s="306"/>
      <c r="C4" s="307" t="s">
        <v>220</v>
      </c>
      <c r="D4" s="307"/>
      <c r="E4" s="308" t="str">
        <f>+AR!E4</f>
        <v/>
      </c>
      <c r="F4" s="307"/>
      <c r="G4" s="309"/>
      <c r="H4" s="309"/>
      <c r="I4" s="307"/>
      <c r="J4" s="310"/>
      <c r="K4" s="3434" t="s">
        <v>116</v>
      </c>
      <c r="L4" s="3434"/>
      <c r="M4" s="3435"/>
      <c r="Q4" s="619" t="s">
        <v>484</v>
      </c>
      <c r="V4" s="279">
        <v>415</v>
      </c>
    </row>
    <row r="5" spans="1:22" x14ac:dyDescent="0.15">
      <c r="A5" s="311" t="s">
        <v>154</v>
      </c>
      <c r="B5" s="312">
        <f>General!D6</f>
        <v>0</v>
      </c>
      <c r="C5" s="286"/>
      <c r="D5" s="313"/>
      <c r="E5" s="286"/>
      <c r="F5" s="296" t="s">
        <v>159</v>
      </c>
      <c r="G5" s="286"/>
      <c r="H5" s="314" t="str">
        <f>+AR!H5</f>
        <v/>
      </c>
      <c r="J5" s="313"/>
      <c r="K5" s="315"/>
      <c r="L5" s="3436" t="s">
        <v>160</v>
      </c>
      <c r="M5" s="3437"/>
      <c r="Q5" s="619" t="s">
        <v>1095</v>
      </c>
      <c r="V5" s="279">
        <v>425</v>
      </c>
    </row>
    <row r="6" spans="1:22" x14ac:dyDescent="0.15">
      <c r="A6" s="311" t="s">
        <v>107</v>
      </c>
      <c r="B6" s="312">
        <f>General!D9</f>
        <v>0</v>
      </c>
      <c r="C6" s="286"/>
      <c r="D6" s="313"/>
      <c r="E6" s="286"/>
      <c r="F6" s="302" t="s">
        <v>993</v>
      </c>
      <c r="G6" s="316"/>
      <c r="H6" s="316"/>
      <c r="I6" s="317"/>
      <c r="J6" s="318"/>
      <c r="K6" s="278"/>
      <c r="L6" s="318"/>
      <c r="M6" s="319" t="s">
        <v>161</v>
      </c>
      <c r="O6" s="279">
        <f>CIIU!A2:A447</f>
        <v>113</v>
      </c>
      <c r="Q6" s="619" t="s">
        <v>483</v>
      </c>
      <c r="V6" s="279">
        <v>426</v>
      </c>
    </row>
    <row r="7" spans="1:22" x14ac:dyDescent="0.15">
      <c r="A7" s="311" t="s">
        <v>989</v>
      </c>
      <c r="B7" s="312"/>
      <c r="C7" s="286">
        <f>+AR!C7</f>
        <v>0</v>
      </c>
      <c r="D7" s="313"/>
      <c r="E7" s="286"/>
      <c r="F7" s="302" t="s">
        <v>1037</v>
      </c>
      <c r="G7" s="431">
        <f>+AR!G7</f>
        <v>0</v>
      </c>
      <c r="H7" s="431"/>
      <c r="I7" s="430" t="s">
        <v>950</v>
      </c>
      <c r="J7" s="429" t="s">
        <v>1513</v>
      </c>
      <c r="K7" s="278"/>
      <c r="L7" s="278" t="s">
        <v>636</v>
      </c>
      <c r="M7" s="427" t="str">
        <f ca="1">TEXT(TODAY(),"DD-mmm-yyyy")</f>
        <v>07-nov-2019</v>
      </c>
      <c r="Q7" s="619" t="s">
        <v>1096</v>
      </c>
      <c r="V7" s="279">
        <v>131</v>
      </c>
    </row>
    <row r="8" spans="1:22" x14ac:dyDescent="0.15">
      <c r="A8" s="277" t="s">
        <v>990</v>
      </c>
      <c r="B8" s="683" t="e">
        <f>+Cuadros!F41</f>
        <v>#DIV/0!</v>
      </c>
      <c r="C8" s="287"/>
      <c r="D8" s="287"/>
      <c r="E8" s="287"/>
      <c r="F8" s="287"/>
      <c r="G8" s="287"/>
      <c r="H8" s="287"/>
      <c r="I8" s="287"/>
      <c r="J8" s="287"/>
      <c r="K8" s="287"/>
      <c r="L8" s="278" t="s">
        <v>1040</v>
      </c>
      <c r="M8" s="320">
        <f>+M79</f>
        <v>3.9000000000000004</v>
      </c>
      <c r="P8" s="279" t="s">
        <v>1042</v>
      </c>
      <c r="Q8" s="279">
        <v>9.3000000000000007</v>
      </c>
      <c r="R8" s="279">
        <v>-2</v>
      </c>
      <c r="S8" s="620">
        <v>0</v>
      </c>
      <c r="T8" s="279" t="s">
        <v>953</v>
      </c>
      <c r="V8" s="279">
        <v>140</v>
      </c>
    </row>
    <row r="9" spans="1:22" x14ac:dyDescent="0.15">
      <c r="A9" s="311" t="s">
        <v>991</v>
      </c>
      <c r="B9" s="683">
        <f>+AR!C7</f>
        <v>0</v>
      </c>
      <c r="C9" s="286"/>
      <c r="D9" s="286"/>
      <c r="E9" s="286"/>
      <c r="F9" s="286"/>
      <c r="G9" s="286"/>
      <c r="H9" s="286"/>
      <c r="I9" s="313"/>
      <c r="J9" s="278"/>
      <c r="K9" s="321"/>
      <c r="L9" s="278" t="s">
        <v>1041</v>
      </c>
      <c r="M9" s="320">
        <f>+M82</f>
        <v>3.9000000000000004</v>
      </c>
      <c r="P9" s="279" t="s">
        <v>1043</v>
      </c>
      <c r="Q9" s="279">
        <v>9</v>
      </c>
      <c r="R9" s="279">
        <v>-1</v>
      </c>
      <c r="S9" s="620">
        <v>0.25</v>
      </c>
      <c r="T9" s="279" t="s">
        <v>954</v>
      </c>
    </row>
    <row r="10" spans="1:22" x14ac:dyDescent="0.15">
      <c r="A10" s="311" t="s">
        <v>992</v>
      </c>
      <c r="B10" s="428">
        <f>+AR!B10</f>
        <v>0</v>
      </c>
      <c r="C10" s="296" t="s">
        <v>163</v>
      </c>
      <c r="D10" s="428">
        <f>+AR!D10</f>
        <v>0</v>
      </c>
      <c r="E10" s="286"/>
      <c r="F10" s="313"/>
      <c r="G10" s="286"/>
      <c r="H10" s="286"/>
      <c r="I10" s="313"/>
      <c r="J10" s="286"/>
      <c r="K10" s="682"/>
      <c r="L10" s="682" t="s">
        <v>1734</v>
      </c>
      <c r="M10" s="322">
        <f>+M157</f>
        <v>0</v>
      </c>
      <c r="O10" s="278"/>
      <c r="P10" s="279" t="s">
        <v>1044</v>
      </c>
      <c r="Q10" s="279">
        <v>8.5</v>
      </c>
      <c r="R10" s="279">
        <v>0</v>
      </c>
      <c r="S10" s="620">
        <v>0.5</v>
      </c>
      <c r="T10" s="681" t="s">
        <v>1487</v>
      </c>
    </row>
    <row r="11" spans="1:22" x14ac:dyDescent="0.15">
      <c r="A11" s="323" t="s">
        <v>164</v>
      </c>
      <c r="B11" s="286"/>
      <c r="C11" s="324"/>
      <c r="D11" s="286">
        <f>+AR!D11</f>
        <v>0</v>
      </c>
      <c r="E11" s="314" t="s">
        <v>165</v>
      </c>
      <c r="F11" s="324">
        <f>+AR!F11</f>
        <v>0</v>
      </c>
      <c r="G11" s="314" t="s">
        <v>166</v>
      </c>
      <c r="H11" s="314"/>
      <c r="I11" s="324">
        <f>+AR!I11</f>
        <v>0</v>
      </c>
      <c r="K11" s="1189"/>
      <c r="L11" s="1189" t="s">
        <v>1735</v>
      </c>
      <c r="M11" s="326">
        <f>+M159</f>
        <v>0</v>
      </c>
      <c r="P11" s="279" t="s">
        <v>1045</v>
      </c>
      <c r="Q11" s="279">
        <v>8</v>
      </c>
      <c r="S11" s="620">
        <v>0.75</v>
      </c>
      <c r="T11" s="681" t="s">
        <v>1488</v>
      </c>
      <c r="V11" s="325"/>
    </row>
    <row r="12" spans="1:22" x14ac:dyDescent="0.15">
      <c r="A12" s="327"/>
      <c r="B12" s="328" t="s">
        <v>1795</v>
      </c>
      <c r="C12" s="329"/>
      <c r="D12" s="329"/>
      <c r="E12" s="329"/>
      <c r="F12" s="328" t="s">
        <v>1796</v>
      </c>
      <c r="G12" s="329"/>
      <c r="H12" s="329"/>
      <c r="I12" s="329"/>
      <c r="J12" s="329"/>
      <c r="K12" s="330"/>
      <c r="L12" s="330"/>
      <c r="M12" s="331"/>
      <c r="Q12" s="279">
        <v>7.5</v>
      </c>
      <c r="S12" s="620">
        <v>1</v>
      </c>
      <c r="T12" s="681" t="s">
        <v>1513</v>
      </c>
    </row>
    <row r="13" spans="1:22" x14ac:dyDescent="0.15">
      <c r="A13" s="332"/>
      <c r="B13" s="333"/>
      <c r="C13" s="333" t="s">
        <v>169</v>
      </c>
      <c r="D13" s="333" t="s">
        <v>170</v>
      </c>
      <c r="E13" s="296"/>
      <c r="F13" s="312"/>
      <c r="G13" s="312"/>
      <c r="H13" s="1073">
        <f>IF(General!$D$24="NO",'Info Entrada'!D1,'Info Entrada'!E1)</f>
        <v>43100</v>
      </c>
      <c r="I13" s="1073">
        <f>IF(General!$D$24="NO",'Info Entrada'!E1,'Info Entrada'!G1)</f>
        <v>43465</v>
      </c>
      <c r="J13" s="375"/>
      <c r="K13" s="1074"/>
      <c r="L13" s="1073">
        <f>+H13</f>
        <v>43100</v>
      </c>
      <c r="M13" s="1075">
        <f>I13</f>
        <v>43465</v>
      </c>
      <c r="P13" s="279" t="s">
        <v>150</v>
      </c>
      <c r="Q13" s="279">
        <v>7</v>
      </c>
      <c r="T13" s="681" t="s">
        <v>1514</v>
      </c>
    </row>
    <row r="14" spans="1:22" x14ac:dyDescent="0.15">
      <c r="A14" s="332" t="s">
        <v>171</v>
      </c>
      <c r="B14" s="312"/>
      <c r="C14" s="334" t="e">
        <f>+Posiciones!F72/'Posiciones (USD)'!H6</f>
        <v>#DIV/0!</v>
      </c>
      <c r="D14" s="334" t="e">
        <f>+Posiciones!G72/'Posiciones (USD)'!H6</f>
        <v>#DIV/0!</v>
      </c>
      <c r="E14" s="335"/>
      <c r="F14" s="296" t="s">
        <v>172</v>
      </c>
      <c r="G14" s="312"/>
      <c r="H14" s="336">
        <f>+AR!H14/'AR (USD)'!$H$26</f>
        <v>0</v>
      </c>
      <c r="I14" s="336">
        <f>+AR!I14/'AR (USD)'!$I$26</f>
        <v>0</v>
      </c>
      <c r="J14" s="296" t="s">
        <v>1499</v>
      </c>
      <c r="K14" s="337"/>
      <c r="L14" s="1190" t="str">
        <f>IF(General!$D$24="NO",'Resumen Cuadros'!C15,'Resumen Cuadros'!D15)</f>
        <v>N.A.</v>
      </c>
      <c r="M14" s="1077" t="str">
        <f>IF(General!$D$24="NO",'Resumen Cuadros'!D15,'Resumen Cuadros'!F15)</f>
        <v>N.A.</v>
      </c>
      <c r="P14" s="279" t="s">
        <v>151</v>
      </c>
      <c r="Q14" s="279">
        <v>6.5</v>
      </c>
      <c r="T14" s="681" t="s">
        <v>1342</v>
      </c>
    </row>
    <row r="15" spans="1:22" x14ac:dyDescent="0.15">
      <c r="A15" s="332" t="s">
        <v>174</v>
      </c>
      <c r="B15" s="312"/>
      <c r="C15" s="334" t="e">
        <f>+Posiciones!F71/'Posiciones (USD)'!H6</f>
        <v>#DIV/0!</v>
      </c>
      <c r="D15" s="334" t="e">
        <f>+Posiciones!G71/'Posiciones (USD)'!H6</f>
        <v>#DIV/0!</v>
      </c>
      <c r="E15" s="335"/>
      <c r="F15" s="296" t="s">
        <v>175</v>
      </c>
      <c r="G15" s="312"/>
      <c r="H15" s="336">
        <f>+AR!H15/'AR (USD)'!$H$26</f>
        <v>0</v>
      </c>
      <c r="I15" s="336">
        <f>+AR!I15/'AR (USD)'!$I$26</f>
        <v>0</v>
      </c>
      <c r="J15" s="296" t="s">
        <v>188</v>
      </c>
      <c r="K15" s="337"/>
      <c r="L15" s="1093">
        <f>+AR!L15/'AR (USD)'!H26</f>
        <v>0</v>
      </c>
      <c r="M15" s="1328">
        <f>+AR!M15/'AR (USD)'!I26</f>
        <v>0</v>
      </c>
      <c r="O15" s="296"/>
      <c r="P15" s="279" t="s">
        <v>152</v>
      </c>
      <c r="Q15" s="279">
        <v>6</v>
      </c>
      <c r="T15" s="681" t="s">
        <v>1343</v>
      </c>
    </row>
    <row r="16" spans="1:22" x14ac:dyDescent="0.15">
      <c r="A16" s="332" t="s">
        <v>177</v>
      </c>
      <c r="B16" s="312"/>
      <c r="C16" s="334" t="e">
        <f>+Posiciones!F73/'Posiciones (USD)'!H6</f>
        <v>#DIV/0!</v>
      </c>
      <c r="D16" s="334" t="e">
        <f>+Posiciones!G73/'Posiciones (USD)'!H6</f>
        <v>#DIV/0!</v>
      </c>
      <c r="E16" s="335"/>
      <c r="F16" s="296" t="s">
        <v>178</v>
      </c>
      <c r="G16" s="312"/>
      <c r="H16" s="336">
        <f>+AR!H16/'AR (USD)'!$H$26</f>
        <v>0</v>
      </c>
      <c r="I16" s="336">
        <f>+AR!I16/'AR (USD)'!$I$26</f>
        <v>0</v>
      </c>
      <c r="J16" s="296" t="s">
        <v>1500</v>
      </c>
      <c r="K16" s="337"/>
      <c r="L16" s="1076" t="e">
        <f>+L15/H21</f>
        <v>#DIV/0!</v>
      </c>
      <c r="M16" s="1077" t="e">
        <f>+M15/I21</f>
        <v>#DIV/0!</v>
      </c>
      <c r="P16" s="279" t="s">
        <v>153</v>
      </c>
      <c r="Q16" s="279">
        <v>5.5</v>
      </c>
    </row>
    <row r="17" spans="1:17" x14ac:dyDescent="0.15">
      <c r="A17" s="311" t="s">
        <v>180</v>
      </c>
      <c r="B17" s="312"/>
      <c r="C17" s="334" t="e">
        <f>SUM(C14:C16)</f>
        <v>#DIV/0!</v>
      </c>
      <c r="D17" s="334" t="e">
        <f>SUM(D14:D16)</f>
        <v>#DIV/0!</v>
      </c>
      <c r="E17" s="335"/>
      <c r="F17" s="296" t="s">
        <v>181</v>
      </c>
      <c r="G17" s="312"/>
      <c r="H17" s="336">
        <f>+AR!H17/'AR (USD)'!$H$26</f>
        <v>0</v>
      </c>
      <c r="I17" s="336">
        <f>+AR!I17/'AR (USD)'!$I$26</f>
        <v>0</v>
      </c>
      <c r="J17" s="296" t="s">
        <v>697</v>
      </c>
      <c r="K17" s="337"/>
      <c r="L17" s="1076">
        <f>+IF(General!$D$24="NO",'Resumen Cuadros'!C25,'Resumen Cuadros'!D25)</f>
        <v>0</v>
      </c>
      <c r="M17" s="1077">
        <f>+IF(General!$D$24="NO",'Resumen Cuadros'!D25,'Resumen Cuadros'!F25)</f>
        <v>0</v>
      </c>
      <c r="Q17" s="279">
        <v>5</v>
      </c>
    </row>
    <row r="18" spans="1:17" x14ac:dyDescent="0.15">
      <c r="A18" s="332" t="s">
        <v>183</v>
      </c>
      <c r="B18" s="312"/>
      <c r="C18" s="334" t="e">
        <f>+Posiciones!F112/'Posiciones (USD)'!H6-Posiciones!F74/'Posiciones (USD)'!H6</f>
        <v>#DIV/0!</v>
      </c>
      <c r="D18" s="334" t="e">
        <f>+Posiciones!G112/'Posiciones (USD)'!H6-Posiciones!G74/'Posiciones (USD)'!H6</f>
        <v>#DIV/0!</v>
      </c>
      <c r="E18" s="335"/>
      <c r="F18" s="296" t="s">
        <v>184</v>
      </c>
      <c r="G18" s="312"/>
      <c r="H18" s="336">
        <f>+AR!H18/'AR (USD)'!$H$26</f>
        <v>0</v>
      </c>
      <c r="I18" s="336">
        <f>+AR!I18/'AR (USD)'!$I$26</f>
        <v>0</v>
      </c>
      <c r="J18" s="296" t="s">
        <v>763</v>
      </c>
      <c r="K18" s="337"/>
      <c r="L18" s="1086">
        <f>+IF(General!$D$24="NO",'Resumen EEFF'!C113,'Resumen EEFF'!D113)</f>
        <v>0</v>
      </c>
      <c r="M18" s="1078">
        <f>+IF(General!$D$24="NO",'Resumen EEFF'!D113,'Resumen EEFF'!V113)</f>
        <v>0</v>
      </c>
      <c r="Q18" s="279">
        <v>4.5</v>
      </c>
    </row>
    <row r="19" spans="1:17" x14ac:dyDescent="0.15">
      <c r="A19" s="311" t="s">
        <v>186</v>
      </c>
      <c r="B19" s="312"/>
      <c r="C19" s="334" t="e">
        <f>+C18+C17</f>
        <v>#DIV/0!</v>
      </c>
      <c r="D19" s="334" t="e">
        <f>+D18+D17</f>
        <v>#DIV/0!</v>
      </c>
      <c r="E19" s="335"/>
      <c r="F19" s="296" t="s">
        <v>187</v>
      </c>
      <c r="G19" s="312"/>
      <c r="H19" s="336">
        <f>+AR!H19/'AR (USD)'!$H$26</f>
        <v>0</v>
      </c>
      <c r="I19" s="336">
        <f>+AR!I19/'AR (USD)'!$I$26</f>
        <v>0</v>
      </c>
      <c r="J19" s="296" t="s">
        <v>1501</v>
      </c>
      <c r="K19" s="337"/>
      <c r="L19" s="1087">
        <f>-IF(General!$D$24="NO",'Resumen EEFF'!C120,'Resumen EEFF'!D120)</f>
        <v>0</v>
      </c>
      <c r="M19" s="1078">
        <f>-IF(General!$D$24="NO",'Resumen EEFF'!D120,'Resumen EEFF'!V120)</f>
        <v>0</v>
      </c>
      <c r="Q19" s="279">
        <v>4</v>
      </c>
    </row>
    <row r="20" spans="1:17" x14ac:dyDescent="0.15">
      <c r="A20" s="338"/>
      <c r="B20" s="328" t="s">
        <v>1794</v>
      </c>
      <c r="C20" s="339"/>
      <c r="D20" s="339"/>
      <c r="E20" s="339"/>
      <c r="F20" s="296" t="s">
        <v>190</v>
      </c>
      <c r="G20" s="312"/>
      <c r="H20" s="336">
        <f>+AR!H20/'AR (USD)'!$H$26</f>
        <v>0</v>
      </c>
      <c r="I20" s="336">
        <f>+AR!I20/'AR (USD)'!$I$26</f>
        <v>0</v>
      </c>
      <c r="J20" s="296" t="s">
        <v>1505</v>
      </c>
      <c r="K20" s="337"/>
      <c r="L20" s="1094" t="str">
        <f>+IF(General!$D$24="NO",'Resumen Cuadros'!L16,'Resumen Cuadros'!M16)</f>
        <v>n.d.</v>
      </c>
      <c r="M20" s="1079" t="str">
        <f>+IF(General!$D$24="NO",'Resumen Cuadros'!M16,'Resumen Cuadros'!P16)</f>
        <v>n.d.</v>
      </c>
      <c r="Q20" s="279">
        <v>3.5</v>
      </c>
    </row>
    <row r="21" spans="1:17" x14ac:dyDescent="0.15">
      <c r="A21" s="311" t="s">
        <v>192</v>
      </c>
      <c r="B21" s="340" t="str">
        <f ca="1">TEXT(TODAY(),"dd-mmm-yyyy")</f>
        <v>07-nov-2019</v>
      </c>
      <c r="C21" s="1029" t="s">
        <v>1747</v>
      </c>
      <c r="D21" s="1101">
        <f>+Cuadros!C2</f>
        <v>40908</v>
      </c>
      <c r="E21" s="341"/>
      <c r="F21" s="296" t="s">
        <v>193</v>
      </c>
      <c r="G21" s="312"/>
      <c r="H21" s="336">
        <f>+AR!H21/'AR (USD)'!$H$26</f>
        <v>0</v>
      </c>
      <c r="I21" s="336">
        <f>+AR!I21/'AR (USD)'!$I$26</f>
        <v>0</v>
      </c>
      <c r="J21" s="296" t="s">
        <v>1504</v>
      </c>
      <c r="K21" s="337"/>
      <c r="L21" s="1094">
        <f>+IF(General!$D$24="NO",'Resumen Cuadros'!L18,'Resumen Cuadros'!M18)</f>
        <v>0</v>
      </c>
      <c r="M21" s="1079">
        <f>+IF(General!$D$24="NO",'Resumen Cuadros'!M18,'Resumen Cuadros'!P18)</f>
        <v>0</v>
      </c>
      <c r="Q21" s="279">
        <v>3</v>
      </c>
    </row>
    <row r="22" spans="1:17" x14ac:dyDescent="0.15">
      <c r="A22" s="342" t="s">
        <v>195</v>
      </c>
      <c r="B22" s="343" t="s">
        <v>421</v>
      </c>
      <c r="C22" s="343" t="s">
        <v>196</v>
      </c>
      <c r="D22" s="344" t="s">
        <v>425</v>
      </c>
      <c r="E22" s="344" t="s">
        <v>590</v>
      </c>
      <c r="F22" s="296" t="s">
        <v>197</v>
      </c>
      <c r="G22" s="312"/>
      <c r="H22" s="336">
        <f>+AR!H22/'AR (USD)'!$H$26</f>
        <v>0</v>
      </c>
      <c r="I22" s="336">
        <f>+AR!I22/'AR (USD)'!$I$26</f>
        <v>0</v>
      </c>
      <c r="J22" s="296" t="s">
        <v>1506</v>
      </c>
      <c r="K22" s="337"/>
      <c r="L22" s="1094" t="str">
        <f>+IF(General!$D$24="NO",'Resumen Cuadros'!L19,'Resumen Cuadros'!M19)</f>
        <v>n.d.</v>
      </c>
      <c r="M22" s="1079" t="str">
        <f>+IF(General!$D$24="NO",'Resumen Cuadros'!M19,'Resumen Cuadros'!P19)</f>
        <v>n.d.</v>
      </c>
      <c r="Q22" s="279">
        <v>2.5</v>
      </c>
    </row>
    <row r="23" spans="1:17" x14ac:dyDescent="0.15">
      <c r="A23" s="345" t="str">
        <f>IF(Cuadros!B4="","",Cuadros!B4)</f>
        <v/>
      </c>
      <c r="B23" s="1329" t="e">
        <f>+AR!B23/VLOOKUP($D$21,General!$C$36:$D$1048576,2)</f>
        <v>#N/A</v>
      </c>
      <c r="C23" s="1314" t="e">
        <f>+AR!C23/VLOOKUP('AR (USD)'!$D$21,General!$C$36:$D$1048576,2)</f>
        <v>#N/A</v>
      </c>
      <c r="D23" s="1314" t="str">
        <f>+AR!D23</f>
        <v/>
      </c>
      <c r="E23" s="1314" t="str">
        <f>+AR!E23</f>
        <v/>
      </c>
      <c r="F23" s="296" t="s">
        <v>199</v>
      </c>
      <c r="G23" s="312"/>
      <c r="H23" s="336">
        <f>+AR!H23/'AR (USD)'!$H$26</f>
        <v>0</v>
      </c>
      <c r="I23" s="336">
        <f>+AR!I23/'AR (USD)'!$I$26</f>
        <v>0</v>
      </c>
      <c r="J23" s="300" t="s">
        <v>198</v>
      </c>
      <c r="K23" s="337"/>
      <c r="L23" s="1076" t="e">
        <f>+IF(General!$D$24="NO",'Resumen Cuadros'!C43,'Resumen Cuadros'!D43)</f>
        <v>#DIV/0!</v>
      </c>
      <c r="M23" s="1077" t="e">
        <f>+IF(General!$D$24="NO",'Resumen Cuadros'!D43,'Resumen Cuadros'!F43)</f>
        <v>#DIV/0!</v>
      </c>
      <c r="Q23" s="279">
        <v>2</v>
      </c>
    </row>
    <row r="24" spans="1:17" x14ac:dyDescent="0.15">
      <c r="A24" s="345" t="str">
        <f>IF(Cuadros!B5="","",Cuadros!B5)</f>
        <v/>
      </c>
      <c r="B24" s="1329" t="e">
        <f>+AR!B24/VLOOKUP($D$21,General!$C$36:$D$1048576,2)</f>
        <v>#VALUE!</v>
      </c>
      <c r="C24" s="1314" t="e">
        <f>+AR!C24/VLOOKUP('AR (USD)'!$D$21,General!$C$36:$D$1048576,2)</f>
        <v>#N/A</v>
      </c>
      <c r="D24" s="1314" t="str">
        <f>+AR!D24</f>
        <v/>
      </c>
      <c r="E24" s="1314" t="str">
        <f>+AR!E24</f>
        <v/>
      </c>
      <c r="F24" s="296" t="s">
        <v>200</v>
      </c>
      <c r="G24" s="312"/>
      <c r="H24" s="336">
        <f ca="1">+AR!H24/'AR (USD)'!$H$26</f>
        <v>0</v>
      </c>
      <c r="I24" s="336">
        <f ca="1">+AR!I24/'AR (USD)'!$I$26</f>
        <v>0</v>
      </c>
      <c r="J24" s="682" t="s">
        <v>1502</v>
      </c>
      <c r="K24" s="337"/>
      <c r="L24" s="1087" t="e">
        <f>+IF(General!$D$24="NO",'Resumen Cuadros'!C45,'Resumen Cuadros'!D45)</f>
        <v>#DIV/0!</v>
      </c>
      <c r="M24" s="1078" t="e">
        <f>+IF(General!$D$24="NO",'Resumen Cuadros'!D45,'Resumen Cuadros'!F45)</f>
        <v>#DIV/0!</v>
      </c>
      <c r="Q24" s="279">
        <v>1.5</v>
      </c>
    </row>
    <row r="25" spans="1:17" x14ac:dyDescent="0.15">
      <c r="A25" s="345" t="str">
        <f>IF(Cuadros!B6="","",Cuadros!B6)</f>
        <v/>
      </c>
      <c r="B25" s="1329" t="e">
        <f>+AR!B25/VLOOKUP($D$21,General!$C$36:$D$1048576,2)</f>
        <v>#VALUE!</v>
      </c>
      <c r="C25" s="1314" t="e">
        <f>+AR!C25/VLOOKUP('AR (USD)'!$D$21,General!$C$36:$D$1048576,2)</f>
        <v>#N/A</v>
      </c>
      <c r="D25" s="1314" t="str">
        <f>+AR!D25</f>
        <v/>
      </c>
      <c r="E25" s="1314" t="str">
        <f>+AR!E25</f>
        <v/>
      </c>
      <c r="F25" s="296" t="s">
        <v>201</v>
      </c>
      <c r="G25" s="312"/>
      <c r="H25" s="336">
        <f>+AR!H25/'AR (USD)'!$H$26</f>
        <v>0</v>
      </c>
      <c r="I25" s="336">
        <f>+AR!I25/'AR (USD)'!$I$26</f>
        <v>0</v>
      </c>
      <c r="J25" s="682" t="s">
        <v>1503</v>
      </c>
      <c r="K25" s="337"/>
      <c r="L25" s="1087" t="e">
        <f>+IF(General!$D$24="NO",'Resumen EEFF'!C107/'Resumen EEFF'!C13,'Resumen EEFF'!D107/'Resumen EEFF'!D13)</f>
        <v>#DIV/0!</v>
      </c>
      <c r="M25" s="1078" t="e">
        <f>+IF(General!$D$24="NO",'Resumen EEFF'!D107/'Resumen EEFF'!D13,'Resumen EEFF'!V107/'Resumen EEFF'!V13)</f>
        <v>#DIV/0!</v>
      </c>
      <c r="Q25" s="279">
        <v>1</v>
      </c>
    </row>
    <row r="26" spans="1:17" x14ac:dyDescent="0.15">
      <c r="A26" s="345"/>
      <c r="B26" s="1329" t="e">
        <f>+AR!B26/VLOOKUP($D$21,General!$C$36:$D$1048576,2)</f>
        <v>#VALUE!</v>
      </c>
      <c r="C26" s="1314" t="e">
        <f>+AR!C26/VLOOKUP('AR (USD)'!$D$21,General!$C$36:$D$1048576,2)</f>
        <v>#N/A</v>
      </c>
      <c r="D26" s="1314" t="str">
        <f>+AR!D26</f>
        <v/>
      </c>
      <c r="E26" s="1314" t="str">
        <f>+AR!E26</f>
        <v/>
      </c>
      <c r="F26" s="296" t="s">
        <v>402</v>
      </c>
      <c r="G26" s="312"/>
      <c r="H26" s="346">
        <f>+VLOOKUP(H13,General!$C$36:$D$1048576,2)</f>
        <v>2984</v>
      </c>
      <c r="I26" s="346">
        <f>+VLOOKUP(I13,General!$C$36:$D$1048576,2)</f>
        <v>3249.75</v>
      </c>
      <c r="J26" s="682"/>
      <c r="K26" s="337"/>
      <c r="L26" s="1087"/>
      <c r="M26" s="1078"/>
    </row>
    <row r="27" spans="1:17" x14ac:dyDescent="0.15">
      <c r="A27" s="345" t="str">
        <f>IF(Cuadros!B7="","",Cuadros!B7)</f>
        <v/>
      </c>
      <c r="B27" s="1329" t="e">
        <f>+AR!B27/VLOOKUP($D$21,General!$C$36:$D$1048576,2)</f>
        <v>#VALUE!</v>
      </c>
      <c r="C27" s="1314" t="e">
        <f>+AR!C27/VLOOKUP('AR (USD)'!$D$21,General!$C$36:$D$1048576,2)</f>
        <v>#N/A</v>
      </c>
      <c r="D27" s="1314" t="str">
        <f>+AR!D27</f>
        <v/>
      </c>
      <c r="E27" s="1314" t="str">
        <f>+AR!E27</f>
        <v/>
      </c>
      <c r="F27" s="339"/>
      <c r="G27" s="328" t="s">
        <v>628</v>
      </c>
      <c r="H27" s="328"/>
      <c r="I27" s="339"/>
      <c r="J27" s="339"/>
      <c r="K27" s="339"/>
      <c r="L27" s="347"/>
      <c r="M27" s="348"/>
    </row>
    <row r="28" spans="1:17" x14ac:dyDescent="0.15">
      <c r="A28" s="345" t="str">
        <f>IF(Cuadros!B8="","",Cuadros!B8)</f>
        <v/>
      </c>
      <c r="B28" s="1329" t="e">
        <f>+AR!B28/VLOOKUP($D$21,General!$C$36:$D$1048576,2)</f>
        <v>#VALUE!</v>
      </c>
      <c r="C28" s="1314" t="e">
        <f>+AR!C28/VLOOKUP('AR (USD)'!$D$21,General!$C$36:$D$1048576,2)</f>
        <v>#N/A</v>
      </c>
      <c r="D28" s="1314" t="str">
        <f>+AR!D28</f>
        <v/>
      </c>
      <c r="E28" s="1314" t="str">
        <f>+AR!E28</f>
        <v/>
      </c>
      <c r="F28" s="312" t="s">
        <v>202</v>
      </c>
      <c r="G28" s="349" t="s">
        <v>1486</v>
      </c>
      <c r="H28" s="349" t="s">
        <v>1508</v>
      </c>
      <c r="I28" s="1312" t="s">
        <v>1498</v>
      </c>
      <c r="J28" s="349" t="s">
        <v>1509</v>
      </c>
      <c r="K28" s="341" t="s">
        <v>1507</v>
      </c>
      <c r="L28" s="349"/>
      <c r="M28" s="350"/>
      <c r="Q28" s="279" t="s">
        <v>597</v>
      </c>
    </row>
    <row r="29" spans="1:17" x14ac:dyDescent="0.15">
      <c r="A29" s="345" t="str">
        <f>IF(Cuadros!B9="","",Cuadros!B9)</f>
        <v/>
      </c>
      <c r="B29" s="1329" t="e">
        <f>+AR!B29/VLOOKUP($D$21,General!$C$36:$D$1048576,2)</f>
        <v>#VALUE!</v>
      </c>
      <c r="C29" s="1314" t="e">
        <f>+AR!C29/VLOOKUP('AR (USD)'!$D$21,General!$C$36:$D$1048576,2)</f>
        <v>#N/A</v>
      </c>
      <c r="D29" s="1314" t="str">
        <f>+AR!D29</f>
        <v/>
      </c>
      <c r="E29" s="1314" t="str">
        <f>+AR!E29</f>
        <v/>
      </c>
      <c r="F29" s="312" t="s">
        <v>629</v>
      </c>
      <c r="G29" s="351">
        <f>+AR!G28/'AR (USD)'!$I$26</f>
        <v>0</v>
      </c>
      <c r="H29" s="351">
        <f>+AR!H28/'AR (USD)'!$I$26</f>
        <v>0</v>
      </c>
      <c r="I29" s="1072" t="str">
        <f>+IFERROR(H29/G29,"")</f>
        <v/>
      </c>
      <c r="J29" s="351" t="e">
        <f>+AR!J28/'Posiciones (USD)'!$H$6</f>
        <v>#DIV/0!</v>
      </c>
      <c r="K29" s="351"/>
      <c r="L29" s="351"/>
      <c r="M29" s="352"/>
      <c r="Q29" s="279" t="s">
        <v>741</v>
      </c>
    </row>
    <row r="30" spans="1:17" x14ac:dyDescent="0.15">
      <c r="A30" s="345" t="str">
        <f>IF(Cuadros!B10="","",Cuadros!B10)</f>
        <v/>
      </c>
      <c r="B30" s="1329" t="e">
        <f>+AR!B30/VLOOKUP($D$21,General!$C$36:$D$1048576,2)</f>
        <v>#VALUE!</v>
      </c>
      <c r="C30" s="1314" t="e">
        <f>+AR!C30/VLOOKUP('AR (USD)'!$D$21,General!$C$36:$D$1048576,2)</f>
        <v>#N/A</v>
      </c>
      <c r="D30" s="1314" t="str">
        <f>+AR!D30</f>
        <v/>
      </c>
      <c r="E30" s="1314" t="str">
        <f>+AR!E30</f>
        <v/>
      </c>
      <c r="F30" s="312" t="s">
        <v>562</v>
      </c>
      <c r="G30" s="351">
        <f>+AR!G29/'AR (USD)'!$I$26</f>
        <v>0</v>
      </c>
      <c r="H30" s="351">
        <f>+AR!H29/'AR (USD)'!$I$26</f>
        <v>0</v>
      </c>
      <c r="I30" s="1072" t="str">
        <f t="shared" ref="I30:I34" si="0">+IFERROR(H30/G30,"")</f>
        <v/>
      </c>
      <c r="J30" s="351" t="e">
        <f>+AR!J29/'Posiciones (USD)'!$H$6</f>
        <v>#DIV/0!</v>
      </c>
      <c r="K30" s="351"/>
      <c r="L30" s="351"/>
      <c r="M30" s="352"/>
      <c r="Q30" s="681" t="s">
        <v>1783</v>
      </c>
    </row>
    <row r="31" spans="1:17" x14ac:dyDescent="0.15">
      <c r="A31" s="345" t="str">
        <f>IF(Cuadros!B11="","",Cuadros!B11)</f>
        <v/>
      </c>
      <c r="B31" s="1329" t="e">
        <f>+AR!B31/VLOOKUP($D$21,General!$C$36:$D$1048576,2)</f>
        <v>#VALUE!</v>
      </c>
      <c r="C31" s="1314" t="e">
        <f>+AR!C31/VLOOKUP('AR (USD)'!$D$21,General!$C$36:$D$1048576,2)</f>
        <v>#N/A</v>
      </c>
      <c r="D31" s="1314" t="str">
        <f>+AR!D31</f>
        <v/>
      </c>
      <c r="E31" s="1314" t="str">
        <f>+AR!E31</f>
        <v/>
      </c>
      <c r="F31" s="312" t="s">
        <v>630</v>
      </c>
      <c r="G31" s="351">
        <f>+AR!G30/'AR (USD)'!$I$26</f>
        <v>0</v>
      </c>
      <c r="H31" s="351">
        <f>+AR!H30/'AR (USD)'!$I$26</f>
        <v>0</v>
      </c>
      <c r="I31" s="1072" t="str">
        <f t="shared" si="0"/>
        <v/>
      </c>
      <c r="J31" s="351" t="e">
        <f>+AR!J30/'Posiciones (USD)'!$H$6</f>
        <v>#DIV/0!</v>
      </c>
      <c r="K31" s="1082" t="str">
        <f t="shared" ref="K31:K34" si="1">+IFERROR((J31/H31)-1,"")</f>
        <v/>
      </c>
      <c r="L31" s="351"/>
      <c r="M31" s="352"/>
    </row>
    <row r="32" spans="1:17" x14ac:dyDescent="0.15">
      <c r="A32" s="345" t="str">
        <f>IF(Cuadros!B12="","",Cuadros!B12)</f>
        <v/>
      </c>
      <c r="B32" s="1329" t="e">
        <f>+AR!B32/VLOOKUP($D$21,General!$C$36:$D$1048576,2)</f>
        <v>#VALUE!</v>
      </c>
      <c r="C32" s="1314" t="e">
        <f>+AR!C32/VLOOKUP('AR (USD)'!$D$21,General!$C$36:$D$1048576,2)</f>
        <v>#N/A</v>
      </c>
      <c r="D32" s="1314" t="str">
        <f>+AR!D32</f>
        <v/>
      </c>
      <c r="E32" s="1314" t="str">
        <f>+AR!E32</f>
        <v/>
      </c>
      <c r="F32" s="312" t="s">
        <v>632</v>
      </c>
      <c r="G32" s="351">
        <f>+AR!G31/'AR (USD)'!$I$26</f>
        <v>0</v>
      </c>
      <c r="H32" s="351">
        <f>+AR!H31/'AR (USD)'!$I$26</f>
        <v>0</v>
      </c>
      <c r="I32" s="1072" t="str">
        <f t="shared" si="0"/>
        <v/>
      </c>
      <c r="J32" s="351" t="e">
        <f>+AR!J31/'Posiciones (USD)'!$H$6</f>
        <v>#DIV/0!</v>
      </c>
      <c r="K32" s="1082" t="str">
        <f t="shared" si="1"/>
        <v/>
      </c>
      <c r="L32" s="351"/>
      <c r="M32" s="352"/>
    </row>
    <row r="33" spans="1:22" x14ac:dyDescent="0.15">
      <c r="A33" s="345" t="str">
        <f>IF(Cuadros!B13="","",Cuadros!B13)</f>
        <v/>
      </c>
      <c r="B33" s="1329" t="e">
        <f>+AR!B33/VLOOKUP($D$21,General!$C$36:$D$1048576,2)</f>
        <v>#VALUE!</v>
      </c>
      <c r="C33" s="1314" t="e">
        <f>+AR!C33/VLOOKUP('AR (USD)'!$D$21,General!$C$36:$D$1048576,2)</f>
        <v>#N/A</v>
      </c>
      <c r="D33" s="1314" t="str">
        <f>+AR!D33</f>
        <v/>
      </c>
      <c r="E33" s="1314" t="str">
        <f>+AR!E33</f>
        <v/>
      </c>
      <c r="F33" s="312" t="s">
        <v>633</v>
      </c>
      <c r="G33" s="351">
        <f>+AR!G32/'AR (USD)'!$I$26</f>
        <v>0</v>
      </c>
      <c r="H33" s="351">
        <f>+AR!H32/'AR (USD)'!$I$26</f>
        <v>0</v>
      </c>
      <c r="I33" s="1072" t="str">
        <f t="shared" si="0"/>
        <v/>
      </c>
      <c r="J33" s="351" t="e">
        <f>+AR!J32/'Posiciones (USD)'!$H$6</f>
        <v>#DIV/0!</v>
      </c>
      <c r="K33" s="1082" t="str">
        <f t="shared" si="1"/>
        <v/>
      </c>
      <c r="L33" s="351"/>
      <c r="M33" s="352"/>
    </row>
    <row r="34" spans="1:22" s="293" customFormat="1" x14ac:dyDescent="0.15">
      <c r="A34" s="345" t="str">
        <f>IF(Cuadros!B14="","","Otros")</f>
        <v/>
      </c>
      <c r="B34" s="1329" t="e">
        <f>+AR!B34/VLOOKUP($D$21,General!$C$36:$D$1048576,2)</f>
        <v>#N/A</v>
      </c>
      <c r="C34" s="1314" t="e">
        <f>+AR!C34/VLOOKUP('AR (USD)'!$D$21,General!$C$36:$D$1048576,2)</f>
        <v>#N/A</v>
      </c>
      <c r="D34" s="1314">
        <f>+AR!D34</f>
        <v>0</v>
      </c>
      <c r="E34" s="1314">
        <f>+AR!E34</f>
        <v>0</v>
      </c>
      <c r="F34" s="296" t="s">
        <v>203</v>
      </c>
      <c r="G34" s="1080">
        <f>SUM(G29:G33)</f>
        <v>0</v>
      </c>
      <c r="H34" s="1080">
        <f>SUM(H29:H33)</f>
        <v>0</v>
      </c>
      <c r="I34" s="1081" t="str">
        <f t="shared" si="0"/>
        <v/>
      </c>
      <c r="J34" s="1080" t="e">
        <f>SUM(J29:J33)</f>
        <v>#DIV/0!</v>
      </c>
      <c r="K34" s="1083" t="str">
        <f t="shared" si="1"/>
        <v/>
      </c>
      <c r="L34" s="1080"/>
      <c r="M34" s="1095"/>
      <c r="N34" s="279"/>
      <c r="O34" s="279"/>
      <c r="P34" s="279"/>
      <c r="Q34" s="279"/>
      <c r="R34" s="279"/>
      <c r="S34" s="279"/>
      <c r="T34" s="279"/>
      <c r="V34" s="279"/>
    </row>
    <row r="35" spans="1:22" s="293" customFormat="1" x14ac:dyDescent="0.15">
      <c r="A35" s="311" t="s">
        <v>204</v>
      </c>
      <c r="B35" s="353" t="e">
        <f>SUM(B23:B34)</f>
        <v>#N/A</v>
      </c>
      <c r="C35" s="353" t="e">
        <f>SUM(C23:C34)</f>
        <v>#N/A</v>
      </c>
      <c r="D35" s="1306"/>
      <c r="E35" s="1306"/>
      <c r="F35" s="286"/>
      <c r="G35" s="1314"/>
      <c r="H35" s="1314"/>
      <c r="I35" s="1314"/>
      <c r="J35" s="1314"/>
      <c r="K35" s="354"/>
      <c r="L35" s="355"/>
      <c r="M35" s="356"/>
      <c r="N35" s="279"/>
      <c r="O35" s="279"/>
      <c r="P35" s="681" t="s">
        <v>1510</v>
      </c>
      <c r="Q35" s="279"/>
      <c r="R35" s="279"/>
      <c r="S35" s="279"/>
      <c r="T35" s="279" t="s">
        <v>521</v>
      </c>
      <c r="V35" s="279"/>
    </row>
    <row r="36" spans="1:22" s="293" customFormat="1" x14ac:dyDescent="0.15">
      <c r="A36" s="338"/>
      <c r="B36" s="339"/>
      <c r="C36" s="339"/>
      <c r="D36" s="328" t="s">
        <v>205</v>
      </c>
      <c r="E36" s="339"/>
      <c r="F36" s="339"/>
      <c r="G36" s="339"/>
      <c r="H36" s="339"/>
      <c r="I36" s="339"/>
      <c r="J36" s="339"/>
      <c r="K36" s="347"/>
      <c r="L36" s="347"/>
      <c r="M36" s="348"/>
      <c r="N36" s="279"/>
      <c r="O36" s="279"/>
      <c r="P36" s="681" t="s">
        <v>1344</v>
      </c>
      <c r="Q36" s="279"/>
      <c r="R36" s="279"/>
      <c r="S36" s="279"/>
      <c r="T36" s="279" t="s">
        <v>522</v>
      </c>
      <c r="V36" s="279"/>
    </row>
    <row r="37" spans="1:22" s="293" customFormat="1" x14ac:dyDescent="0.15">
      <c r="A37" s="332"/>
      <c r="B37" s="333" t="s">
        <v>206</v>
      </c>
      <c r="C37" s="333"/>
      <c r="D37" s="333" t="s">
        <v>207</v>
      </c>
      <c r="E37" s="333" t="s">
        <v>208</v>
      </c>
      <c r="F37" s="333" t="s">
        <v>209</v>
      </c>
      <c r="G37" s="333"/>
      <c r="H37" s="333"/>
      <c r="I37" s="333"/>
      <c r="J37" s="333" t="s">
        <v>210</v>
      </c>
      <c r="K37" s="337"/>
      <c r="L37" s="337"/>
      <c r="M37" s="357"/>
      <c r="N37" s="279"/>
      <c r="O37" s="279"/>
      <c r="P37" s="681" t="s">
        <v>1489</v>
      </c>
      <c r="Q37" s="279"/>
      <c r="R37" s="279"/>
      <c r="S37" s="279"/>
      <c r="T37" s="681" t="s">
        <v>1515</v>
      </c>
      <c r="V37" s="279"/>
    </row>
    <row r="38" spans="1:22" s="293" customFormat="1" x14ac:dyDescent="0.15">
      <c r="A38" s="358" t="s">
        <v>211</v>
      </c>
      <c r="B38" s="312" t="s">
        <v>212</v>
      </c>
      <c r="C38" s="286"/>
      <c r="D38" s="1306"/>
      <c r="E38" s="1306"/>
      <c r="F38" s="1306"/>
      <c r="G38" s="1308"/>
      <c r="H38" s="1308"/>
      <c r="I38" s="3432"/>
      <c r="J38" s="3432"/>
      <c r="K38" s="3432"/>
      <c r="L38" s="3432"/>
      <c r="M38" s="3433"/>
      <c r="N38" s="279"/>
      <c r="O38" s="279"/>
      <c r="P38" s="681" t="s">
        <v>1511</v>
      </c>
      <c r="Q38" s="279"/>
      <c r="R38" s="279"/>
      <c r="S38" s="279"/>
      <c r="T38" s="681" t="s">
        <v>1358</v>
      </c>
      <c r="V38" s="279"/>
    </row>
    <row r="39" spans="1:22" s="293" customFormat="1" x14ac:dyDescent="0.15">
      <c r="A39" s="358" t="s">
        <v>213</v>
      </c>
      <c r="B39" s="312" t="s">
        <v>214</v>
      </c>
      <c r="C39" s="286"/>
      <c r="D39" s="1306"/>
      <c r="E39" s="1306"/>
      <c r="F39" s="1306"/>
      <c r="G39" s="1308"/>
      <c r="H39" s="1308"/>
      <c r="I39" s="3432"/>
      <c r="J39" s="3432"/>
      <c r="K39" s="3432"/>
      <c r="L39" s="3432"/>
      <c r="M39" s="3433"/>
      <c r="N39" s="279"/>
      <c r="O39" s="279"/>
      <c r="P39" s="279" t="s">
        <v>518</v>
      </c>
      <c r="Q39" s="279"/>
      <c r="R39" s="279"/>
      <c r="S39" s="279" t="s">
        <v>523</v>
      </c>
      <c r="T39" s="681" t="s">
        <v>1359</v>
      </c>
      <c r="V39" s="279"/>
    </row>
    <row r="40" spans="1:22" s="293" customFormat="1" x14ac:dyDescent="0.15">
      <c r="A40" s="358" t="s">
        <v>215</v>
      </c>
      <c r="B40" s="312" t="s">
        <v>216</v>
      </c>
      <c r="C40" s="286"/>
      <c r="D40" s="1306"/>
      <c r="E40" s="1306"/>
      <c r="F40" s="1306"/>
      <c r="G40" s="1308"/>
      <c r="H40" s="1308"/>
      <c r="I40" s="3432"/>
      <c r="J40" s="3432"/>
      <c r="K40" s="3432"/>
      <c r="L40" s="3432"/>
      <c r="M40" s="3433"/>
      <c r="N40" s="279"/>
      <c r="O40" s="279"/>
      <c r="P40" s="681" t="s">
        <v>1512</v>
      </c>
      <c r="Q40" s="279"/>
      <c r="R40" s="279"/>
      <c r="S40" s="279" t="s">
        <v>524</v>
      </c>
      <c r="T40" s="681" t="s">
        <v>1360</v>
      </c>
      <c r="V40" s="279"/>
    </row>
    <row r="41" spans="1:22" s="293" customFormat="1" x14ac:dyDescent="0.15">
      <c r="A41" s="358" t="s">
        <v>217</v>
      </c>
      <c r="B41" s="312" t="s">
        <v>218</v>
      </c>
      <c r="C41" s="286"/>
      <c r="D41" s="1306"/>
      <c r="E41" s="1306"/>
      <c r="F41" s="1306"/>
      <c r="G41" s="1308"/>
      <c r="H41" s="1308"/>
      <c r="I41" s="3432"/>
      <c r="J41" s="3432"/>
      <c r="K41" s="3432"/>
      <c r="L41" s="3432"/>
      <c r="M41" s="3433"/>
      <c r="N41" s="279"/>
      <c r="O41" s="279"/>
      <c r="P41" s="279" t="s">
        <v>520</v>
      </c>
      <c r="Q41" s="279"/>
      <c r="R41" s="279"/>
      <c r="S41" s="279" t="s">
        <v>525</v>
      </c>
      <c r="T41" s="681" t="s">
        <v>1361</v>
      </c>
      <c r="V41" s="279"/>
    </row>
    <row r="42" spans="1:22" s="293" customFormat="1" x14ac:dyDescent="0.15">
      <c r="A42" s="359" t="s">
        <v>219</v>
      </c>
      <c r="B42" s="360"/>
      <c r="C42" s="361">
        <f>+Posiciones!F25+Posiciones!F31+Posiciones!F37+Posiciones!F43+Posiciones!F49+Posiciones!F55+Posiciones!F61</f>
        <v>0</v>
      </c>
      <c r="D42" s="362" t="s">
        <v>221</v>
      </c>
      <c r="E42" s="363"/>
      <c r="F42" s="362" t="s">
        <v>222</v>
      </c>
      <c r="G42" s="361">
        <f>+Posiciones!G25+Posiciones!G31+Posiciones!G37+Posiciones!G43+Posiciones!G49+Posiciones!G55+Posiciones!G61</f>
        <v>0</v>
      </c>
      <c r="H42" s="361"/>
      <c r="I42" s="360"/>
      <c r="J42" s="364" t="s">
        <v>223</v>
      </c>
      <c r="K42" s="360"/>
      <c r="L42" s="365">
        <v>0</v>
      </c>
      <c r="M42" s="366"/>
      <c r="N42" s="279"/>
      <c r="O42" s="279"/>
      <c r="P42" s="681" t="s">
        <v>1362</v>
      </c>
      <c r="Q42" s="279"/>
      <c r="R42" s="279"/>
      <c r="S42" s="681" t="s">
        <v>1490</v>
      </c>
      <c r="T42" s="681" t="s">
        <v>1491</v>
      </c>
      <c r="V42" s="279"/>
    </row>
    <row r="43" spans="1:22" s="293" customFormat="1" x14ac:dyDescent="0.15">
      <c r="A43" s="359" t="s">
        <v>224</v>
      </c>
      <c r="B43" s="360"/>
      <c r="C43" s="361">
        <f>+Posiciones!F18</f>
        <v>0</v>
      </c>
      <c r="D43" s="362" t="s">
        <v>221</v>
      </c>
      <c r="E43" s="363">
        <f>+Posiciones!C10</f>
        <v>0</v>
      </c>
      <c r="F43" s="362" t="s">
        <v>222</v>
      </c>
      <c r="G43" s="361">
        <f>+Posiciones!G18</f>
        <v>0</v>
      </c>
      <c r="H43" s="361"/>
      <c r="I43" s="360"/>
      <c r="J43" s="364" t="s">
        <v>225</v>
      </c>
      <c r="K43" s="360"/>
      <c r="L43" s="365">
        <v>0</v>
      </c>
      <c r="M43" s="366"/>
      <c r="N43" s="279"/>
      <c r="O43" s="279"/>
      <c r="P43" s="681" t="s">
        <v>1363</v>
      </c>
      <c r="Q43" s="279"/>
      <c r="R43" s="279"/>
      <c r="S43" s="279"/>
      <c r="T43" s="681" t="s">
        <v>1492</v>
      </c>
      <c r="V43" s="279"/>
    </row>
    <row r="44" spans="1:22" s="293" customFormat="1" x14ac:dyDescent="0.15">
      <c r="A44" s="367" t="s">
        <v>497</v>
      </c>
      <c r="B44" s="360"/>
      <c r="C44" s="368">
        <f>+C42+C43</f>
        <v>0</v>
      </c>
      <c r="D44" s="362"/>
      <c r="E44" s="369"/>
      <c r="F44" s="362"/>
      <c r="G44" s="368">
        <f>+G43+G42</f>
        <v>0</v>
      </c>
      <c r="H44" s="368"/>
      <c r="I44" s="360"/>
      <c r="J44" s="360"/>
      <c r="K44" s="360"/>
      <c r="L44" s="360"/>
      <c r="M44" s="366"/>
      <c r="N44" s="279"/>
      <c r="O44" s="279"/>
      <c r="P44" s="681" t="s">
        <v>1364</v>
      </c>
      <c r="Q44" s="279"/>
      <c r="R44" s="279"/>
      <c r="S44" s="279"/>
      <c r="T44" s="681" t="s">
        <v>1493</v>
      </c>
      <c r="V44" s="279"/>
    </row>
    <row r="45" spans="1:22" s="293" customFormat="1" ht="18" x14ac:dyDescent="0.15">
      <c r="A45" s="370"/>
      <c r="B45" s="286"/>
      <c r="C45" s="371"/>
      <c r="D45" s="372" t="s">
        <v>1782</v>
      </c>
      <c r="E45" s="286"/>
      <c r="F45" s="286"/>
      <c r="G45" s="286" t="s">
        <v>1797</v>
      </c>
      <c r="H45" s="286"/>
      <c r="I45" s="286"/>
      <c r="J45" s="373"/>
      <c r="K45" s="286"/>
      <c r="L45" s="373"/>
      <c r="M45" s="374"/>
      <c r="N45" s="375"/>
      <c r="O45" s="375"/>
      <c r="P45" s="681" t="s">
        <v>1365</v>
      </c>
      <c r="Q45" s="279"/>
      <c r="R45" s="279"/>
      <c r="S45" s="279"/>
      <c r="T45" s="681" t="s">
        <v>1494</v>
      </c>
      <c r="V45" s="279"/>
    </row>
    <row r="46" spans="1:22" s="293" customFormat="1" x14ac:dyDescent="0.15">
      <c r="A46" s="332"/>
      <c r="B46" s="333"/>
      <c r="C46" s="333" t="s">
        <v>227</v>
      </c>
      <c r="D46" s="333" t="s">
        <v>228</v>
      </c>
      <c r="E46" s="333" t="s">
        <v>229</v>
      </c>
      <c r="F46" s="333" t="s">
        <v>230</v>
      </c>
      <c r="G46" s="333" t="s">
        <v>231</v>
      </c>
      <c r="H46" s="333" t="s">
        <v>232</v>
      </c>
      <c r="I46" s="333" t="s">
        <v>233</v>
      </c>
      <c r="J46" s="333" t="s">
        <v>234</v>
      </c>
      <c r="K46" s="333" t="s">
        <v>235</v>
      </c>
      <c r="L46" s="296" t="s">
        <v>236</v>
      </c>
      <c r="M46" s="376"/>
      <c r="N46" s="375"/>
      <c r="O46" s="375"/>
      <c r="P46" s="681" t="s">
        <v>1366</v>
      </c>
      <c r="Q46" s="279"/>
      <c r="R46" s="279"/>
      <c r="S46" s="279"/>
      <c r="T46" s="681" t="s">
        <v>1495</v>
      </c>
      <c r="V46" s="279"/>
    </row>
    <row r="47" spans="1:22" s="293" customFormat="1" x14ac:dyDescent="0.15">
      <c r="A47" s="377" t="s">
        <v>974</v>
      </c>
      <c r="B47" s="286"/>
      <c r="C47" s="3423"/>
      <c r="D47" s="1313" t="s">
        <v>977</v>
      </c>
      <c r="E47" s="1313"/>
      <c r="F47" s="1306"/>
      <c r="G47" s="1306"/>
      <c r="H47" s="3424"/>
      <c r="I47" s="1315"/>
      <c r="J47" s="1306"/>
      <c r="K47" s="3425">
        <f>+AR!K46</f>
        <v>0</v>
      </c>
      <c r="L47" s="3426">
        <f>+AR!L46</f>
        <v>0</v>
      </c>
      <c r="M47" s="1307"/>
      <c r="N47" s="375"/>
      <c r="O47" s="375"/>
      <c r="P47" s="681" t="s">
        <v>1367</v>
      </c>
      <c r="Q47" s="279"/>
      <c r="R47" s="279"/>
      <c r="S47" s="279"/>
      <c r="T47" s="681" t="s">
        <v>1496</v>
      </c>
      <c r="V47" s="279"/>
    </row>
    <row r="48" spans="1:22" s="293" customFormat="1" x14ac:dyDescent="0.15">
      <c r="A48" s="377" t="s">
        <v>975</v>
      </c>
      <c r="B48" s="286"/>
      <c r="C48" s="3423"/>
      <c r="D48" s="1313" t="s">
        <v>528</v>
      </c>
      <c r="E48" s="1313"/>
      <c r="F48" s="1306"/>
      <c r="G48" s="1306"/>
      <c r="H48" s="3424"/>
      <c r="I48" s="1315"/>
      <c r="J48" s="1306"/>
      <c r="K48" s="3425"/>
      <c r="L48" s="3426"/>
      <c r="M48" s="1307"/>
      <c r="N48" s="375"/>
      <c r="O48" s="375"/>
      <c r="P48" s="681" t="s">
        <v>1368</v>
      </c>
      <c r="Q48" s="279"/>
      <c r="R48" s="279"/>
      <c r="S48" s="279"/>
      <c r="T48" s="681" t="s">
        <v>1497</v>
      </c>
      <c r="V48" s="279"/>
    </row>
    <row r="49" spans="1:22" s="293" customFormat="1" x14ac:dyDescent="0.15">
      <c r="A49" s="377" t="s">
        <v>976</v>
      </c>
      <c r="B49" s="286"/>
      <c r="C49" s="3423"/>
      <c r="D49" s="1313" t="s">
        <v>528</v>
      </c>
      <c r="E49" s="1313"/>
      <c r="F49" s="1306"/>
      <c r="G49" s="1306"/>
      <c r="H49" s="3424"/>
      <c r="I49" s="1315"/>
      <c r="J49" s="1315"/>
      <c r="K49" s="3425"/>
      <c r="L49" s="3426"/>
      <c r="M49" s="1307"/>
      <c r="N49" s="375"/>
      <c r="O49" s="375"/>
      <c r="P49" s="681" t="s">
        <v>1369</v>
      </c>
      <c r="Q49" s="279"/>
      <c r="R49" s="279"/>
      <c r="S49" s="279"/>
      <c r="T49" s="279"/>
      <c r="V49" s="279"/>
    </row>
    <row r="50" spans="1:22" s="293" customFormat="1" x14ac:dyDescent="0.15">
      <c r="A50" s="377" t="s">
        <v>237</v>
      </c>
      <c r="B50" s="286"/>
      <c r="C50" s="3423"/>
      <c r="D50" s="1313" t="s">
        <v>530</v>
      </c>
      <c r="E50" s="1313"/>
      <c r="F50" s="1306"/>
      <c r="G50" s="1306"/>
      <c r="H50" s="3424"/>
      <c r="I50" s="1315"/>
      <c r="J50" s="1306"/>
      <c r="K50" s="3425"/>
      <c r="L50" s="3426"/>
      <c r="M50" s="1307"/>
      <c r="N50" s="375"/>
      <c r="O50" s="375"/>
      <c r="P50" s="681" t="s">
        <v>1370</v>
      </c>
      <c r="Q50" s="279"/>
      <c r="R50" s="279"/>
      <c r="S50" s="279"/>
      <c r="T50" s="279"/>
      <c r="V50" s="279"/>
    </row>
    <row r="51" spans="1:22" s="293" customFormat="1" ht="12.75" hidden="1" customHeight="1" x14ac:dyDescent="0.15">
      <c r="A51" s="377" t="s">
        <v>239</v>
      </c>
      <c r="B51" s="286"/>
      <c r="C51" s="1314"/>
      <c r="D51" s="1313"/>
      <c r="E51" s="1313"/>
      <c r="F51" s="1306"/>
      <c r="G51" s="1306"/>
      <c r="H51" s="3424"/>
      <c r="I51" s="1315"/>
      <c r="J51" s="1306"/>
      <c r="K51" s="3425"/>
      <c r="L51" s="3426"/>
      <c r="M51" s="1307"/>
      <c r="N51" s="375"/>
      <c r="O51" s="375"/>
      <c r="P51" s="681" t="s">
        <v>1371</v>
      </c>
      <c r="Q51" s="279"/>
      <c r="R51" s="279"/>
      <c r="S51" s="279"/>
      <c r="T51" s="279"/>
      <c r="V51" s="279"/>
    </row>
    <row r="52" spans="1:22" s="293" customFormat="1" x14ac:dyDescent="0.15">
      <c r="A52" s="377" t="s">
        <v>240</v>
      </c>
      <c r="B52" s="286"/>
      <c r="C52" s="1314"/>
      <c r="D52" s="1313" t="s">
        <v>528</v>
      </c>
      <c r="E52" s="1313"/>
      <c r="F52" s="1306"/>
      <c r="G52" s="1306"/>
      <c r="H52" s="3424"/>
      <c r="I52" s="1315"/>
      <c r="J52" s="1306"/>
      <c r="K52" s="3425"/>
      <c r="L52" s="3426"/>
      <c r="M52" s="1307"/>
      <c r="N52" s="375"/>
      <c r="O52" s="375"/>
      <c r="P52" s="681" t="s">
        <v>1372</v>
      </c>
      <c r="Q52" s="279"/>
      <c r="R52" s="279"/>
      <c r="S52" s="279"/>
      <c r="T52" s="279"/>
      <c r="V52" s="279"/>
    </row>
    <row r="53" spans="1:22" s="293" customFormat="1" x14ac:dyDescent="0.15">
      <c r="A53" s="377" t="s">
        <v>238</v>
      </c>
      <c r="B53" s="286"/>
      <c r="C53" s="1314"/>
      <c r="D53" s="1306" t="s">
        <v>1748</v>
      </c>
      <c r="E53" s="1313"/>
      <c r="F53" s="1306"/>
      <c r="G53" s="1306"/>
      <c r="H53" s="3424"/>
      <c r="I53" s="1315"/>
      <c r="J53" s="1306"/>
      <c r="K53" s="3425"/>
      <c r="L53" s="3426"/>
      <c r="M53" s="1307"/>
      <c r="N53" s="375"/>
      <c r="O53" s="375"/>
      <c r="P53" s="681" t="s">
        <v>1373</v>
      </c>
      <c r="Q53" s="279"/>
      <c r="R53" s="279"/>
      <c r="S53" s="279"/>
      <c r="T53" s="279"/>
      <c r="V53" s="279"/>
    </row>
    <row r="54" spans="1:22" s="293" customFormat="1" ht="18" x14ac:dyDescent="0.15">
      <c r="A54" s="370"/>
      <c r="B54" s="286"/>
      <c r="C54" s="371"/>
      <c r="D54" s="372" t="s">
        <v>241</v>
      </c>
      <c r="E54" s="286"/>
      <c r="F54" s="286"/>
      <c r="G54" s="286"/>
      <c r="H54" s="286"/>
      <c r="I54" s="373"/>
      <c r="J54" s="286"/>
      <c r="K54" s="373"/>
      <c r="L54" s="286"/>
      <c r="M54" s="374"/>
      <c r="N54" s="375"/>
      <c r="O54" s="375"/>
      <c r="P54" s="279"/>
      <c r="Q54" s="279"/>
      <c r="R54" s="279"/>
      <c r="S54" s="279"/>
      <c r="T54" s="279"/>
      <c r="V54" s="279"/>
    </row>
    <row r="55" spans="1:22" s="293" customFormat="1" x14ac:dyDescent="0.15">
      <c r="A55" s="378" t="s">
        <v>242</v>
      </c>
      <c r="B55" s="360"/>
      <c r="C55" s="379">
        <f>SUM(C57:C63)</f>
        <v>0</v>
      </c>
      <c r="D55" s="362" t="s">
        <v>634</v>
      </c>
      <c r="E55" s="360" t="s">
        <v>977</v>
      </c>
      <c r="F55" s="360"/>
      <c r="G55" s="380" t="s">
        <v>635</v>
      </c>
      <c r="H55" s="380"/>
      <c r="I55" s="360"/>
      <c r="J55" s="330"/>
      <c r="K55" s="330"/>
      <c r="L55" s="330"/>
      <c r="M55" s="331"/>
      <c r="N55" s="279"/>
      <c r="O55" s="279"/>
      <c r="P55" s="279"/>
      <c r="Q55" s="279"/>
      <c r="R55" s="279"/>
      <c r="S55" s="279"/>
      <c r="T55" s="279"/>
      <c r="V55" s="279"/>
    </row>
    <row r="56" spans="1:22" s="293" customFormat="1" x14ac:dyDescent="0.15">
      <c r="A56" s="381"/>
      <c r="B56" s="333"/>
      <c r="C56" s="333" t="s">
        <v>227</v>
      </c>
      <c r="D56" s="333" t="s">
        <v>228</v>
      </c>
      <c r="E56" s="333" t="s">
        <v>229</v>
      </c>
      <c r="F56" s="333" t="s">
        <v>232</v>
      </c>
      <c r="G56" s="333" t="s">
        <v>233</v>
      </c>
      <c r="H56" s="333" t="s">
        <v>234</v>
      </c>
      <c r="I56" s="333" t="s">
        <v>235</v>
      </c>
      <c r="J56" s="333" t="s">
        <v>243</v>
      </c>
      <c r="K56" s="3427" t="s">
        <v>244</v>
      </c>
      <c r="L56" s="3427"/>
      <c r="M56" s="3428"/>
      <c r="N56" s="279"/>
      <c r="O56" s="279"/>
      <c r="P56" s="279"/>
      <c r="Q56" s="279"/>
      <c r="R56" s="279"/>
      <c r="S56" s="279"/>
      <c r="T56" s="279"/>
      <c r="V56" s="279"/>
    </row>
    <row r="57" spans="1:22" s="293" customFormat="1" x14ac:dyDescent="0.15">
      <c r="A57" s="377" t="s">
        <v>974</v>
      </c>
      <c r="B57" s="286"/>
      <c r="C57" s="3429"/>
      <c r="D57" s="1313"/>
      <c r="E57" s="1313"/>
      <c r="F57" s="3424"/>
      <c r="G57" s="1316"/>
      <c r="H57" s="1313"/>
      <c r="I57" s="3430"/>
      <c r="J57" s="3431">
        <f>+H79</f>
        <v>3.9000000000000004</v>
      </c>
      <c r="K57" s="3417"/>
      <c r="L57" s="3417"/>
      <c r="M57" s="3418"/>
      <c r="N57" s="279"/>
      <c r="O57" s="279"/>
      <c r="P57" s="279" t="s">
        <v>526</v>
      </c>
      <c r="Q57" s="279"/>
      <c r="R57" s="279" t="s">
        <v>532</v>
      </c>
      <c r="S57" s="279"/>
      <c r="T57" s="279" t="s">
        <v>536</v>
      </c>
      <c r="V57" s="279"/>
    </row>
    <row r="58" spans="1:22" s="293" customFormat="1" x14ac:dyDescent="0.15">
      <c r="A58" s="377" t="s">
        <v>975</v>
      </c>
      <c r="B58" s="286"/>
      <c r="C58" s="3429"/>
      <c r="D58" s="1313"/>
      <c r="E58" s="1313"/>
      <c r="F58" s="3424"/>
      <c r="G58" s="1316"/>
      <c r="H58" s="1313"/>
      <c r="I58" s="3430"/>
      <c r="J58" s="3424"/>
      <c r="K58" s="3417"/>
      <c r="L58" s="3417"/>
      <c r="M58" s="3418"/>
      <c r="N58" s="279"/>
      <c r="O58" s="279"/>
      <c r="P58" s="279" t="s">
        <v>527</v>
      </c>
      <c r="Q58" s="279"/>
      <c r="R58" s="279" t="s">
        <v>533</v>
      </c>
      <c r="S58" s="279"/>
      <c r="T58" s="279">
        <v>1</v>
      </c>
      <c r="V58" s="279"/>
    </row>
    <row r="59" spans="1:22" s="293" customFormat="1" x14ac:dyDescent="0.15">
      <c r="A59" s="377" t="s">
        <v>976</v>
      </c>
      <c r="B59" s="286"/>
      <c r="C59" s="3429"/>
      <c r="D59" s="1313"/>
      <c r="E59" s="1313"/>
      <c r="F59" s="3424"/>
      <c r="G59" s="1316"/>
      <c r="H59" s="1316"/>
      <c r="I59" s="3430"/>
      <c r="J59" s="3424"/>
      <c r="K59" s="3417"/>
      <c r="L59" s="3417"/>
      <c r="M59" s="3418"/>
      <c r="N59" s="279"/>
      <c r="O59" s="279"/>
      <c r="P59" s="279" t="s">
        <v>977</v>
      </c>
      <c r="Q59" s="279"/>
      <c r="R59" s="279" t="s">
        <v>850</v>
      </c>
      <c r="S59" s="279"/>
      <c r="T59" s="279">
        <v>2</v>
      </c>
      <c r="V59" s="279"/>
    </row>
    <row r="60" spans="1:22" s="293" customFormat="1" ht="12.75" customHeight="1" x14ac:dyDescent="0.15">
      <c r="A60" s="377" t="s">
        <v>237</v>
      </c>
      <c r="B60" s="286"/>
      <c r="C60" s="3429"/>
      <c r="D60" s="1313"/>
      <c r="E60" s="1313"/>
      <c r="F60" s="3424"/>
      <c r="G60" s="1316"/>
      <c r="H60" s="1313"/>
      <c r="I60" s="3430"/>
      <c r="J60" s="3424"/>
      <c r="K60" s="3417"/>
      <c r="L60" s="3417"/>
      <c r="M60" s="3418"/>
      <c r="N60" s="279"/>
      <c r="O60" s="279"/>
      <c r="P60" s="279" t="s">
        <v>528</v>
      </c>
      <c r="Q60" s="279"/>
      <c r="R60" s="279" t="s">
        <v>851</v>
      </c>
      <c r="S60" s="279"/>
      <c r="T60" s="279">
        <v>3</v>
      </c>
      <c r="V60" s="279"/>
    </row>
    <row r="61" spans="1:22" s="293" customFormat="1" ht="12.75" customHeight="1" x14ac:dyDescent="0.15">
      <c r="A61" s="377" t="s">
        <v>239</v>
      </c>
      <c r="B61" s="286"/>
      <c r="C61" s="3429"/>
      <c r="D61" s="1313"/>
      <c r="E61" s="1313"/>
      <c r="F61" s="3424"/>
      <c r="G61" s="1315"/>
      <c r="H61" s="1306"/>
      <c r="I61" s="3430"/>
      <c r="J61" s="3424"/>
      <c r="K61" s="3417"/>
      <c r="L61" s="3417"/>
      <c r="M61" s="3418"/>
      <c r="N61" s="279"/>
      <c r="O61" s="279"/>
      <c r="P61" s="279" t="s">
        <v>529</v>
      </c>
      <c r="Q61" s="279"/>
      <c r="R61" s="279" t="s">
        <v>534</v>
      </c>
      <c r="S61" s="279"/>
      <c r="T61" s="279">
        <v>4</v>
      </c>
      <c r="V61" s="279"/>
    </row>
    <row r="62" spans="1:22" s="293" customFormat="1" x14ac:dyDescent="0.15">
      <c r="A62" s="377" t="s">
        <v>240</v>
      </c>
      <c r="B62" s="286"/>
      <c r="C62" s="3429"/>
      <c r="D62" s="1313"/>
      <c r="E62" s="1313"/>
      <c r="F62" s="3424"/>
      <c r="G62" s="1315"/>
      <c r="H62" s="1306"/>
      <c r="I62" s="3430"/>
      <c r="J62" s="3424"/>
      <c r="K62" s="3417"/>
      <c r="L62" s="3417"/>
      <c r="M62" s="3418"/>
      <c r="N62" s="279"/>
      <c r="O62" s="279"/>
      <c r="P62" s="279" t="s">
        <v>530</v>
      </c>
      <c r="Q62" s="279"/>
      <c r="R62" s="279" t="s">
        <v>535</v>
      </c>
      <c r="S62" s="279"/>
      <c r="T62" s="279"/>
      <c r="V62" s="279"/>
    </row>
    <row r="63" spans="1:22" s="293" customFormat="1" x14ac:dyDescent="0.15">
      <c r="A63" s="377" t="s">
        <v>238</v>
      </c>
      <c r="B63" s="286"/>
      <c r="C63" s="1314"/>
      <c r="D63" s="1306"/>
      <c r="E63" s="1306"/>
      <c r="F63" s="3424"/>
      <c r="G63" s="1315"/>
      <c r="H63" s="1306"/>
      <c r="I63" s="3430"/>
      <c r="J63" s="3424"/>
      <c r="K63" s="3417"/>
      <c r="L63" s="3417"/>
      <c r="M63" s="3418"/>
      <c r="N63" s="279"/>
      <c r="O63" s="279"/>
      <c r="P63" s="279" t="s">
        <v>531</v>
      </c>
      <c r="Q63" s="279"/>
      <c r="R63" s="279" t="s">
        <v>849</v>
      </c>
      <c r="S63" s="279"/>
      <c r="T63" s="279"/>
      <c r="V63" s="279"/>
    </row>
    <row r="64" spans="1:22" s="293" customFormat="1" x14ac:dyDescent="0.15">
      <c r="A64" s="618"/>
      <c r="B64" s="286"/>
      <c r="C64" s="1314"/>
      <c r="D64" s="1306"/>
      <c r="E64" s="1306"/>
      <c r="F64" s="1306"/>
      <c r="G64" s="1315"/>
      <c r="H64" s="1306"/>
      <c r="I64" s="1315"/>
      <c r="J64" s="1306"/>
      <c r="K64" s="3417"/>
      <c r="L64" s="3417"/>
      <c r="M64" s="3418"/>
      <c r="N64" s="279"/>
      <c r="O64" s="279"/>
      <c r="P64" s="279"/>
      <c r="Q64" s="279"/>
      <c r="R64" s="279"/>
      <c r="S64" s="279"/>
      <c r="T64" s="279"/>
      <c r="V64" s="279"/>
    </row>
    <row r="65" spans="1:22" s="293" customFormat="1" x14ac:dyDescent="0.15">
      <c r="A65" s="382" t="s">
        <v>245</v>
      </c>
      <c r="B65" s="1309"/>
      <c r="C65" s="1309" t="s">
        <v>246</v>
      </c>
      <c r="D65" s="1309" t="s">
        <v>247</v>
      </c>
      <c r="E65" s="1309" t="s">
        <v>228</v>
      </c>
      <c r="F65" s="1309" t="s">
        <v>229</v>
      </c>
      <c r="G65" s="1309" t="s">
        <v>232</v>
      </c>
      <c r="H65" s="1309" t="s">
        <v>233</v>
      </c>
      <c r="I65" s="1309" t="s">
        <v>234</v>
      </c>
      <c r="J65" s="1309" t="s">
        <v>235</v>
      </c>
      <c r="K65" s="1309" t="s">
        <v>236</v>
      </c>
      <c r="L65" s="3419" t="s">
        <v>244</v>
      </c>
      <c r="M65" s="3420"/>
      <c r="N65" s="279"/>
      <c r="O65" s="279"/>
      <c r="P65" s="279"/>
      <c r="Q65" s="279"/>
      <c r="R65" s="279"/>
      <c r="S65" s="279"/>
      <c r="T65" s="279"/>
      <c r="V65" s="279"/>
    </row>
    <row r="66" spans="1:22" x14ac:dyDescent="0.15">
      <c r="A66" s="299"/>
      <c r="B66" s="286"/>
      <c r="C66" s="1306"/>
      <c r="D66" s="1314"/>
      <c r="E66" s="1306"/>
      <c r="F66" s="1313"/>
      <c r="G66" s="1313"/>
      <c r="H66" s="1315"/>
      <c r="I66" s="1306"/>
      <c r="J66" s="1315"/>
      <c r="K66" s="1306"/>
      <c r="L66" s="3421"/>
      <c r="M66" s="3422"/>
    </row>
    <row r="67" spans="1:22" x14ac:dyDescent="0.15">
      <c r="A67" s="299"/>
      <c r="B67" s="286"/>
      <c r="C67" s="1306"/>
      <c r="D67" s="1314"/>
      <c r="E67" s="1306"/>
      <c r="F67" s="1306"/>
      <c r="G67" s="1306"/>
      <c r="H67" s="1315"/>
      <c r="I67" s="1306"/>
      <c r="J67" s="1315"/>
      <c r="K67" s="1306"/>
      <c r="L67" s="3417"/>
      <c r="M67" s="3418"/>
    </row>
    <row r="68" spans="1:22" x14ac:dyDescent="0.15">
      <c r="A68" s="299"/>
      <c r="B68" s="286"/>
      <c r="C68" s="1306"/>
      <c r="D68" s="1314"/>
      <c r="E68" s="1306"/>
      <c r="F68" s="1306"/>
      <c r="G68" s="1306"/>
      <c r="H68" s="1315"/>
      <c r="I68" s="1306"/>
      <c r="J68" s="1315"/>
      <c r="K68" s="1306"/>
      <c r="L68" s="3415"/>
      <c r="M68" s="3416"/>
    </row>
    <row r="69" spans="1:22" x14ac:dyDescent="0.15">
      <c r="A69" s="3393" t="s">
        <v>741</v>
      </c>
      <c r="B69" s="3394"/>
      <c r="C69" s="3394"/>
      <c r="D69" s="383"/>
      <c r="E69" s="383"/>
      <c r="F69" s="383"/>
      <c r="G69" s="383"/>
      <c r="H69" s="383"/>
      <c r="I69" s="383"/>
      <c r="J69" s="383"/>
      <c r="K69" s="384"/>
      <c r="L69" s="384"/>
      <c r="M69" s="385"/>
    </row>
    <row r="70" spans="1:22" x14ac:dyDescent="0.15">
      <c r="A70" s="332" t="s">
        <v>589</v>
      </c>
      <c r="B70" s="312"/>
      <c r="C70" s="312"/>
      <c r="D70" s="312"/>
      <c r="E70" s="312"/>
      <c r="F70" s="312"/>
      <c r="G70" s="312"/>
      <c r="H70" s="312"/>
      <c r="I70" s="312"/>
      <c r="J70" s="312"/>
      <c r="K70" s="337"/>
      <c r="L70" s="337"/>
      <c r="M70" s="357"/>
    </row>
    <row r="71" spans="1:22" x14ac:dyDescent="0.15">
      <c r="A71" s="332"/>
      <c r="B71" s="312"/>
      <c r="C71" s="312"/>
      <c r="D71" s="312"/>
      <c r="E71" s="312"/>
      <c r="F71" s="312"/>
      <c r="G71" s="312"/>
      <c r="H71" s="312"/>
      <c r="I71" s="312"/>
      <c r="J71" s="312"/>
      <c r="K71" s="337"/>
      <c r="L71" s="337"/>
      <c r="M71" s="357"/>
    </row>
    <row r="72" spans="1:22" x14ac:dyDescent="0.15">
      <c r="A72" s="332"/>
      <c r="B72" s="312"/>
      <c r="C72" s="312"/>
      <c r="D72" s="312"/>
      <c r="E72" s="312"/>
      <c r="F72" s="312"/>
      <c r="G72" s="312"/>
      <c r="H72" s="312"/>
      <c r="I72" s="312"/>
      <c r="J72" s="312"/>
      <c r="K72" s="337"/>
      <c r="L72" s="337"/>
      <c r="M72" s="357"/>
    </row>
    <row r="73" spans="1:22" x14ac:dyDescent="0.15">
      <c r="A73" s="332"/>
      <c r="B73" s="312"/>
      <c r="C73" s="312"/>
      <c r="D73" s="312"/>
      <c r="E73" s="312"/>
      <c r="F73" s="312"/>
      <c r="G73" s="312"/>
      <c r="H73" s="312"/>
      <c r="I73" s="312"/>
      <c r="J73" s="312"/>
      <c r="K73" s="337"/>
      <c r="L73" s="337"/>
      <c r="M73" s="357"/>
    </row>
    <row r="74" spans="1:22" x14ac:dyDescent="0.15">
      <c r="A74" s="386"/>
      <c r="B74" s="337"/>
      <c r="C74" s="337"/>
      <c r="D74" s="337"/>
      <c r="E74" s="337"/>
      <c r="F74" s="337"/>
      <c r="G74" s="337"/>
      <c r="H74" s="337"/>
      <c r="I74" s="337"/>
      <c r="J74" s="337"/>
      <c r="K74" s="337"/>
      <c r="L74" s="337"/>
      <c r="M74" s="357"/>
    </row>
    <row r="75" spans="1:22" x14ac:dyDescent="0.15">
      <c r="A75" s="387" t="e">
        <f>+VLOOKUP(A69,Cuadros!B96:C98,2)</f>
        <v>#N/A</v>
      </c>
      <c r="B75" s="337"/>
      <c r="C75" s="337"/>
      <c r="D75" s="337"/>
      <c r="E75" s="337"/>
      <c r="F75" s="337"/>
      <c r="G75" s="337"/>
      <c r="H75" s="337"/>
      <c r="I75" s="337"/>
      <c r="J75" s="337"/>
      <c r="K75" s="337"/>
      <c r="L75" s="337"/>
      <c r="M75" s="357"/>
    </row>
    <row r="76" spans="1:22" ht="13.5" thickBot="1" x14ac:dyDescent="0.2">
      <c r="A76" s="386"/>
      <c r="B76" s="337"/>
      <c r="C76" s="337"/>
      <c r="D76" s="337"/>
      <c r="E76" s="337"/>
      <c r="F76" s="337"/>
      <c r="G76" s="337"/>
      <c r="H76" s="337"/>
      <c r="I76" s="337"/>
      <c r="J76" s="337"/>
      <c r="K76" s="337"/>
      <c r="L76" s="337"/>
      <c r="M76" s="357"/>
    </row>
    <row r="77" spans="1:22" ht="13.5" customHeight="1" thickBot="1" x14ac:dyDescent="0.2">
      <c r="A77" s="3406" t="str">
        <f>IF(M3="SI","Rating Automatizado","Valoración anterior")</f>
        <v>Valoración anterior</v>
      </c>
      <c r="B77" s="3408" t="s">
        <v>248</v>
      </c>
      <c r="C77" s="3409"/>
      <c r="D77" s="3409"/>
      <c r="E77" s="3409"/>
      <c r="F77" s="3409"/>
      <c r="G77" s="3410"/>
      <c r="H77" s="3406" t="s">
        <v>1089</v>
      </c>
      <c r="I77" s="3411"/>
      <c r="J77" s="3381" t="s">
        <v>1091</v>
      </c>
      <c r="K77" s="3413" t="s">
        <v>1093</v>
      </c>
      <c r="L77" s="3381" t="s">
        <v>626</v>
      </c>
      <c r="M77" s="3381" t="s">
        <v>203</v>
      </c>
    </row>
    <row r="78" spans="1:22" ht="14.25" customHeight="1" thickBot="1" x14ac:dyDescent="0.2">
      <c r="A78" s="3407"/>
      <c r="B78" s="729" t="s">
        <v>250</v>
      </c>
      <c r="C78" s="730" t="s">
        <v>251</v>
      </c>
      <c r="D78" s="731" t="s">
        <v>252</v>
      </c>
      <c r="E78" s="730" t="s">
        <v>253</v>
      </c>
      <c r="F78" s="731" t="s">
        <v>254</v>
      </c>
      <c r="G78" s="730" t="s">
        <v>255</v>
      </c>
      <c r="H78" s="3407"/>
      <c r="I78" s="3412"/>
      <c r="J78" s="3392"/>
      <c r="K78" s="3414"/>
      <c r="L78" s="3392"/>
      <c r="M78" s="3382"/>
    </row>
    <row r="79" spans="1:22" ht="13.5" thickBot="1" x14ac:dyDescent="0.2">
      <c r="A79" s="728">
        <f>+L47</f>
        <v>0</v>
      </c>
      <c r="B79" s="728">
        <f>+AR!B78</f>
        <v>3</v>
      </c>
      <c r="C79" s="728">
        <f>+AR!C78</f>
        <v>9</v>
      </c>
      <c r="D79" s="728">
        <f>+AR!D78</f>
        <v>3</v>
      </c>
      <c r="E79" s="728">
        <f>+AR!E78</f>
        <v>3</v>
      </c>
      <c r="F79" s="728">
        <f>+AR!F78</f>
        <v>3</v>
      </c>
      <c r="G79" s="728">
        <f>+AR!G78</f>
        <v>3</v>
      </c>
      <c r="H79" s="3383">
        <f>IF(M3="NO",(B79*0.2)+(C79*0.15)+(D79*0.1)+(E79*0.15)+(F79*0.25)+(G79*0.15),"digitar rating combinado")</f>
        <v>3.9000000000000004</v>
      </c>
      <c r="I79" s="3384"/>
      <c r="J79" s="727">
        <v>0</v>
      </c>
      <c r="K79" s="726">
        <v>0</v>
      </c>
      <c r="L79" s="725">
        <v>0</v>
      </c>
      <c r="M79" s="721">
        <f>IF(H79&gt;K79,H79,((K79-H79)*J79)+H79)</f>
        <v>3.9000000000000004</v>
      </c>
    </row>
    <row r="80" spans="1:22" x14ac:dyDescent="0.15">
      <c r="A80" s="386"/>
      <c r="B80" s="337"/>
      <c r="C80" s="337"/>
      <c r="D80" s="337"/>
      <c r="E80" s="337"/>
      <c r="G80" s="337"/>
      <c r="H80" s="337"/>
      <c r="J80" s="389"/>
      <c r="L80" s="718" t="s">
        <v>256</v>
      </c>
      <c r="M80" s="722">
        <v>0</v>
      </c>
      <c r="P80" s="621"/>
      <c r="Q80" s="621"/>
      <c r="R80" s="621"/>
    </row>
    <row r="81" spans="1:18" x14ac:dyDescent="0.15">
      <c r="A81" s="388"/>
      <c r="B81" s="337"/>
      <c r="C81" s="337"/>
      <c r="D81" s="337"/>
      <c r="E81" s="337"/>
      <c r="G81" s="337"/>
      <c r="H81" s="337"/>
      <c r="J81" s="389"/>
      <c r="L81" s="719" t="s">
        <v>257</v>
      </c>
      <c r="M81" s="723">
        <v>0</v>
      </c>
      <c r="P81" s="621"/>
      <c r="Q81" s="621"/>
      <c r="R81" s="621"/>
    </row>
    <row r="82" spans="1:18" ht="13.5" thickBot="1" x14ac:dyDescent="0.2">
      <c r="A82" s="386"/>
      <c r="B82" s="337"/>
      <c r="C82" s="337"/>
      <c r="D82" s="337"/>
      <c r="E82" s="337"/>
      <c r="G82" s="337"/>
      <c r="H82" s="337"/>
      <c r="J82" s="389"/>
      <c r="L82" s="720" t="s">
        <v>258</v>
      </c>
      <c r="M82" s="724">
        <f>+M79+M80-M81</f>
        <v>3.9000000000000004</v>
      </c>
      <c r="P82" s="621"/>
      <c r="Q82" s="621"/>
      <c r="R82" s="621"/>
    </row>
    <row r="83" spans="1:18" x14ac:dyDescent="0.15">
      <c r="A83" s="386"/>
      <c r="B83" s="337"/>
      <c r="C83" s="337"/>
      <c r="D83" s="337"/>
      <c r="E83" s="337"/>
      <c r="F83" s="337"/>
      <c r="G83" s="337"/>
      <c r="H83" s="337"/>
      <c r="I83" s="337"/>
      <c r="J83" s="337"/>
      <c r="K83" s="337"/>
      <c r="L83" s="337"/>
      <c r="M83" s="357"/>
      <c r="P83" s="621"/>
      <c r="Q83" s="621"/>
      <c r="R83" s="621"/>
    </row>
    <row r="84" spans="1:18" ht="13.5" thickBot="1" x14ac:dyDescent="0.2">
      <c r="A84" s="390"/>
      <c r="B84" s="391"/>
      <c r="C84" s="391"/>
      <c r="D84" s="391"/>
      <c r="E84" s="391"/>
      <c r="F84" s="391"/>
      <c r="G84" s="391"/>
      <c r="H84" s="391"/>
      <c r="I84" s="391"/>
      <c r="J84" s="391"/>
      <c r="K84" s="391"/>
      <c r="L84" s="391"/>
      <c r="M84" s="392"/>
    </row>
    <row r="85" spans="1:18" x14ac:dyDescent="0.15">
      <c r="A85" s="295"/>
      <c r="B85" s="295"/>
      <c r="C85" s="295"/>
      <c r="D85" s="295"/>
      <c r="E85" s="295"/>
      <c r="F85" s="295"/>
      <c r="G85" s="295"/>
      <c r="H85" s="295"/>
      <c r="I85" s="295"/>
      <c r="J85" s="295"/>
      <c r="K85" s="295"/>
      <c r="L85" s="295"/>
      <c r="M85" s="295"/>
    </row>
    <row r="86" spans="1:18" ht="13.5" thickBot="1" x14ac:dyDescent="0.2">
      <c r="A86" s="295"/>
      <c r="B86" s="295"/>
      <c r="C86" s="295"/>
      <c r="D86" s="295"/>
      <c r="E86" s="295"/>
      <c r="F86" s="295"/>
      <c r="G86" s="295"/>
      <c r="H86" s="295"/>
      <c r="I86" s="295"/>
      <c r="J86" s="295"/>
      <c r="K86" s="295"/>
      <c r="L86" s="295"/>
      <c r="M86" s="295"/>
    </row>
    <row r="87" spans="1:18" ht="13.5" thickBot="1" x14ac:dyDescent="0.2">
      <c r="A87" s="732" t="s">
        <v>259</v>
      </c>
      <c r="B87" s="733"/>
      <c r="C87" s="733"/>
      <c r="D87" s="733"/>
      <c r="E87" s="733"/>
      <c r="F87" s="733"/>
      <c r="G87" s="733"/>
      <c r="H87" s="733"/>
      <c r="I87" s="733"/>
      <c r="J87" s="733"/>
      <c r="K87" s="733"/>
      <c r="L87" s="733"/>
      <c r="M87" s="734"/>
    </row>
    <row r="88" spans="1:18" x14ac:dyDescent="0.15">
      <c r="A88" s="1195"/>
      <c r="B88" s="295"/>
      <c r="C88" s="295"/>
      <c r="D88" s="295"/>
      <c r="E88" s="295"/>
      <c r="F88" s="295"/>
      <c r="G88" s="295"/>
      <c r="H88" s="295"/>
      <c r="I88" s="295"/>
      <c r="J88" s="295"/>
      <c r="K88" s="295"/>
      <c r="L88" s="295"/>
      <c r="M88" s="304"/>
    </row>
    <row r="89" spans="1:18" x14ac:dyDescent="0.15">
      <c r="A89" s="294"/>
      <c r="B89" s="295"/>
      <c r="C89" s="295"/>
      <c r="D89" s="295"/>
      <c r="E89" s="295"/>
      <c r="F89" s="295"/>
      <c r="G89" s="295"/>
      <c r="H89" s="295"/>
      <c r="I89" s="295"/>
      <c r="J89" s="295"/>
      <c r="K89" s="295"/>
      <c r="L89" s="295"/>
      <c r="M89" s="304"/>
    </row>
    <row r="90" spans="1:18" x14ac:dyDescent="0.15">
      <c r="A90" s="294"/>
      <c r="B90" s="295"/>
      <c r="C90" s="295"/>
      <c r="D90" s="295"/>
      <c r="E90" s="295"/>
      <c r="F90" s="295"/>
      <c r="G90" s="295"/>
      <c r="H90" s="295"/>
      <c r="I90" s="295"/>
      <c r="J90" s="295"/>
      <c r="K90" s="295"/>
      <c r="L90" s="295"/>
      <c r="M90" s="304"/>
    </row>
    <row r="91" spans="1:18" x14ac:dyDescent="0.15">
      <c r="A91" s="294"/>
      <c r="B91" s="295"/>
      <c r="C91" s="295"/>
      <c r="D91" s="295"/>
      <c r="E91" s="295"/>
      <c r="F91" s="295"/>
      <c r="G91" s="295"/>
      <c r="H91" s="295"/>
      <c r="I91" s="295"/>
      <c r="J91" s="295"/>
      <c r="K91" s="295"/>
      <c r="L91" s="295"/>
      <c r="M91" s="304"/>
    </row>
    <row r="92" spans="1:18" x14ac:dyDescent="0.15">
      <c r="A92" s="294"/>
      <c r="B92" s="295"/>
      <c r="C92" s="295"/>
      <c r="D92" s="295"/>
      <c r="E92" s="295"/>
      <c r="F92" s="295"/>
      <c r="G92" s="295"/>
      <c r="H92" s="295"/>
      <c r="I92" s="295"/>
      <c r="J92" s="295"/>
      <c r="K92" s="295"/>
      <c r="L92" s="295"/>
      <c r="M92" s="304"/>
    </row>
    <row r="93" spans="1:18" x14ac:dyDescent="0.15">
      <c r="A93" s="294"/>
      <c r="B93" s="295"/>
      <c r="C93" s="295"/>
      <c r="D93" s="295"/>
      <c r="E93" s="295"/>
      <c r="F93" s="295"/>
      <c r="G93" s="295"/>
      <c r="H93" s="295"/>
      <c r="I93" s="295"/>
      <c r="J93" s="295"/>
      <c r="K93" s="295"/>
      <c r="L93" s="295"/>
      <c r="M93" s="304"/>
    </row>
    <row r="94" spans="1:18" ht="13.5" thickBot="1" x14ac:dyDescent="0.2">
      <c r="A94" s="294"/>
      <c r="B94" s="295"/>
      <c r="C94" s="295"/>
      <c r="D94" s="295"/>
      <c r="E94" s="295"/>
      <c r="F94" s="295"/>
      <c r="G94" s="295"/>
      <c r="H94" s="295"/>
      <c r="I94" s="295"/>
      <c r="J94" s="295"/>
      <c r="K94" s="295"/>
      <c r="L94" s="295"/>
      <c r="M94" s="304"/>
    </row>
    <row r="95" spans="1:18" ht="13.5" thickBot="1" x14ac:dyDescent="0.2">
      <c r="A95" s="732" t="s">
        <v>1740</v>
      </c>
      <c r="B95" s="733"/>
      <c r="C95" s="733"/>
      <c r="D95" s="733"/>
      <c r="E95" s="733"/>
      <c r="F95" s="733"/>
      <c r="G95" s="733"/>
      <c r="H95" s="733"/>
      <c r="I95" s="733"/>
      <c r="J95" s="733"/>
      <c r="K95" s="733"/>
      <c r="L95" s="733"/>
      <c r="M95" s="734"/>
    </row>
    <row r="96" spans="1:18" x14ac:dyDescent="0.15">
      <c r="A96" s="294"/>
      <c r="B96" s="295"/>
      <c r="C96" s="295"/>
      <c r="D96" s="295"/>
      <c r="E96" s="295"/>
      <c r="F96" s="295"/>
      <c r="G96" s="295"/>
      <c r="H96" s="295"/>
      <c r="I96" s="295"/>
      <c r="J96" s="295"/>
      <c r="K96" s="295"/>
      <c r="L96" s="295"/>
      <c r="M96" s="304"/>
    </row>
    <row r="97" spans="1:13" x14ac:dyDescent="0.15">
      <c r="A97" s="294"/>
      <c r="B97" s="295"/>
      <c r="C97" s="295"/>
      <c r="D97" s="295"/>
      <c r="E97" s="295"/>
      <c r="F97" s="295"/>
      <c r="G97" s="295"/>
      <c r="H97" s="295"/>
      <c r="I97" s="295"/>
      <c r="J97" s="295"/>
      <c r="K97" s="295"/>
      <c r="L97" s="295"/>
      <c r="M97" s="304"/>
    </row>
    <row r="98" spans="1:13" x14ac:dyDescent="0.15">
      <c r="A98" s="1191" t="s">
        <v>249</v>
      </c>
      <c r="B98" s="1192" t="s">
        <v>1741</v>
      </c>
      <c r="C98" s="1194" t="s">
        <v>1742</v>
      </c>
      <c r="D98" s="1193"/>
      <c r="E98" s="1193"/>
      <c r="F98" s="1192" t="s">
        <v>1743</v>
      </c>
      <c r="G98" s="295"/>
      <c r="H98" s="295"/>
      <c r="I98" s="295"/>
      <c r="J98" s="295"/>
      <c r="K98" s="295"/>
      <c r="L98" s="295"/>
      <c r="M98" s="304"/>
    </row>
    <row r="99" spans="1:13" x14ac:dyDescent="0.15">
      <c r="A99" s="1197" t="s">
        <v>953</v>
      </c>
      <c r="B99" s="1193" t="s">
        <v>953</v>
      </c>
      <c r="C99" s="1193" t="s">
        <v>953</v>
      </c>
      <c r="D99" s="355"/>
      <c r="E99" s="355"/>
      <c r="F99" s="1193" t="s">
        <v>953</v>
      </c>
      <c r="G99" s="295"/>
      <c r="H99" s="295"/>
      <c r="I99" s="295"/>
      <c r="J99" s="295"/>
      <c r="K99" s="295"/>
      <c r="L99" s="295"/>
      <c r="M99" s="304"/>
    </row>
    <row r="100" spans="1:13" x14ac:dyDescent="0.15">
      <c r="A100" s="1196"/>
      <c r="B100" s="355"/>
      <c r="C100" s="355"/>
      <c r="D100" s="355"/>
      <c r="E100" s="355"/>
      <c r="F100" s="355"/>
      <c r="G100" s="295"/>
      <c r="H100" s="295"/>
      <c r="I100" s="295"/>
      <c r="J100" s="295"/>
      <c r="K100" s="295"/>
      <c r="L100" s="295"/>
      <c r="M100" s="304"/>
    </row>
    <row r="101" spans="1:13" x14ac:dyDescent="0.15">
      <c r="A101" s="1196"/>
      <c r="B101" s="355"/>
      <c r="C101" s="355"/>
      <c r="D101" s="355"/>
      <c r="E101" s="355"/>
      <c r="F101" s="355"/>
      <c r="G101" s="295"/>
      <c r="H101" s="295"/>
      <c r="I101" s="295"/>
      <c r="J101" s="295"/>
      <c r="K101" s="295"/>
      <c r="L101" s="295"/>
      <c r="M101" s="304"/>
    </row>
    <row r="102" spans="1:13" x14ac:dyDescent="0.15">
      <c r="A102" s="1196"/>
      <c r="B102" s="355"/>
      <c r="C102" s="355"/>
      <c r="D102" s="355"/>
      <c r="E102" s="355"/>
      <c r="F102" s="355"/>
      <c r="G102" s="295"/>
      <c r="H102" s="295"/>
      <c r="I102" s="295"/>
      <c r="J102" s="295"/>
      <c r="K102" s="295"/>
      <c r="L102" s="295"/>
      <c r="M102" s="304"/>
    </row>
    <row r="103" spans="1:13" x14ac:dyDescent="0.15">
      <c r="A103" s="1196"/>
      <c r="B103" s="355"/>
      <c r="C103" s="355"/>
      <c r="D103" s="355"/>
      <c r="E103" s="355"/>
      <c r="F103" s="355"/>
      <c r="G103" s="295"/>
      <c r="H103" s="295"/>
      <c r="I103" s="295"/>
      <c r="J103" s="295"/>
      <c r="K103" s="295"/>
      <c r="L103" s="295"/>
      <c r="M103" s="304"/>
    </row>
    <row r="104" spans="1:13" x14ac:dyDescent="0.15">
      <c r="A104" s="1196"/>
      <c r="B104" s="355"/>
      <c r="C104" s="355"/>
      <c r="D104" s="355"/>
      <c r="E104" s="355"/>
      <c r="F104" s="355"/>
      <c r="G104" s="295"/>
      <c r="H104" s="295"/>
      <c r="I104" s="295"/>
      <c r="J104" s="295"/>
      <c r="K104" s="295"/>
      <c r="L104" s="295"/>
      <c r="M104" s="304"/>
    </row>
    <row r="105" spans="1:13" x14ac:dyDescent="0.15">
      <c r="A105" s="1196"/>
      <c r="B105" s="355"/>
      <c r="C105" s="355"/>
      <c r="D105" s="355"/>
      <c r="E105" s="355"/>
      <c r="F105" s="355"/>
      <c r="G105" s="295"/>
      <c r="H105" s="295"/>
      <c r="I105" s="295"/>
      <c r="J105" s="295"/>
      <c r="K105" s="295"/>
      <c r="L105" s="295"/>
      <c r="M105" s="304"/>
    </row>
    <row r="106" spans="1:13" x14ac:dyDescent="0.15">
      <c r="A106" s="1196"/>
      <c r="B106" s="295"/>
      <c r="C106" s="295"/>
      <c r="D106" s="295"/>
      <c r="E106" s="295"/>
      <c r="F106" s="295"/>
      <c r="G106" s="295"/>
      <c r="H106" s="295"/>
      <c r="I106" s="295"/>
      <c r="J106" s="295"/>
      <c r="K106" s="295"/>
      <c r="L106" s="295"/>
      <c r="M106" s="304"/>
    </row>
    <row r="107" spans="1:13" x14ac:dyDescent="0.15">
      <c r="A107" s="294"/>
      <c r="B107" s="295"/>
      <c r="C107" s="295"/>
      <c r="D107" s="295"/>
      <c r="E107" s="295"/>
      <c r="F107" s="295"/>
      <c r="G107" s="295"/>
      <c r="H107" s="295"/>
      <c r="I107" s="295"/>
      <c r="J107" s="295"/>
      <c r="K107" s="295"/>
      <c r="L107" s="295"/>
      <c r="M107" s="304"/>
    </row>
    <row r="108" spans="1:13" ht="13.5" thickBot="1" x14ac:dyDescent="0.2">
      <c r="A108" s="294"/>
      <c r="B108" s="295"/>
      <c r="C108" s="295"/>
      <c r="D108" s="295"/>
      <c r="E108" s="295"/>
      <c r="F108" s="295"/>
      <c r="G108" s="295"/>
      <c r="H108" s="295"/>
      <c r="I108" s="295"/>
      <c r="J108" s="295"/>
      <c r="K108" s="295"/>
      <c r="L108" s="295"/>
      <c r="M108" s="304"/>
    </row>
    <row r="109" spans="1:13" ht="13.5" thickBot="1" x14ac:dyDescent="0.2">
      <c r="A109" s="732" t="s">
        <v>260</v>
      </c>
      <c r="B109" s="733"/>
      <c r="C109" s="733"/>
      <c r="D109" s="733"/>
      <c r="E109" s="733"/>
      <c r="F109" s="733"/>
      <c r="G109" s="733"/>
      <c r="H109" s="733"/>
      <c r="I109" s="733"/>
      <c r="J109" s="733"/>
      <c r="K109" s="733"/>
      <c r="L109" s="733"/>
      <c r="M109" s="734"/>
    </row>
    <row r="110" spans="1:13" x14ac:dyDescent="0.15">
      <c r="A110" s="294"/>
      <c r="B110" s="295"/>
      <c r="C110" s="295"/>
      <c r="D110" s="295"/>
      <c r="E110" s="295"/>
      <c r="F110" s="295"/>
      <c r="G110" s="295"/>
      <c r="H110" s="295"/>
      <c r="I110" s="295"/>
      <c r="J110" s="295"/>
      <c r="K110" s="295"/>
      <c r="L110" s="295"/>
      <c r="M110" s="304"/>
    </row>
    <row r="111" spans="1:13" x14ac:dyDescent="0.15">
      <c r="A111" s="294"/>
      <c r="B111" s="295"/>
      <c r="C111" s="295"/>
      <c r="D111" s="295"/>
      <c r="E111" s="295"/>
      <c r="F111" s="295"/>
      <c r="G111" s="295"/>
      <c r="H111" s="295"/>
      <c r="I111" s="295"/>
      <c r="J111" s="295"/>
      <c r="K111" s="295"/>
      <c r="L111" s="295"/>
      <c r="M111" s="304"/>
    </row>
    <row r="112" spans="1:13" x14ac:dyDescent="0.15">
      <c r="A112" s="294"/>
      <c r="B112" s="295"/>
      <c r="C112" s="295"/>
      <c r="D112" s="295"/>
      <c r="E112" s="295"/>
      <c r="F112" s="295"/>
      <c r="G112" s="295"/>
      <c r="H112" s="295"/>
      <c r="I112" s="295"/>
      <c r="J112" s="295"/>
      <c r="K112" s="295"/>
      <c r="L112" s="295"/>
      <c r="M112" s="304"/>
    </row>
    <row r="113" spans="1:13" x14ac:dyDescent="0.15">
      <c r="A113" s="294"/>
      <c r="B113" s="295"/>
      <c r="C113" s="295"/>
      <c r="D113" s="295"/>
      <c r="E113" s="295"/>
      <c r="F113" s="295"/>
      <c r="G113" s="295"/>
      <c r="H113" s="295"/>
      <c r="I113" s="295"/>
      <c r="J113" s="295"/>
      <c r="K113" s="295"/>
      <c r="L113" s="295"/>
      <c r="M113" s="304"/>
    </row>
    <row r="114" spans="1:13" x14ac:dyDescent="0.15">
      <c r="A114" s="294"/>
      <c r="B114" s="295"/>
      <c r="C114" s="295"/>
      <c r="D114" s="295"/>
      <c r="E114" s="295"/>
      <c r="F114" s="295"/>
      <c r="G114" s="295"/>
      <c r="H114" s="295"/>
      <c r="I114" s="295"/>
      <c r="J114" s="295"/>
      <c r="K114" s="295"/>
      <c r="L114" s="295"/>
      <c r="M114" s="304"/>
    </row>
    <row r="115" spans="1:13" x14ac:dyDescent="0.15">
      <c r="A115" s="294"/>
      <c r="B115" s="295"/>
      <c r="C115" s="295"/>
      <c r="D115" s="295"/>
      <c r="E115" s="295"/>
      <c r="F115" s="295"/>
      <c r="G115" s="295"/>
      <c r="H115" s="295"/>
      <c r="I115" s="295"/>
      <c r="J115" s="295"/>
      <c r="K115" s="295"/>
      <c r="L115" s="295"/>
      <c r="M115" s="304"/>
    </row>
    <row r="116" spans="1:13" x14ac:dyDescent="0.15">
      <c r="A116" s="294"/>
      <c r="B116" s="295"/>
      <c r="C116" s="295"/>
      <c r="D116" s="295"/>
      <c r="E116" s="295"/>
      <c r="F116" s="295"/>
      <c r="G116" s="295"/>
      <c r="H116" s="295"/>
      <c r="I116" s="295"/>
      <c r="J116" s="295"/>
      <c r="K116" s="295"/>
      <c r="L116" s="295"/>
      <c r="M116" s="304"/>
    </row>
    <row r="117" spans="1:13" x14ac:dyDescent="0.15">
      <c r="A117" s="294"/>
      <c r="B117" s="295"/>
      <c r="C117" s="295"/>
      <c r="D117" s="295"/>
      <c r="E117" s="295"/>
      <c r="F117" s="295"/>
      <c r="G117" s="295"/>
      <c r="H117" s="295"/>
      <c r="I117" s="295"/>
      <c r="J117" s="295"/>
      <c r="K117" s="295"/>
      <c r="L117" s="295"/>
      <c r="M117" s="304"/>
    </row>
    <row r="118" spans="1:13" x14ac:dyDescent="0.15">
      <c r="A118" s="294"/>
      <c r="B118" s="295"/>
      <c r="C118" s="295"/>
      <c r="D118" s="295"/>
      <c r="E118" s="295"/>
      <c r="F118" s="295"/>
      <c r="G118" s="295"/>
      <c r="H118" s="295"/>
      <c r="I118" s="295"/>
      <c r="J118" s="295"/>
      <c r="K118" s="295"/>
      <c r="L118" s="295"/>
      <c r="M118" s="304"/>
    </row>
    <row r="119" spans="1:13" x14ac:dyDescent="0.15">
      <c r="A119" s="294"/>
      <c r="B119" s="295"/>
      <c r="C119" s="295"/>
      <c r="D119" s="295"/>
      <c r="E119" s="295"/>
      <c r="F119" s="295"/>
      <c r="G119" s="295"/>
      <c r="H119" s="295"/>
      <c r="I119" s="295"/>
      <c r="J119" s="295"/>
      <c r="K119" s="295"/>
      <c r="L119" s="295"/>
      <c r="M119" s="304"/>
    </row>
    <row r="120" spans="1:13" x14ac:dyDescent="0.15">
      <c r="A120" s="294"/>
      <c r="B120" s="295"/>
      <c r="C120" s="295"/>
      <c r="D120" s="295"/>
      <c r="E120" s="295"/>
      <c r="F120" s="295"/>
      <c r="G120" s="295"/>
      <c r="H120" s="295"/>
      <c r="I120" s="295"/>
      <c r="J120" s="295"/>
      <c r="K120" s="295"/>
      <c r="L120" s="295"/>
      <c r="M120" s="304"/>
    </row>
    <row r="121" spans="1:13" x14ac:dyDescent="0.15">
      <c r="A121" s="294"/>
      <c r="B121" s="295"/>
      <c r="C121" s="295"/>
      <c r="D121" s="295"/>
      <c r="E121" s="295"/>
      <c r="F121" s="295"/>
      <c r="G121" s="295"/>
      <c r="H121" s="295"/>
      <c r="I121" s="295"/>
      <c r="J121" s="295"/>
      <c r="K121" s="295"/>
      <c r="L121" s="295"/>
      <c r="M121" s="304"/>
    </row>
    <row r="122" spans="1:13" x14ac:dyDescent="0.15">
      <c r="A122" s="294"/>
      <c r="B122" s="295"/>
      <c r="C122" s="295"/>
      <c r="D122" s="295"/>
      <c r="E122" s="295"/>
      <c r="F122" s="295"/>
      <c r="G122" s="295"/>
      <c r="H122" s="295"/>
      <c r="I122" s="295"/>
      <c r="J122" s="295"/>
      <c r="K122" s="295"/>
      <c r="L122" s="295"/>
      <c r="M122" s="304"/>
    </row>
    <row r="123" spans="1:13" x14ac:dyDescent="0.15">
      <c r="A123" s="294"/>
      <c r="B123" s="295"/>
      <c r="C123" s="295"/>
      <c r="D123" s="295"/>
      <c r="E123" s="295"/>
      <c r="F123" s="295"/>
      <c r="G123" s="295"/>
      <c r="H123" s="295"/>
      <c r="I123" s="295"/>
      <c r="J123" s="295"/>
      <c r="K123" s="295"/>
      <c r="L123" s="295"/>
      <c r="M123" s="304"/>
    </row>
    <row r="124" spans="1:13" x14ac:dyDescent="0.15">
      <c r="A124" s="294"/>
      <c r="B124" s="295"/>
      <c r="C124" s="295"/>
      <c r="D124" s="295"/>
      <c r="E124" s="295"/>
      <c r="F124" s="295"/>
      <c r="G124" s="295"/>
      <c r="H124" s="295"/>
      <c r="I124" s="295"/>
      <c r="J124" s="295"/>
      <c r="K124" s="295"/>
      <c r="L124" s="295"/>
      <c r="M124" s="304"/>
    </row>
    <row r="125" spans="1:13" x14ac:dyDescent="0.15">
      <c r="A125" s="294"/>
      <c r="B125" s="295"/>
      <c r="C125" s="295"/>
      <c r="D125" s="295"/>
      <c r="E125" s="295"/>
      <c r="F125" s="295"/>
      <c r="G125" s="295"/>
      <c r="H125" s="295"/>
      <c r="I125" s="295"/>
      <c r="J125" s="295"/>
      <c r="K125" s="295"/>
      <c r="L125" s="295"/>
      <c r="M125" s="304"/>
    </row>
    <row r="126" spans="1:13" x14ac:dyDescent="0.15">
      <c r="A126" s="294"/>
      <c r="B126" s="295"/>
      <c r="C126" s="295"/>
      <c r="D126" s="295"/>
      <c r="E126" s="295"/>
      <c r="F126" s="295"/>
      <c r="G126" s="295"/>
      <c r="H126" s="295"/>
      <c r="I126" s="295"/>
      <c r="J126" s="295"/>
      <c r="K126" s="295"/>
      <c r="L126" s="295"/>
      <c r="M126" s="304"/>
    </row>
    <row r="127" spans="1:13" x14ac:dyDescent="0.15">
      <c r="A127" s="294"/>
      <c r="B127" s="295"/>
      <c r="C127" s="295"/>
      <c r="D127" s="295"/>
      <c r="E127" s="295"/>
      <c r="F127" s="295"/>
      <c r="G127" s="295"/>
      <c r="H127" s="295"/>
      <c r="I127" s="295"/>
      <c r="J127" s="295"/>
      <c r="K127" s="295"/>
      <c r="L127" s="295"/>
      <c r="M127" s="304"/>
    </row>
    <row r="128" spans="1:13" x14ac:dyDescent="0.15">
      <c r="A128" s="294"/>
      <c r="B128" s="295"/>
      <c r="C128" s="295"/>
      <c r="D128" s="295"/>
      <c r="E128" s="295"/>
      <c r="F128" s="295"/>
      <c r="G128" s="295"/>
      <c r="H128" s="295"/>
      <c r="I128" s="295"/>
      <c r="J128" s="295"/>
      <c r="K128" s="295"/>
      <c r="L128" s="295"/>
      <c r="M128" s="304"/>
    </row>
    <row r="129" spans="1:13" x14ac:dyDescent="0.15">
      <c r="A129" s="294"/>
      <c r="B129" s="295"/>
      <c r="C129" s="295"/>
      <c r="D129" s="295"/>
      <c r="E129" s="295"/>
      <c r="F129" s="295"/>
      <c r="G129" s="295"/>
      <c r="H129" s="295"/>
      <c r="I129" s="295"/>
      <c r="J129" s="295"/>
      <c r="K129" s="295"/>
      <c r="L129" s="295"/>
      <c r="M129" s="304"/>
    </row>
    <row r="130" spans="1:13" ht="13.5" thickBot="1" x14ac:dyDescent="0.2">
      <c r="A130" s="294"/>
      <c r="B130" s="295"/>
      <c r="C130" s="295"/>
      <c r="D130" s="295"/>
      <c r="E130" s="295"/>
      <c r="F130" s="295"/>
      <c r="G130" s="295"/>
      <c r="H130" s="295"/>
      <c r="I130" s="295"/>
      <c r="J130" s="295"/>
      <c r="K130" s="295"/>
      <c r="L130" s="295"/>
      <c r="M130" s="304"/>
    </row>
    <row r="131" spans="1:13" ht="13.5" thickBot="1" x14ac:dyDescent="0.2">
      <c r="A131" s="732" t="s">
        <v>261</v>
      </c>
      <c r="B131" s="733"/>
      <c r="C131" s="733"/>
      <c r="D131" s="733"/>
      <c r="E131" s="733"/>
      <c r="F131" s="733"/>
      <c r="G131" s="733"/>
      <c r="H131" s="733"/>
      <c r="I131" s="733"/>
      <c r="J131" s="733"/>
      <c r="K131" s="733"/>
      <c r="L131" s="733"/>
      <c r="M131" s="734"/>
    </row>
    <row r="132" spans="1:13" x14ac:dyDescent="0.15">
      <c r="A132" s="294"/>
      <c r="B132" s="295"/>
      <c r="C132" s="295"/>
      <c r="D132" s="295"/>
      <c r="E132" s="295"/>
      <c r="F132" s="295"/>
      <c r="G132" s="295"/>
      <c r="H132" s="295"/>
      <c r="I132" s="295"/>
      <c r="J132" s="295"/>
      <c r="K132" s="295"/>
      <c r="L132" s="295"/>
      <c r="M132" s="304"/>
    </row>
    <row r="133" spans="1:13" x14ac:dyDescent="0.15">
      <c r="A133" s="294"/>
      <c r="B133" s="295"/>
      <c r="C133" s="295"/>
      <c r="D133" s="295"/>
      <c r="E133" s="295"/>
      <c r="F133" s="295"/>
      <c r="G133" s="295"/>
      <c r="H133" s="295"/>
      <c r="I133" s="295"/>
      <c r="J133" s="295"/>
      <c r="K133" s="295"/>
      <c r="L133" s="295"/>
      <c r="M133" s="304"/>
    </row>
    <row r="134" spans="1:13" x14ac:dyDescent="0.15">
      <c r="A134" s="294"/>
      <c r="B134" s="295"/>
      <c r="C134" s="295"/>
      <c r="D134" s="295"/>
      <c r="E134" s="295"/>
      <c r="F134" s="295"/>
      <c r="G134" s="295"/>
      <c r="H134" s="295"/>
      <c r="I134" s="295"/>
      <c r="J134" s="295"/>
      <c r="K134" s="295"/>
      <c r="L134" s="295"/>
      <c r="M134" s="304"/>
    </row>
    <row r="135" spans="1:13" x14ac:dyDescent="0.15">
      <c r="A135" s="294"/>
      <c r="B135" s="295"/>
      <c r="C135" s="295"/>
      <c r="D135" s="295"/>
      <c r="E135" s="295"/>
      <c r="F135" s="295"/>
      <c r="G135" s="295"/>
      <c r="H135" s="295"/>
      <c r="I135" s="295"/>
      <c r="J135" s="295"/>
      <c r="K135" s="295"/>
      <c r="L135" s="295"/>
      <c r="M135" s="304"/>
    </row>
    <row r="136" spans="1:13" x14ac:dyDescent="0.15">
      <c r="A136" s="294"/>
      <c r="B136" s="295"/>
      <c r="C136" s="295"/>
      <c r="D136" s="295"/>
      <c r="E136" s="295"/>
      <c r="F136" s="295"/>
      <c r="G136" s="295"/>
      <c r="H136" s="295"/>
      <c r="I136" s="295"/>
      <c r="J136" s="295"/>
      <c r="K136" s="295"/>
      <c r="L136" s="295"/>
      <c r="M136" s="304"/>
    </row>
    <row r="137" spans="1:13" x14ac:dyDescent="0.15">
      <c r="A137" s="294"/>
      <c r="B137" s="295"/>
      <c r="C137" s="295"/>
      <c r="D137" s="295"/>
      <c r="E137" s="295"/>
      <c r="F137" s="295"/>
      <c r="G137" s="295"/>
      <c r="H137" s="295"/>
      <c r="I137" s="295"/>
      <c r="J137" s="295"/>
      <c r="K137" s="295"/>
      <c r="L137" s="295"/>
      <c r="M137" s="304"/>
    </row>
    <row r="138" spans="1:13" x14ac:dyDescent="0.15">
      <c r="A138" s="294"/>
      <c r="B138" s="295"/>
      <c r="C138" s="295"/>
      <c r="D138" s="295"/>
      <c r="E138" s="295"/>
      <c r="F138" s="295"/>
      <c r="G138" s="295"/>
      <c r="H138" s="295"/>
      <c r="I138" s="295"/>
      <c r="J138" s="295"/>
      <c r="K138" s="295"/>
      <c r="L138" s="295"/>
      <c r="M138" s="304"/>
    </row>
    <row r="139" spans="1:13" x14ac:dyDescent="0.15">
      <c r="A139" s="294"/>
      <c r="B139" s="295"/>
      <c r="C139" s="295"/>
      <c r="D139" s="295"/>
      <c r="E139" s="295"/>
      <c r="F139" s="295"/>
      <c r="G139" s="295"/>
      <c r="H139" s="295"/>
      <c r="I139" s="295"/>
      <c r="J139" s="295"/>
      <c r="K139" s="295"/>
      <c r="L139" s="295"/>
      <c r="M139" s="304"/>
    </row>
    <row r="140" spans="1:13" x14ac:dyDescent="0.15">
      <c r="A140" s="294"/>
      <c r="B140" s="295"/>
      <c r="C140" s="295"/>
      <c r="D140" s="295"/>
      <c r="E140" s="295"/>
      <c r="F140" s="295"/>
      <c r="G140" s="295"/>
      <c r="H140" s="295"/>
      <c r="I140" s="295"/>
      <c r="J140" s="295"/>
      <c r="K140" s="295"/>
      <c r="L140" s="295"/>
      <c r="M140" s="304"/>
    </row>
    <row r="141" spans="1:13" x14ac:dyDescent="0.15">
      <c r="A141" s="294"/>
      <c r="B141" s="295"/>
      <c r="C141" s="295"/>
      <c r="D141" s="295"/>
      <c r="E141" s="295"/>
      <c r="F141" s="295"/>
      <c r="G141" s="295"/>
      <c r="H141" s="295"/>
      <c r="I141" s="295"/>
      <c r="J141" s="295"/>
      <c r="K141" s="295"/>
      <c r="L141" s="295"/>
      <c r="M141" s="304"/>
    </row>
    <row r="142" spans="1:13" x14ac:dyDescent="0.15">
      <c r="A142" s="294"/>
      <c r="B142" s="295"/>
      <c r="C142" s="295"/>
      <c r="D142" s="295"/>
      <c r="E142" s="295"/>
      <c r="F142" s="295"/>
      <c r="G142" s="295"/>
      <c r="H142" s="295"/>
      <c r="I142" s="295"/>
      <c r="J142" s="295"/>
      <c r="K142" s="295"/>
      <c r="L142" s="295"/>
      <c r="M142" s="304"/>
    </row>
    <row r="143" spans="1:13" x14ac:dyDescent="0.15">
      <c r="A143" s="294"/>
      <c r="B143" s="295"/>
      <c r="C143" s="295"/>
      <c r="D143" s="295"/>
      <c r="E143" s="295"/>
      <c r="F143" s="295"/>
      <c r="G143" s="295"/>
      <c r="H143" s="295"/>
      <c r="I143" s="295"/>
      <c r="J143" s="295"/>
      <c r="K143" s="295"/>
      <c r="L143" s="295"/>
      <c r="M143" s="304"/>
    </row>
    <row r="144" spans="1:13" x14ac:dyDescent="0.15">
      <c r="A144" s="397"/>
      <c r="B144" s="398"/>
      <c r="C144" s="398"/>
      <c r="D144" s="398"/>
      <c r="E144" s="398"/>
      <c r="F144" s="398"/>
      <c r="G144" s="398"/>
      <c r="H144" s="398"/>
      <c r="I144" s="398"/>
      <c r="J144" s="398"/>
      <c r="K144" s="398"/>
      <c r="L144" s="398"/>
      <c r="M144" s="399"/>
    </row>
    <row r="145" spans="1:21" x14ac:dyDescent="0.15">
      <c r="A145" s="400" t="s">
        <v>1351</v>
      </c>
      <c r="B145" s="401"/>
      <c r="C145" s="401"/>
      <c r="D145" s="401"/>
      <c r="E145" s="401"/>
      <c r="F145" s="401"/>
      <c r="G145" s="402"/>
      <c r="H145" s="402"/>
      <c r="I145" s="402"/>
      <c r="J145" s="402"/>
      <c r="K145" s="402"/>
      <c r="L145" s="402"/>
      <c r="M145" s="403"/>
    </row>
    <row r="146" spans="1:21" s="375" customFormat="1" ht="11.25" thickBot="1" x14ac:dyDescent="0.2">
      <c r="A146" s="684"/>
      <c r="B146" s="685"/>
      <c r="C146" s="685"/>
      <c r="D146" s="685"/>
      <c r="E146" s="702"/>
      <c r="F146" s="703"/>
      <c r="G146" s="702"/>
      <c r="H146" s="702"/>
      <c r="I146" s="702"/>
      <c r="J146" s="3385"/>
      <c r="K146" s="3385"/>
      <c r="L146" s="3385"/>
      <c r="M146" s="3386"/>
      <c r="U146" s="686"/>
    </row>
    <row r="147" spans="1:21" s="375" customFormat="1" ht="11.25" customHeight="1" thickBot="1" x14ac:dyDescent="0.2">
      <c r="A147" s="717" t="s">
        <v>1355</v>
      </c>
      <c r="B147" s="692" t="s">
        <v>513</v>
      </c>
      <c r="C147" s="693" t="s">
        <v>514</v>
      </c>
      <c r="D147" s="286"/>
      <c r="E147" s="3387"/>
      <c r="F147" s="3388"/>
      <c r="G147" s="3389"/>
      <c r="H147" s="1310"/>
      <c r="I147" s="3391" t="s">
        <v>1354</v>
      </c>
      <c r="J147" s="3391"/>
      <c r="K147" s="3391"/>
      <c r="L147" s="716"/>
      <c r="M147" s="404"/>
      <c r="U147" s="686"/>
    </row>
    <row r="148" spans="1:21" s="375" customFormat="1" ht="12" customHeight="1" thickBot="1" x14ac:dyDescent="0.2">
      <c r="A148" s="689" t="s">
        <v>846</v>
      </c>
      <c r="B148" s="695">
        <v>1.4999999999999999E-2</v>
      </c>
      <c r="C148" s="694"/>
      <c r="D148" s="286"/>
      <c r="E148" s="3387"/>
      <c r="F148" s="3388"/>
      <c r="G148" s="3390"/>
      <c r="H148" s="1311"/>
      <c r="I148" s="716"/>
      <c r="J148" s="716"/>
      <c r="K148" s="716"/>
      <c r="L148" s="716"/>
      <c r="M148" s="405"/>
      <c r="U148" s="686"/>
    </row>
    <row r="149" spans="1:21" s="375" customFormat="1" ht="11.25" thickBot="1" x14ac:dyDescent="0.2">
      <c r="A149" s="684" t="s">
        <v>512</v>
      </c>
      <c r="B149" s="696">
        <f>+B150-B148</f>
        <v>6.8999999999999999E-3</v>
      </c>
      <c r="C149" s="697"/>
      <c r="D149" s="286"/>
      <c r="E149" s="406"/>
      <c r="F149" s="704"/>
      <c r="G149" s="407"/>
      <c r="H149" s="407"/>
      <c r="I149" s="714" t="s">
        <v>1352</v>
      </c>
      <c r="J149" s="715" t="s">
        <v>1353</v>
      </c>
      <c r="K149" s="407"/>
      <c r="L149" s="407"/>
      <c r="M149" s="409"/>
      <c r="U149" s="686"/>
    </row>
    <row r="150" spans="1:21" s="375" customFormat="1" ht="11.25" thickBot="1" x14ac:dyDescent="0.2">
      <c r="A150" s="690" t="s">
        <v>203</v>
      </c>
      <c r="B150" s="698">
        <v>2.1899999999999999E-2</v>
      </c>
      <c r="C150" s="699">
        <f>+C149+C148</f>
        <v>0</v>
      </c>
      <c r="D150" s="286"/>
      <c r="E150" s="406"/>
      <c r="F150" s="704"/>
      <c r="G150" s="407"/>
      <c r="H150" s="407"/>
      <c r="I150" s="712">
        <v>3</v>
      </c>
      <c r="J150" s="713"/>
      <c r="K150" s="407"/>
      <c r="L150" s="407"/>
      <c r="M150" s="409"/>
      <c r="U150" s="686"/>
    </row>
    <row r="151" spans="1:21" s="375" customFormat="1" ht="10.5" x14ac:dyDescent="0.15">
      <c r="A151" s="299"/>
      <c r="B151" s="286"/>
      <c r="C151" s="286"/>
      <c r="D151" s="286"/>
      <c r="E151" s="408"/>
      <c r="F151" s="704"/>
      <c r="G151" s="407"/>
      <c r="H151" s="407"/>
      <c r="I151" s="708">
        <v>6</v>
      </c>
      <c r="J151" s="710"/>
      <c r="K151" s="407"/>
      <c r="L151" s="407"/>
      <c r="M151" s="409"/>
      <c r="U151" s="686"/>
    </row>
    <row r="152" spans="1:21" s="375" customFormat="1" ht="11.25" thickBot="1" x14ac:dyDescent="0.2">
      <c r="A152" s="687" t="s">
        <v>1347</v>
      </c>
      <c r="B152" s="286"/>
      <c r="C152" s="286"/>
      <c r="D152" s="286"/>
      <c r="E152" s="408"/>
      <c r="F152" s="704"/>
      <c r="G152" s="407"/>
      <c r="H152" s="407"/>
      <c r="I152" s="709">
        <v>9</v>
      </c>
      <c r="J152" s="711"/>
      <c r="K152" s="407"/>
      <c r="L152" s="407"/>
      <c r="M152" s="409"/>
      <c r="U152" s="686"/>
    </row>
    <row r="153" spans="1:21" s="375" customFormat="1" ht="11.25" thickBot="1" x14ac:dyDescent="0.2">
      <c r="A153" s="299"/>
      <c r="B153" s="286"/>
      <c r="C153" s="286"/>
      <c r="D153" s="286"/>
      <c r="E153" s="408"/>
      <c r="F153" s="704"/>
      <c r="G153" s="407"/>
      <c r="H153" s="407"/>
      <c r="I153" s="407"/>
      <c r="J153" s="408"/>
      <c r="K153" s="407"/>
      <c r="L153" s="407"/>
      <c r="M153" s="409"/>
      <c r="U153" s="686"/>
    </row>
    <row r="154" spans="1:21" s="375" customFormat="1" ht="11.25" thickBot="1" x14ac:dyDescent="0.2">
      <c r="A154" s="691"/>
      <c r="B154" s="692" t="s">
        <v>590</v>
      </c>
      <c r="C154" s="3395" t="s">
        <v>1350</v>
      </c>
      <c r="D154" s="3396"/>
      <c r="E154" s="3397"/>
      <c r="F154" s="705"/>
      <c r="G154" s="411"/>
      <c r="H154" s="411"/>
      <c r="I154" s="411"/>
      <c r="J154" s="410"/>
      <c r="K154" s="412"/>
      <c r="L154" s="412"/>
      <c r="M154" s="413"/>
      <c r="U154" s="686"/>
    </row>
    <row r="155" spans="1:21" s="375" customFormat="1" ht="10.5" x14ac:dyDescent="0.15">
      <c r="A155" s="689" t="s">
        <v>1348</v>
      </c>
      <c r="B155" s="700" t="s">
        <v>1531</v>
      </c>
      <c r="C155" s="3398"/>
      <c r="D155" s="3399"/>
      <c r="E155" s="3400"/>
      <c r="F155" s="706"/>
      <c r="G155" s="344"/>
      <c r="H155" s="344"/>
      <c r="I155" s="414"/>
      <c r="J155" s="415"/>
      <c r="K155" s="3401" t="str">
        <f>+L10</f>
        <v>RORAC HIST.</v>
      </c>
      <c r="L155" s="3402"/>
      <c r="M155" s="416" t="s">
        <v>262</v>
      </c>
      <c r="U155" s="686"/>
    </row>
    <row r="156" spans="1:21" s="375" customFormat="1" ht="11.25" thickBot="1" x14ac:dyDescent="0.2">
      <c r="A156" s="688" t="s">
        <v>1349</v>
      </c>
      <c r="B156" s="701" t="s">
        <v>1531</v>
      </c>
      <c r="C156" s="3403"/>
      <c r="D156" s="3404"/>
      <c r="E156" s="3405"/>
      <c r="F156" s="706"/>
      <c r="G156" s="417"/>
      <c r="H156" s="417"/>
      <c r="I156" s="417"/>
      <c r="J156" s="418"/>
      <c r="K156" s="1084" t="s">
        <v>1736</v>
      </c>
      <c r="L156" s="419"/>
      <c r="M156" s="420"/>
      <c r="U156" s="686"/>
    </row>
    <row r="157" spans="1:21" s="375" customFormat="1" ht="10.5" x14ac:dyDescent="0.15">
      <c r="A157" s="299"/>
      <c r="B157" s="286"/>
      <c r="C157" s="286"/>
      <c r="D157" s="286"/>
      <c r="E157" s="286"/>
      <c r="F157" s="706"/>
      <c r="G157" s="417"/>
      <c r="H157" s="417"/>
      <c r="I157" s="417"/>
      <c r="J157" s="418"/>
      <c r="K157" s="1084" t="s">
        <v>1737</v>
      </c>
      <c r="L157" s="419"/>
      <c r="M157" s="420"/>
      <c r="U157" s="686"/>
    </row>
    <row r="158" spans="1:21" s="375" customFormat="1" ht="10.5" x14ac:dyDescent="0.15">
      <c r="A158" s="299"/>
      <c r="B158" s="286"/>
      <c r="C158" s="286"/>
      <c r="D158" s="286"/>
      <c r="E158" s="286"/>
      <c r="F158" s="706"/>
      <c r="G158" s="417"/>
      <c r="H158" s="417"/>
      <c r="I158" s="417"/>
      <c r="J158" s="418"/>
      <c r="K158" s="1084" t="s">
        <v>1738</v>
      </c>
      <c r="L158" s="419"/>
      <c r="M158" s="420">
        <f>+I57</f>
        <v>0</v>
      </c>
      <c r="U158" s="686"/>
    </row>
    <row r="159" spans="1:21" ht="13.5" thickBot="1" x14ac:dyDescent="0.2">
      <c r="A159" s="294"/>
      <c r="B159" s="295"/>
      <c r="C159" s="295"/>
      <c r="D159" s="295"/>
      <c r="E159" s="286"/>
      <c r="F159" s="707"/>
      <c r="G159" s="675"/>
      <c r="H159" s="675"/>
      <c r="I159" s="675"/>
      <c r="J159" s="676"/>
      <c r="K159" s="1085" t="s">
        <v>1739</v>
      </c>
      <c r="L159" s="677"/>
      <c r="M159" s="678"/>
    </row>
    <row r="160" spans="1:21" x14ac:dyDescent="0.15">
      <c r="A160" s="393" t="s">
        <v>271</v>
      </c>
      <c r="B160" s="679"/>
      <c r="C160" s="679"/>
      <c r="D160" s="679"/>
      <c r="E160" s="679"/>
      <c r="F160" s="679"/>
      <c r="G160" s="679"/>
      <c r="H160" s="679"/>
      <c r="I160" s="679"/>
      <c r="J160" s="679"/>
      <c r="K160" s="679"/>
      <c r="L160" s="679"/>
      <c r="M160" s="680"/>
    </row>
    <row r="161" spans="1:13" x14ac:dyDescent="0.15">
      <c r="A161" s="394">
        <f>D2</f>
        <v>0</v>
      </c>
      <c r="B161" s="395"/>
      <c r="C161" s="395"/>
      <c r="D161" s="395"/>
      <c r="E161" s="395"/>
      <c r="F161" s="395"/>
      <c r="G161" s="395"/>
      <c r="H161" s="395"/>
      <c r="I161" s="395"/>
      <c r="J161" s="395"/>
      <c r="K161" s="395"/>
      <c r="L161" s="395"/>
      <c r="M161" s="396"/>
    </row>
    <row r="162" spans="1:13" ht="13.5" thickBot="1" x14ac:dyDescent="0.2">
      <c r="A162" s="421" t="str">
        <f>+H2</f>
        <v>Empresas</v>
      </c>
      <c r="B162" s="422"/>
      <c r="C162" s="422"/>
      <c r="D162" s="422"/>
      <c r="E162" s="422"/>
      <c r="F162" s="422"/>
      <c r="G162" s="422"/>
      <c r="H162" s="422"/>
      <c r="I162" s="422"/>
      <c r="J162" s="422"/>
      <c r="K162" s="422"/>
      <c r="L162" s="422"/>
      <c r="M162" s="423"/>
    </row>
  </sheetData>
  <mergeCells count="45">
    <mergeCell ref="I41:M41"/>
    <mergeCell ref="K4:M4"/>
    <mergeCell ref="L5:M5"/>
    <mergeCell ref="I38:M38"/>
    <mergeCell ref="I39:M39"/>
    <mergeCell ref="I40:M40"/>
    <mergeCell ref="C57:C62"/>
    <mergeCell ref="F57:F63"/>
    <mergeCell ref="I57:I63"/>
    <mergeCell ref="J57:J63"/>
    <mergeCell ref="K57:M57"/>
    <mergeCell ref="K58:M58"/>
    <mergeCell ref="K59:M59"/>
    <mergeCell ref="K60:M60"/>
    <mergeCell ref="K61:M61"/>
    <mergeCell ref="K62:M62"/>
    <mergeCell ref="K63:M63"/>
    <mergeCell ref="C47:C50"/>
    <mergeCell ref="H47:H53"/>
    <mergeCell ref="K47:K53"/>
    <mergeCell ref="L47:L53"/>
    <mergeCell ref="K56:M56"/>
    <mergeCell ref="L68:M68"/>
    <mergeCell ref="K64:M64"/>
    <mergeCell ref="L65:M65"/>
    <mergeCell ref="L66:M66"/>
    <mergeCell ref="L67:M67"/>
    <mergeCell ref="A69:C69"/>
    <mergeCell ref="C154:E154"/>
    <mergeCell ref="C155:E155"/>
    <mergeCell ref="K155:L155"/>
    <mergeCell ref="C156:E156"/>
    <mergeCell ref="A77:A78"/>
    <mergeCell ref="B77:G77"/>
    <mergeCell ref="H77:I78"/>
    <mergeCell ref="J77:J78"/>
    <mergeCell ref="K77:K78"/>
    <mergeCell ref="M77:M78"/>
    <mergeCell ref="H79:I79"/>
    <mergeCell ref="J146:M146"/>
    <mergeCell ref="E147:E148"/>
    <mergeCell ref="F147:F148"/>
    <mergeCell ref="G147:G148"/>
    <mergeCell ref="I147:K147"/>
    <mergeCell ref="L77:L78"/>
  </mergeCells>
  <dataValidations disablePrompts="1" count="14">
    <dataValidation type="list" allowBlank="1" showInputMessage="1" showErrorMessage="1" sqref="A69:C69">
      <formula1>$Q$28:$Q$30</formula1>
    </dataValidation>
    <dataValidation type="list" allowBlank="1" showInputMessage="1" showErrorMessage="1" sqref="M2">
      <formula1>$V$2:$V$9</formula1>
    </dataValidation>
    <dataValidation type="list" allowBlank="1" showInputMessage="1" showErrorMessage="1" sqref="E57:E62 F66 E47:E53">
      <formula1>$R$58:$R$64</formula1>
    </dataValidation>
    <dataValidation type="list" showInputMessage="1" showErrorMessage="1" sqref="D47:D52 D57:D62">
      <formula1>$P$58:$P$64</formula1>
    </dataValidation>
    <dataValidation showInputMessage="1" showErrorMessage="1" sqref="D2:D3 H3"/>
    <dataValidation type="list" allowBlank="1" showInputMessage="1" showErrorMessage="1" sqref="J7">
      <formula1>$T$8:$T$17</formula1>
    </dataValidation>
    <dataValidation type="list" allowBlank="1" showInputMessage="1" showErrorMessage="1" sqref="G6">
      <formula1>NCiiu</formula1>
    </dataValidation>
    <dataValidation type="list" allowBlank="1" showInputMessage="1" showErrorMessage="1" sqref="O10">
      <formula1>rorac</formula1>
    </dataValidation>
    <dataValidation type="list" allowBlank="1" showInputMessage="1" showErrorMessage="1" sqref="V11">
      <formula1>FEVE</formula1>
    </dataValidation>
    <dataValidation type="list" allowBlank="1" showInputMessage="1" showErrorMessage="1" sqref="M3 G10:H10 J10">
      <formula1>SiNo</formula1>
    </dataValidation>
    <dataValidation type="list" allowBlank="1" showInputMessage="1" showErrorMessage="1" sqref="J79">
      <formula1>$S$8:$S$12</formula1>
    </dataValidation>
    <dataValidation type="list" allowBlank="1" showInputMessage="1" showErrorMessage="1" sqref="L79">
      <formula1>$R$8:$R$10</formula1>
    </dataValidation>
    <dataValidation type="list" showInputMessage="1" showErrorMessage="1" sqref="H2">
      <formula1>$S$39:$S$42</formula1>
    </dataValidation>
    <dataValidation type="list" allowBlank="1" showInputMessage="1" showErrorMessage="1" sqref="H47:H53 F57 G66">
      <formula1>$T$58:$T$62</formula1>
    </dataValidation>
  </dataValidations>
  <printOptions horizontalCentered="1"/>
  <pageMargins left="0.39370078740157483" right="0.39370078740157483" top="0.39370078740157483" bottom="0.39370078740157483" header="0" footer="0"/>
  <pageSetup scale="64" fitToHeight="2" orientation="portrait" r:id="rId1"/>
  <headerFooter alignWithMargins="0"/>
  <rowBreaks count="1" manualBreakCount="1">
    <brk id="85" max="11" man="1"/>
  </rowBreaks>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theme="9" tint="-0.499984740745262"/>
    <pageSetUpPr fitToPage="1"/>
  </sheetPr>
  <dimension ref="A1:K116"/>
  <sheetViews>
    <sheetView showGridLines="0" workbookViewId="0">
      <selection activeCell="D114" sqref="D114"/>
    </sheetView>
  </sheetViews>
  <sheetFormatPr baseColWidth="10" defaultRowHeight="12.75" x14ac:dyDescent="0.2"/>
  <cols>
    <col min="1" max="1" width="30.5703125" style="107" customWidth="1"/>
    <col min="2" max="2" width="34.28515625" style="107" customWidth="1"/>
    <col min="3" max="3" width="14" style="107" customWidth="1"/>
    <col min="4" max="4" width="16.140625" style="107" customWidth="1"/>
    <col min="5" max="5" width="17.5703125" style="107" customWidth="1"/>
    <col min="6" max="6" width="14.28515625" style="107" customWidth="1"/>
    <col min="7" max="8" width="12.85546875" style="107" customWidth="1"/>
    <col min="9" max="9" width="33.7109375" style="107" customWidth="1"/>
    <col min="10" max="10" width="13.28515625" style="107" customWidth="1"/>
    <col min="11" max="11" width="34.28515625" style="107" customWidth="1"/>
    <col min="12" max="16384" width="11.42578125" style="94"/>
  </cols>
  <sheetData>
    <row r="1" spans="1:11" x14ac:dyDescent="0.2">
      <c r="A1" s="91"/>
      <c r="B1" s="92"/>
      <c r="C1" s="92"/>
      <c r="D1" s="92"/>
      <c r="E1" s="92"/>
      <c r="F1" s="92"/>
      <c r="G1" s="92"/>
      <c r="H1" s="92"/>
      <c r="I1" s="92"/>
      <c r="J1" s="92"/>
      <c r="K1" s="93"/>
    </row>
    <row r="2" spans="1:11" x14ac:dyDescent="0.2">
      <c r="A2" s="95"/>
      <c r="B2" s="96"/>
      <c r="C2" s="96"/>
      <c r="D2" s="96"/>
      <c r="E2" s="96"/>
      <c r="F2" s="96"/>
      <c r="G2" s="96"/>
      <c r="H2" s="96"/>
      <c r="I2" s="96"/>
      <c r="J2" s="96"/>
      <c r="K2" s="97"/>
    </row>
    <row r="3" spans="1:11" x14ac:dyDescent="0.2">
      <c r="A3" s="95"/>
      <c r="B3" s="96"/>
      <c r="C3" s="96"/>
      <c r="D3" s="96"/>
      <c r="E3" s="96"/>
      <c r="F3" s="96"/>
      <c r="G3" s="96"/>
      <c r="H3" s="96"/>
      <c r="I3" s="96"/>
      <c r="J3" s="96"/>
      <c r="K3" s="97"/>
    </row>
    <row r="4" spans="1:11" ht="18" x14ac:dyDescent="0.25">
      <c r="A4" s="98" t="s">
        <v>303</v>
      </c>
      <c r="B4" s="99" t="s">
        <v>399</v>
      </c>
      <c r="C4" s="99"/>
      <c r="D4" s="99"/>
      <c r="E4" s="100"/>
      <c r="F4" s="100"/>
      <c r="G4" s="100"/>
      <c r="H4" s="100"/>
      <c r="I4" s="100"/>
      <c r="J4" s="100"/>
      <c r="K4" s="101"/>
    </row>
    <row r="5" spans="1:11" ht="13.5" thickBot="1" x14ac:dyDescent="0.25">
      <c r="A5" s="102" t="s">
        <v>303</v>
      </c>
      <c r="B5" s="103"/>
      <c r="C5" s="103"/>
      <c r="D5" s="103"/>
      <c r="E5" s="103"/>
      <c r="F5" s="103"/>
      <c r="G5" s="103"/>
      <c r="H5" s="103"/>
      <c r="I5" s="103"/>
      <c r="J5" s="103"/>
      <c r="K5" s="101"/>
    </row>
    <row r="6" spans="1:11" ht="13.5" customHeight="1" thickBot="1" x14ac:dyDescent="0.25">
      <c r="A6" s="104" t="s">
        <v>400</v>
      </c>
      <c r="B6" s="105" t="s">
        <v>401</v>
      </c>
      <c r="C6" s="106">
        <f ca="1">+TODAY()</f>
        <v>43776</v>
      </c>
      <c r="E6" s="103"/>
      <c r="F6" s="3441" t="str">
        <f ca="1">+CONCATENATE("TRM a ",TEXT(C6,"dd-mm-yyyy"))</f>
        <v>TRM a 07-11-2019</v>
      </c>
      <c r="G6" s="3442"/>
      <c r="H6" s="1327"/>
      <c r="I6" s="103"/>
      <c r="J6" s="103"/>
      <c r="K6" s="101"/>
    </row>
    <row r="7" spans="1:11" ht="13.5" thickBot="1" x14ac:dyDescent="0.25">
      <c r="A7" s="109" t="s">
        <v>403</v>
      </c>
      <c r="B7" s="103"/>
      <c r="C7" s="103"/>
      <c r="D7" s="103"/>
      <c r="E7" s="103"/>
      <c r="F7" s="103"/>
      <c r="G7" s="103"/>
      <c r="H7" s="103"/>
      <c r="I7" s="103"/>
      <c r="J7" s="103"/>
      <c r="K7" s="101"/>
    </row>
    <row r="8" spans="1:11" s="113" customFormat="1" ht="26.25" thickBot="1" x14ac:dyDescent="0.2">
      <c r="A8" s="110" t="s">
        <v>404</v>
      </c>
      <c r="B8" s="111" t="s">
        <v>246</v>
      </c>
      <c r="C8" s="111" t="s">
        <v>405</v>
      </c>
      <c r="D8" s="111" t="s">
        <v>406</v>
      </c>
      <c r="E8" s="111" t="s">
        <v>407</v>
      </c>
      <c r="F8" s="111" t="s">
        <v>408</v>
      </c>
      <c r="G8" s="111" t="s">
        <v>409</v>
      </c>
      <c r="H8" s="111" t="s">
        <v>233</v>
      </c>
      <c r="I8" s="111" t="s">
        <v>232</v>
      </c>
      <c r="J8" s="111"/>
      <c r="K8" s="112" t="s">
        <v>410</v>
      </c>
    </row>
    <row r="9" spans="1:11" s="120" customFormat="1" x14ac:dyDescent="0.15">
      <c r="A9" s="114"/>
      <c r="B9" s="1203"/>
      <c r="C9" s="116"/>
      <c r="D9" s="116"/>
      <c r="E9" s="116"/>
      <c r="F9" s="117"/>
      <c r="G9" s="117"/>
      <c r="H9" s="118"/>
      <c r="I9" s="1203"/>
      <c r="J9" s="1203"/>
      <c r="K9" s="119"/>
    </row>
    <row r="10" spans="1:11" s="120" customFormat="1" ht="25.5" x14ac:dyDescent="0.15">
      <c r="A10" s="114">
        <f>+AR!B5</f>
        <v>0</v>
      </c>
      <c r="B10" s="1208" t="s">
        <v>411</v>
      </c>
      <c r="C10" s="1209"/>
      <c r="D10" s="1206"/>
      <c r="E10" s="1210"/>
      <c r="F10" s="1211" t="e">
        <f>+Posiciones!F10/$H$6</f>
        <v>#DIV/0!</v>
      </c>
      <c r="G10" s="1211" t="e">
        <f>+Posiciones!G10/$H$6</f>
        <v>#DIV/0!</v>
      </c>
      <c r="H10" s="1205"/>
      <c r="I10" s="1212"/>
      <c r="J10" s="1212"/>
      <c r="K10" s="1213"/>
    </row>
    <row r="11" spans="1:11" s="120" customFormat="1" x14ac:dyDescent="0.15">
      <c r="A11" s="114"/>
      <c r="B11" s="1208" t="s">
        <v>1749</v>
      </c>
      <c r="C11" s="1209"/>
      <c r="D11" s="1206"/>
      <c r="E11" s="1210"/>
      <c r="F11" s="1211" t="e">
        <f>+Posiciones!F11/$H$6</f>
        <v>#DIV/0!</v>
      </c>
      <c r="G11" s="1211" t="e">
        <f>+Posiciones!G11/$H$6</f>
        <v>#DIV/0!</v>
      </c>
      <c r="H11" s="1205"/>
      <c r="I11" s="1212"/>
      <c r="J11" s="1212"/>
      <c r="K11" s="1213"/>
    </row>
    <row r="12" spans="1:11" s="120" customFormat="1" x14ac:dyDescent="0.15">
      <c r="A12" s="114"/>
      <c r="B12" s="1204" t="s">
        <v>1750</v>
      </c>
      <c r="C12" s="1209"/>
      <c r="D12" s="1206"/>
      <c r="E12" s="1210"/>
      <c r="F12" s="1211" t="e">
        <f>+Posiciones!F12/$H$6</f>
        <v>#DIV/0!</v>
      </c>
      <c r="G12" s="1211" t="e">
        <f>+Posiciones!G12/$H$6</f>
        <v>#DIV/0!</v>
      </c>
      <c r="H12" s="1205"/>
      <c r="I12" s="1212"/>
      <c r="J12" s="1212"/>
      <c r="K12" s="1213"/>
    </row>
    <row r="13" spans="1:11" s="120" customFormat="1" x14ac:dyDescent="0.15">
      <c r="A13" s="114"/>
      <c r="B13" s="1204" t="s">
        <v>413</v>
      </c>
      <c r="C13" s="1209"/>
      <c r="D13" s="1206"/>
      <c r="E13" s="1210"/>
      <c r="F13" s="1211" t="e">
        <f>+Posiciones!F13/$H$6</f>
        <v>#DIV/0!</v>
      </c>
      <c r="G13" s="1211" t="e">
        <f>+Posiciones!G13/$H$6</f>
        <v>#DIV/0!</v>
      </c>
      <c r="H13" s="1205"/>
      <c r="I13" s="1212"/>
      <c r="J13" s="1212"/>
      <c r="K13" s="1213"/>
    </row>
    <row r="14" spans="1:11" s="120" customFormat="1" x14ac:dyDescent="0.15">
      <c r="A14" s="114"/>
      <c r="B14" s="1204" t="s">
        <v>413</v>
      </c>
      <c r="C14" s="1206"/>
      <c r="D14" s="1206"/>
      <c r="E14" s="1210"/>
      <c r="F14" s="1211" t="e">
        <f>+Posiciones!F14/$H$6</f>
        <v>#DIV/0!</v>
      </c>
      <c r="G14" s="1211" t="e">
        <f>+Posiciones!G14/$H$6</f>
        <v>#DIV/0!</v>
      </c>
      <c r="H14" s="1205"/>
      <c r="I14" s="1212"/>
      <c r="J14" s="1212"/>
      <c r="K14" s="1213"/>
    </row>
    <row r="15" spans="1:11" s="120" customFormat="1" hidden="1" x14ac:dyDescent="0.15">
      <c r="A15" s="114"/>
      <c r="B15" s="1204"/>
      <c r="C15" s="121"/>
      <c r="D15" s="116"/>
      <c r="E15" s="116"/>
      <c r="F15" s="117"/>
      <c r="G15" s="117"/>
      <c r="H15" s="118"/>
      <c r="I15" s="1203"/>
      <c r="J15" s="1203"/>
      <c r="K15" s="119"/>
    </row>
    <row r="16" spans="1:11" s="120" customFormat="1" x14ac:dyDescent="0.15">
      <c r="A16" s="114"/>
      <c r="B16" s="1317"/>
      <c r="C16" s="121"/>
      <c r="D16" s="116"/>
      <c r="E16" s="116"/>
      <c r="F16" s="117"/>
      <c r="G16" s="117"/>
      <c r="H16" s="118"/>
      <c r="I16" s="1203"/>
      <c r="J16" s="1203"/>
      <c r="K16" s="119"/>
    </row>
    <row r="17" spans="1:11" s="120" customFormat="1" x14ac:dyDescent="0.15">
      <c r="A17" s="114"/>
      <c r="B17" s="1317"/>
      <c r="C17" s="121"/>
      <c r="D17" s="116"/>
      <c r="E17" s="116"/>
      <c r="F17" s="117"/>
      <c r="G17" s="117"/>
      <c r="H17" s="118"/>
      <c r="I17" s="1203"/>
      <c r="J17" s="1203"/>
      <c r="K17" s="119"/>
    </row>
    <row r="18" spans="1:11" s="120" customFormat="1" x14ac:dyDescent="0.15">
      <c r="A18" s="114"/>
      <c r="B18" s="1203"/>
      <c r="C18" s="116"/>
      <c r="D18" s="116"/>
      <c r="E18" s="123" t="s">
        <v>414</v>
      </c>
      <c r="F18" s="124" t="e">
        <f>SUM(F10:F16)</f>
        <v>#DIV/0!</v>
      </c>
      <c r="G18" s="125" t="e">
        <f>SUM(G10:G16)</f>
        <v>#DIV/0!</v>
      </c>
      <c r="H18" s="118"/>
      <c r="I18" s="1203"/>
      <c r="J18" s="1203"/>
      <c r="K18" s="119"/>
    </row>
    <row r="19" spans="1:11" s="120" customFormat="1" x14ac:dyDescent="0.15">
      <c r="A19" s="114"/>
      <c r="B19" s="1203"/>
      <c r="C19" s="116"/>
      <c r="D19" s="116"/>
      <c r="E19" s="116"/>
      <c r="F19" s="117"/>
      <c r="G19" s="117"/>
      <c r="H19" s="118"/>
      <c r="I19" s="1203"/>
      <c r="J19" s="1203"/>
      <c r="K19" s="119"/>
    </row>
    <row r="20" spans="1:11" s="120" customFormat="1" x14ac:dyDescent="0.15">
      <c r="A20" s="114" t="s">
        <v>1523</v>
      </c>
      <c r="B20" s="1208" t="s">
        <v>1751</v>
      </c>
      <c r="C20" s="1209"/>
      <c r="D20" s="1206"/>
      <c r="E20" s="1206"/>
      <c r="F20" s="1211" t="e">
        <f>+Posiciones!F20/$H$6</f>
        <v>#DIV/0!</v>
      </c>
      <c r="G20" s="1211" t="e">
        <f>+Posiciones!G20/$H$6</f>
        <v>#DIV/0!</v>
      </c>
      <c r="H20" s="1205"/>
      <c r="I20" s="1212"/>
      <c r="J20" s="1212"/>
      <c r="K20" s="1213"/>
    </row>
    <row r="21" spans="1:11" s="120" customFormat="1" x14ac:dyDescent="0.15">
      <c r="A21" s="114"/>
      <c r="B21" s="1208" t="s">
        <v>1750</v>
      </c>
      <c r="C21" s="1209"/>
      <c r="D21" s="1206"/>
      <c r="E21" s="1206"/>
      <c r="F21" s="1211" t="e">
        <f>+Posiciones!F21/$H$6</f>
        <v>#DIV/0!</v>
      </c>
      <c r="G21" s="1211" t="e">
        <f>+Posiciones!G21/$H$6</f>
        <v>#DIV/0!</v>
      </c>
      <c r="H21" s="1205"/>
      <c r="I21" s="1212"/>
      <c r="J21" s="1212"/>
      <c r="K21" s="1213"/>
    </row>
    <row r="22" spans="1:11" s="120" customFormat="1" x14ac:dyDescent="0.15">
      <c r="A22" s="114"/>
      <c r="B22" s="1208" t="s">
        <v>413</v>
      </c>
      <c r="C22" s="1209"/>
      <c r="D22" s="1206"/>
      <c r="E22" s="1206"/>
      <c r="F22" s="1211" t="e">
        <f>+Posiciones!F22/$H$6</f>
        <v>#DIV/0!</v>
      </c>
      <c r="G22" s="1211" t="e">
        <f>+Posiciones!G22/$H$6</f>
        <v>#DIV/0!</v>
      </c>
      <c r="H22" s="1205"/>
      <c r="I22" s="1212"/>
      <c r="J22" s="1212"/>
      <c r="K22" s="1213"/>
    </row>
    <row r="23" spans="1:11" s="120" customFormat="1" x14ac:dyDescent="0.15">
      <c r="A23" s="114"/>
      <c r="B23" s="1317"/>
      <c r="C23" s="1209"/>
      <c r="D23" s="1206"/>
      <c r="E23" s="1206"/>
      <c r="F23" s="1211"/>
      <c r="G23" s="1211"/>
      <c r="H23" s="1205"/>
      <c r="I23" s="1212"/>
      <c r="J23" s="1212"/>
      <c r="K23" s="1213"/>
    </row>
    <row r="24" spans="1:11" s="120" customFormat="1" x14ac:dyDescent="0.15">
      <c r="A24" s="114"/>
      <c r="B24" s="1317"/>
      <c r="C24" s="116"/>
      <c r="D24" s="116"/>
      <c r="E24" s="116"/>
      <c r="F24" s="117"/>
      <c r="G24" s="117"/>
      <c r="H24" s="118"/>
      <c r="I24" s="1203"/>
      <c r="J24" s="1203"/>
      <c r="K24" s="119"/>
    </row>
    <row r="25" spans="1:11" s="120" customFormat="1" x14ac:dyDescent="0.15">
      <c r="A25" s="114"/>
      <c r="B25" s="1203"/>
      <c r="C25" s="116"/>
      <c r="D25" s="116"/>
      <c r="E25" s="123" t="s">
        <v>414</v>
      </c>
      <c r="F25" s="124" t="e">
        <f>SUM(F20:F24)</f>
        <v>#DIV/0!</v>
      </c>
      <c r="G25" s="125" t="e">
        <f>SUM(G20:G24)</f>
        <v>#DIV/0!</v>
      </c>
      <c r="H25" s="118"/>
      <c r="I25" s="1203"/>
      <c r="J25" s="1203"/>
      <c r="K25" s="119"/>
    </row>
    <row r="26" spans="1:11" s="120" customFormat="1" x14ac:dyDescent="0.15">
      <c r="A26" s="114"/>
      <c r="B26" s="1203"/>
      <c r="C26" s="116"/>
      <c r="D26" s="116"/>
      <c r="E26" s="116"/>
      <c r="F26" s="117"/>
      <c r="G26" s="117"/>
      <c r="H26" s="118"/>
      <c r="I26" s="1203"/>
      <c r="J26" s="1203"/>
      <c r="K26" s="119"/>
    </row>
    <row r="27" spans="1:11" s="120" customFormat="1" ht="25.5" x14ac:dyDescent="0.15">
      <c r="A27" s="126" t="s">
        <v>1523</v>
      </c>
      <c r="B27" s="1208" t="s">
        <v>411</v>
      </c>
      <c r="C27" s="1209"/>
      <c r="D27" s="1206"/>
      <c r="E27" s="1206"/>
      <c r="F27" s="1211" t="e">
        <f>+Posiciones!F27/$H$6</f>
        <v>#DIV/0!</v>
      </c>
      <c r="G27" s="1211" t="e">
        <f>+Posiciones!G27/$H$6</f>
        <v>#DIV/0!</v>
      </c>
      <c r="H27" s="1205"/>
      <c r="I27" s="1212"/>
      <c r="J27" s="1214"/>
      <c r="K27" s="1213"/>
    </row>
    <row r="28" spans="1:11" s="120" customFormat="1" x14ac:dyDescent="0.15">
      <c r="A28" s="126"/>
      <c r="B28" s="1204" t="s">
        <v>412</v>
      </c>
      <c r="C28" s="1209"/>
      <c r="D28" s="1206"/>
      <c r="E28" s="1206"/>
      <c r="F28" s="1211" t="e">
        <f>+Posiciones!F28/$H$6</f>
        <v>#DIV/0!</v>
      </c>
      <c r="G28" s="1211" t="e">
        <f>+Posiciones!G28/$H$6</f>
        <v>#DIV/0!</v>
      </c>
      <c r="H28" s="1205"/>
      <c r="I28" s="1212"/>
      <c r="J28" s="1212"/>
      <c r="K28" s="1215"/>
    </row>
    <row r="29" spans="1:11" s="120" customFormat="1" x14ac:dyDescent="0.15">
      <c r="A29" s="127"/>
      <c r="B29" s="1204" t="s">
        <v>413</v>
      </c>
      <c r="C29" s="1209"/>
      <c r="D29" s="1206"/>
      <c r="E29" s="1206"/>
      <c r="F29" s="1211" t="e">
        <f>+Posiciones!F29/$H$6</f>
        <v>#DIV/0!</v>
      </c>
      <c r="G29" s="1211" t="e">
        <f>+Posiciones!G29/$H$6</f>
        <v>#DIV/0!</v>
      </c>
      <c r="H29" s="1205"/>
      <c r="I29" s="1212"/>
      <c r="J29" s="1204"/>
      <c r="K29" s="1216"/>
    </row>
    <row r="30" spans="1:11" s="120" customFormat="1" x14ac:dyDescent="0.15">
      <c r="A30" s="127"/>
      <c r="B30" s="1317"/>
      <c r="C30" s="116"/>
      <c r="D30" s="116"/>
      <c r="E30" s="121"/>
      <c r="F30" s="1211"/>
      <c r="G30" s="1211"/>
      <c r="H30" s="118"/>
      <c r="I30" s="1203"/>
      <c r="J30" s="3438"/>
      <c r="K30" s="3439"/>
    </row>
    <row r="31" spans="1:11" s="120" customFormat="1" x14ac:dyDescent="0.15">
      <c r="A31" s="127"/>
      <c r="B31" s="1317"/>
      <c r="C31" s="1203"/>
      <c r="D31" s="116"/>
      <c r="E31" s="123" t="s">
        <v>414</v>
      </c>
      <c r="F31" s="124" t="e">
        <f>SUM(F27:F30)</f>
        <v>#DIV/0!</v>
      </c>
      <c r="G31" s="125" t="e">
        <f>SUM(G27:G30)</f>
        <v>#DIV/0!</v>
      </c>
      <c r="H31" s="118"/>
      <c r="I31" s="1203"/>
      <c r="J31" s="1203"/>
      <c r="K31" s="119"/>
    </row>
    <row r="32" spans="1:11" s="120" customFormat="1" x14ac:dyDescent="0.15">
      <c r="A32" s="126"/>
      <c r="B32" s="1317"/>
      <c r="C32" s="1203"/>
      <c r="D32" s="116"/>
      <c r="E32" s="117"/>
      <c r="F32" s="117"/>
      <c r="G32" s="117"/>
      <c r="H32" s="118"/>
      <c r="I32" s="1203"/>
      <c r="J32" s="1203"/>
      <c r="K32" s="119"/>
    </row>
    <row r="33" spans="1:11" s="120" customFormat="1" ht="25.5" x14ac:dyDescent="0.15">
      <c r="A33" s="126" t="s">
        <v>1523</v>
      </c>
      <c r="B33" s="120" t="s">
        <v>411</v>
      </c>
      <c r="C33" s="121"/>
      <c r="F33" s="1211" t="e">
        <f>+Posiciones!F33/$H$6</f>
        <v>#DIV/0!</v>
      </c>
      <c r="G33" s="1211" t="e">
        <f>+Posiciones!G33/$H$6</f>
        <v>#DIV/0!</v>
      </c>
      <c r="I33" s="1203"/>
      <c r="J33" s="3438"/>
      <c r="K33" s="3440"/>
    </row>
    <row r="34" spans="1:11" s="120" customFormat="1" x14ac:dyDescent="0.15">
      <c r="A34" s="126"/>
      <c r="B34" s="1317" t="s">
        <v>412</v>
      </c>
      <c r="C34" s="121"/>
      <c r="D34" s="116"/>
      <c r="E34" s="116"/>
      <c r="F34" s="1211" t="e">
        <f>+Posiciones!F34/$H$6</f>
        <v>#DIV/0!</v>
      </c>
      <c r="G34" s="1211" t="e">
        <f>+Posiciones!G34/$H$6</f>
        <v>#DIV/0!</v>
      </c>
      <c r="H34" s="118"/>
      <c r="I34" s="1203"/>
      <c r="J34" s="129"/>
      <c r="K34" s="130"/>
    </row>
    <row r="35" spans="1:11" s="120" customFormat="1" x14ac:dyDescent="0.15">
      <c r="A35" s="126"/>
      <c r="B35" s="1317" t="s">
        <v>413</v>
      </c>
      <c r="C35" s="121"/>
      <c r="D35" s="116"/>
      <c r="E35" s="116"/>
      <c r="F35" s="1211" t="e">
        <f>+Posiciones!F35/$H$6</f>
        <v>#DIV/0!</v>
      </c>
      <c r="G35" s="1211" t="e">
        <f>+Posiciones!G35/$H$6</f>
        <v>#DIV/0!</v>
      </c>
      <c r="H35" s="118"/>
      <c r="I35" s="1203"/>
      <c r="J35" s="129"/>
      <c r="K35" s="130"/>
    </row>
    <row r="36" spans="1:11" s="120" customFormat="1" x14ac:dyDescent="0.15">
      <c r="A36" s="126"/>
      <c r="B36" s="1317"/>
      <c r="C36" s="116"/>
      <c r="D36" s="1203"/>
      <c r="E36" s="116"/>
      <c r="F36" s="117"/>
      <c r="G36" s="117"/>
      <c r="H36" s="118"/>
      <c r="I36" s="1203"/>
      <c r="J36" s="129"/>
      <c r="K36" s="130"/>
    </row>
    <row r="37" spans="1:11" s="120" customFormat="1" x14ac:dyDescent="0.15">
      <c r="A37" s="126"/>
      <c r="B37" s="1317"/>
      <c r="C37" s="1203"/>
      <c r="D37" s="1203"/>
      <c r="E37" s="123" t="s">
        <v>414</v>
      </c>
      <c r="F37" s="124" t="e">
        <f>SUM(F33:F36)</f>
        <v>#DIV/0!</v>
      </c>
      <c r="G37" s="125" t="e">
        <f>SUM(G33:G36)</f>
        <v>#DIV/0!</v>
      </c>
      <c r="H37" s="118"/>
      <c r="I37" s="1203"/>
      <c r="J37" s="1203"/>
      <c r="K37" s="119"/>
    </row>
    <row r="38" spans="1:11" s="120" customFormat="1" x14ac:dyDescent="0.15">
      <c r="A38" s="127"/>
      <c r="B38" s="1317"/>
      <c r="C38" s="1203"/>
      <c r="D38" s="1203"/>
      <c r="E38" s="116"/>
      <c r="F38" s="117"/>
      <c r="G38" s="117"/>
      <c r="H38" s="118"/>
      <c r="I38" s="1203"/>
      <c r="J38" s="1203"/>
      <c r="K38" s="119"/>
    </row>
    <row r="39" spans="1:11" s="120" customFormat="1" ht="25.5" x14ac:dyDescent="0.15">
      <c r="A39" s="126" t="s">
        <v>1523</v>
      </c>
      <c r="B39" s="120" t="s">
        <v>411</v>
      </c>
      <c r="C39" s="121"/>
      <c r="D39" s="116"/>
      <c r="E39" s="116"/>
      <c r="F39" s="1211" t="e">
        <f>+Posiciones!F39/$H$6</f>
        <v>#DIV/0!</v>
      </c>
      <c r="G39" s="1211" t="e">
        <f>+Posiciones!G39/$H$6</f>
        <v>#DIV/0!</v>
      </c>
      <c r="I39" s="1203"/>
      <c r="J39" s="3438"/>
      <c r="K39" s="3440"/>
    </row>
    <row r="40" spans="1:11" s="120" customFormat="1" x14ac:dyDescent="0.15">
      <c r="A40" s="126"/>
      <c r="B40" s="1317" t="s">
        <v>412</v>
      </c>
      <c r="C40" s="121"/>
      <c r="D40" s="116"/>
      <c r="E40" s="116"/>
      <c r="F40" s="1211" t="e">
        <f>+Posiciones!F40/$H$6</f>
        <v>#DIV/0!</v>
      </c>
      <c r="G40" s="1211" t="e">
        <f>+Posiciones!G40/$H$6</f>
        <v>#DIV/0!</v>
      </c>
      <c r="H40" s="118"/>
      <c r="I40" s="1203"/>
      <c r="J40" s="1317"/>
      <c r="K40" s="1318"/>
    </row>
    <row r="41" spans="1:11" s="120" customFormat="1" x14ac:dyDescent="0.15">
      <c r="A41" s="126"/>
      <c r="B41" s="1317" t="s">
        <v>413</v>
      </c>
      <c r="C41" s="121"/>
      <c r="D41" s="116"/>
      <c r="E41" s="116"/>
      <c r="F41" s="1211" t="e">
        <f>+Posiciones!F41/$H$6</f>
        <v>#DIV/0!</v>
      </c>
      <c r="G41" s="1211" t="e">
        <f>+Posiciones!G41/$H$6</f>
        <v>#DIV/0!</v>
      </c>
      <c r="H41" s="118"/>
      <c r="I41" s="1203"/>
      <c r="J41" s="1317"/>
      <c r="K41" s="1318"/>
    </row>
    <row r="42" spans="1:11" s="120" customFormat="1" x14ac:dyDescent="0.15">
      <c r="A42" s="127"/>
      <c r="B42" s="1317"/>
      <c r="C42" s="1203"/>
      <c r="D42" s="1203"/>
      <c r="E42" s="116"/>
      <c r="F42" s="131"/>
      <c r="G42" s="117"/>
      <c r="H42" s="118"/>
      <c r="I42" s="1203"/>
      <c r="J42" s="1203"/>
      <c r="K42" s="119"/>
    </row>
    <row r="43" spans="1:11" x14ac:dyDescent="0.2">
      <c r="A43" s="126"/>
      <c r="B43" s="1317"/>
      <c r="C43" s="1203"/>
      <c r="D43" s="1203"/>
      <c r="E43" s="123" t="s">
        <v>414</v>
      </c>
      <c r="F43" s="124" t="e">
        <f>SUM(F39:F42)</f>
        <v>#DIV/0!</v>
      </c>
      <c r="G43" s="125" t="e">
        <f>SUM(G39:G42)</f>
        <v>#DIV/0!</v>
      </c>
      <c r="H43" s="118"/>
      <c r="I43" s="1203"/>
      <c r="J43" s="1203"/>
      <c r="K43" s="119"/>
    </row>
    <row r="44" spans="1:11" x14ac:dyDescent="0.2">
      <c r="A44" s="126"/>
      <c r="B44" s="1317"/>
      <c r="C44" s="1203"/>
      <c r="D44" s="1203"/>
      <c r="E44" s="131"/>
      <c r="F44" s="131"/>
      <c r="G44" s="131"/>
      <c r="H44" s="118"/>
      <c r="I44" s="1203"/>
      <c r="J44" s="1203"/>
      <c r="K44" s="119"/>
    </row>
    <row r="45" spans="1:11" ht="25.5" x14ac:dyDescent="0.2">
      <c r="A45" s="126" t="s">
        <v>1523</v>
      </c>
      <c r="B45" s="120" t="s">
        <v>411</v>
      </c>
      <c r="C45" s="121"/>
      <c r="D45" s="116"/>
      <c r="E45" s="116"/>
      <c r="F45" s="1211" t="e">
        <f>+Posiciones!F45/$H$6</f>
        <v>#DIV/0!</v>
      </c>
      <c r="G45" s="1211" t="e">
        <f>+Posiciones!G45/$H$6</f>
        <v>#DIV/0!</v>
      </c>
      <c r="H45" s="118"/>
      <c r="I45" s="1203"/>
      <c r="J45" s="1203"/>
      <c r="K45" s="119"/>
    </row>
    <row r="46" spans="1:11" x14ac:dyDescent="0.2">
      <c r="A46" s="126"/>
      <c r="B46" s="1317" t="s">
        <v>412</v>
      </c>
      <c r="C46" s="121"/>
      <c r="D46" s="116"/>
      <c r="E46" s="116"/>
      <c r="F46" s="1211" t="e">
        <f>+Posiciones!F46/$H$6</f>
        <v>#DIV/0!</v>
      </c>
      <c r="G46" s="1211" t="e">
        <f>+Posiciones!G46/$H$6</f>
        <v>#DIV/0!</v>
      </c>
      <c r="H46" s="118"/>
      <c r="I46" s="1203"/>
      <c r="J46" s="1203"/>
      <c r="K46" s="119"/>
    </row>
    <row r="47" spans="1:11" x14ac:dyDescent="0.2">
      <c r="A47" s="126"/>
      <c r="B47" s="1317" t="s">
        <v>413</v>
      </c>
      <c r="C47" s="121"/>
      <c r="D47" s="116"/>
      <c r="E47" s="116"/>
      <c r="F47" s="1211" t="e">
        <f>+Posiciones!F47/$H$6</f>
        <v>#DIV/0!</v>
      </c>
      <c r="G47" s="1211" t="e">
        <f>+Posiciones!G47/$H$6</f>
        <v>#DIV/0!</v>
      </c>
      <c r="H47" s="118"/>
      <c r="I47" s="1203"/>
      <c r="J47" s="1203"/>
      <c r="K47" s="119"/>
    </row>
    <row r="48" spans="1:11" s="120" customFormat="1" x14ac:dyDescent="0.15">
      <c r="A48" s="126"/>
      <c r="B48" s="1317"/>
      <c r="C48" s="116"/>
      <c r="D48" s="1203"/>
      <c r="E48" s="116"/>
      <c r="F48" s="117"/>
      <c r="G48" s="117"/>
      <c r="H48" s="118"/>
      <c r="I48" s="1203"/>
      <c r="J48" s="1203"/>
      <c r="K48" s="119"/>
    </row>
    <row r="49" spans="1:11" x14ac:dyDescent="0.2">
      <c r="A49" s="126"/>
      <c r="B49" s="1317"/>
      <c r="C49" s="1203"/>
      <c r="D49" s="1203"/>
      <c r="E49" s="123" t="s">
        <v>414</v>
      </c>
      <c r="F49" s="124" t="e">
        <f>SUM(F45:F48)</f>
        <v>#DIV/0!</v>
      </c>
      <c r="G49" s="125" t="e">
        <f>SUM(G45:G48)</f>
        <v>#DIV/0!</v>
      </c>
      <c r="H49" s="118"/>
      <c r="I49" s="1203"/>
      <c r="J49" s="1203"/>
      <c r="K49" s="119"/>
    </row>
    <row r="50" spans="1:11" x14ac:dyDescent="0.2">
      <c r="A50" s="126"/>
      <c r="B50" s="1317"/>
      <c r="C50" s="1203"/>
      <c r="D50" s="1203"/>
      <c r="E50" s="131"/>
      <c r="F50" s="131"/>
      <c r="G50" s="131"/>
      <c r="H50" s="118"/>
      <c r="I50" s="1203"/>
      <c r="J50" s="1203"/>
      <c r="K50" s="119"/>
    </row>
    <row r="51" spans="1:11" ht="25.5" x14ac:dyDescent="0.2">
      <c r="A51" s="126" t="s">
        <v>1523</v>
      </c>
      <c r="B51" s="120" t="s">
        <v>411</v>
      </c>
      <c r="C51" s="121"/>
      <c r="D51" s="94"/>
      <c r="E51" s="94"/>
      <c r="F51" s="1211" t="e">
        <f>+Posiciones!F51/$H$6</f>
        <v>#DIV/0!</v>
      </c>
      <c r="G51" s="1211" t="e">
        <f>+Posiciones!G51/$H$6</f>
        <v>#DIV/0!</v>
      </c>
      <c r="H51" s="94"/>
      <c r="I51" s="1203"/>
      <c r="J51" s="1203"/>
      <c r="K51" s="119"/>
    </row>
    <row r="52" spans="1:11" x14ac:dyDescent="0.2">
      <c r="A52" s="126"/>
      <c r="B52" s="1317" t="s">
        <v>412</v>
      </c>
      <c r="C52" s="121"/>
      <c r="D52" s="116"/>
      <c r="E52" s="116"/>
      <c r="F52" s="1211" t="e">
        <f>+Posiciones!F52/$H$6</f>
        <v>#DIV/0!</v>
      </c>
      <c r="G52" s="1211" t="e">
        <f>+Posiciones!G52/$H$6</f>
        <v>#DIV/0!</v>
      </c>
      <c r="H52" s="118"/>
      <c r="I52" s="1203"/>
      <c r="J52" s="1203"/>
      <c r="K52" s="119"/>
    </row>
    <row r="53" spans="1:11" x14ac:dyDescent="0.2">
      <c r="A53" s="126"/>
      <c r="B53" s="1317" t="s">
        <v>413</v>
      </c>
      <c r="C53" s="121"/>
      <c r="D53" s="116"/>
      <c r="E53" s="116"/>
      <c r="F53" s="1211" t="e">
        <f>+Posiciones!F53/$H$6</f>
        <v>#DIV/0!</v>
      </c>
      <c r="G53" s="1211" t="e">
        <f>+Posiciones!G53/$H$6</f>
        <v>#DIV/0!</v>
      </c>
      <c r="H53" s="118"/>
      <c r="I53" s="1203"/>
      <c r="J53" s="1203"/>
      <c r="K53" s="119"/>
    </row>
    <row r="54" spans="1:11" s="120" customFormat="1" x14ac:dyDescent="0.15">
      <c r="A54" s="126"/>
      <c r="B54" s="1203"/>
      <c r="C54" s="1203"/>
      <c r="D54" s="1203"/>
      <c r="E54" s="117"/>
      <c r="F54" s="117"/>
      <c r="G54" s="117"/>
      <c r="H54" s="118"/>
      <c r="I54" s="1203"/>
      <c r="J54" s="1203"/>
      <c r="K54" s="119"/>
    </row>
    <row r="55" spans="1:11" s="120" customFormat="1" x14ac:dyDescent="0.15">
      <c r="A55" s="126"/>
      <c r="B55" s="1203"/>
      <c r="C55" s="1203"/>
      <c r="D55" s="116"/>
      <c r="E55" s="123" t="s">
        <v>414</v>
      </c>
      <c r="F55" s="124" t="e">
        <f>SUM(F51:F54)</f>
        <v>#DIV/0!</v>
      </c>
      <c r="G55" s="125" t="e">
        <f>SUM(G51:G54)</f>
        <v>#DIV/0!</v>
      </c>
      <c r="H55" s="118"/>
      <c r="I55" s="1203"/>
      <c r="J55" s="1203"/>
      <c r="K55" s="119"/>
    </row>
    <row r="56" spans="1:11" s="120" customFormat="1" x14ac:dyDescent="0.15">
      <c r="A56" s="126"/>
      <c r="B56" s="1203"/>
      <c r="C56" s="1203"/>
      <c r="D56" s="116"/>
      <c r="E56" s="131"/>
      <c r="F56" s="131"/>
      <c r="G56" s="131"/>
      <c r="H56" s="118"/>
      <c r="I56" s="1203"/>
      <c r="J56" s="1203"/>
      <c r="K56" s="119"/>
    </row>
    <row r="57" spans="1:11" s="120" customFormat="1" ht="25.5" x14ac:dyDescent="0.15">
      <c r="A57" s="126" t="s">
        <v>1523</v>
      </c>
      <c r="B57" s="120" t="s">
        <v>411</v>
      </c>
      <c r="C57" s="121"/>
      <c r="D57" s="116"/>
      <c r="E57" s="116"/>
      <c r="F57" s="1211" t="e">
        <f>+Posiciones!F57/$H$6</f>
        <v>#DIV/0!</v>
      </c>
      <c r="G57" s="1211" t="e">
        <f>+Posiciones!G57/$H$6</f>
        <v>#DIV/0!</v>
      </c>
      <c r="H57" s="118"/>
      <c r="I57" s="1203"/>
      <c r="J57" s="3438"/>
      <c r="K57" s="3440"/>
    </row>
    <row r="58" spans="1:11" s="120" customFormat="1" x14ac:dyDescent="0.15">
      <c r="A58" s="126"/>
      <c r="B58" s="1317" t="s">
        <v>412</v>
      </c>
      <c r="C58" s="121"/>
      <c r="D58" s="116"/>
      <c r="E58" s="116"/>
      <c r="F58" s="1211" t="e">
        <f>+Posiciones!F58/$H$6</f>
        <v>#DIV/0!</v>
      </c>
      <c r="G58" s="1211" t="e">
        <f>+Posiciones!G58/$H$6</f>
        <v>#DIV/0!</v>
      </c>
      <c r="H58" s="118"/>
      <c r="I58" s="1203"/>
      <c r="J58" s="1317"/>
      <c r="K58" s="1318"/>
    </row>
    <row r="59" spans="1:11" s="120" customFormat="1" x14ac:dyDescent="0.15">
      <c r="A59" s="126"/>
      <c r="B59" s="1317" t="s">
        <v>413</v>
      </c>
      <c r="C59" s="121"/>
      <c r="D59" s="116"/>
      <c r="E59" s="116"/>
      <c r="F59" s="1211" t="e">
        <f>+Posiciones!F59/$H$6</f>
        <v>#DIV/0!</v>
      </c>
      <c r="G59" s="1211" t="e">
        <f>+Posiciones!G59/$H$6</f>
        <v>#DIV/0!</v>
      </c>
      <c r="H59" s="118"/>
      <c r="I59" s="1203"/>
      <c r="J59" s="1317"/>
      <c r="K59" s="1318"/>
    </row>
    <row r="60" spans="1:11" s="120" customFormat="1" x14ac:dyDescent="0.15">
      <c r="A60" s="127"/>
      <c r="B60" s="1317"/>
      <c r="C60" s="116"/>
      <c r="D60" s="1203"/>
      <c r="E60" s="131"/>
      <c r="F60" s="117"/>
      <c r="G60" s="117"/>
      <c r="H60" s="118"/>
      <c r="I60" s="1203"/>
      <c r="J60" s="1203"/>
      <c r="K60" s="119"/>
    </row>
    <row r="61" spans="1:11" x14ac:dyDescent="0.2">
      <c r="A61" s="127"/>
      <c r="B61" s="1203"/>
      <c r="C61" s="1203"/>
      <c r="D61" s="1203"/>
      <c r="E61" s="123" t="s">
        <v>414</v>
      </c>
      <c r="F61" s="124" t="e">
        <f>SUM(F57:F60)</f>
        <v>#DIV/0!</v>
      </c>
      <c r="G61" s="125" t="e">
        <f>SUM(G57:G60)</f>
        <v>#DIV/0!</v>
      </c>
      <c r="H61" s="118"/>
      <c r="I61" s="1203"/>
      <c r="J61" s="1203"/>
      <c r="K61" s="119"/>
    </row>
    <row r="62" spans="1:11" s="120" customFormat="1" x14ac:dyDescent="0.15">
      <c r="A62" s="126"/>
      <c r="B62" s="1203"/>
      <c r="C62" s="1203"/>
      <c r="D62" s="116"/>
      <c r="E62" s="131"/>
      <c r="F62" s="131"/>
      <c r="G62" s="131"/>
      <c r="H62" s="118"/>
      <c r="I62" s="1203"/>
      <c r="J62" s="1203"/>
      <c r="K62" s="119"/>
    </row>
    <row r="63" spans="1:11" x14ac:dyDescent="0.2">
      <c r="A63" s="126"/>
      <c r="B63" s="132"/>
      <c r="C63" s="132"/>
      <c r="D63" s="133"/>
      <c r="E63" s="134" t="s">
        <v>186</v>
      </c>
      <c r="F63" s="135" t="e">
        <f>+F18+F25+F31+F37+F43+F49+F55+F61</f>
        <v>#DIV/0!</v>
      </c>
      <c r="G63" s="136" t="e">
        <f>+G18+G25+G31+G37+G43+G49+G55+G61</f>
        <v>#DIV/0!</v>
      </c>
      <c r="H63" s="137"/>
      <c r="I63" s="132"/>
      <c r="J63" s="132"/>
      <c r="K63" s="138"/>
    </row>
    <row r="64" spans="1:11" ht="13.5" thickBot="1" x14ac:dyDescent="0.25">
      <c r="A64" s="102"/>
      <c r="B64" s="103"/>
      <c r="C64" s="103"/>
      <c r="D64" s="103"/>
      <c r="E64" s="103"/>
      <c r="F64" s="139"/>
      <c r="G64" s="139"/>
      <c r="H64" s="140"/>
      <c r="I64" s="103"/>
      <c r="J64" s="103"/>
      <c r="K64" s="101"/>
    </row>
    <row r="65" spans="1:11" ht="14.25" thickTop="1" thickBot="1" x14ac:dyDescent="0.25">
      <c r="A65" s="141"/>
      <c r="B65" s="142"/>
      <c r="C65" s="142"/>
      <c r="D65" s="142"/>
      <c r="E65" s="142"/>
      <c r="F65" s="142"/>
      <c r="G65" s="142"/>
      <c r="H65" s="142"/>
      <c r="I65" s="142"/>
      <c r="J65" s="142"/>
      <c r="K65" s="143"/>
    </row>
    <row r="66" spans="1:11" s="147" customFormat="1" ht="13.5" thickTop="1" x14ac:dyDescent="0.2">
      <c r="A66" s="144"/>
      <c r="B66" s="145"/>
      <c r="C66" s="145"/>
      <c r="D66" s="145"/>
      <c r="E66" s="145"/>
      <c r="F66" s="145"/>
      <c r="G66" s="145"/>
      <c r="H66" s="145"/>
      <c r="I66" s="145"/>
      <c r="J66" s="145"/>
      <c r="K66" s="146"/>
    </row>
    <row r="67" spans="1:11" x14ac:dyDescent="0.2">
      <c r="A67" s="104" t="s">
        <v>415</v>
      </c>
      <c r="B67" s="148"/>
      <c r="C67" s="148"/>
      <c r="D67" s="148"/>
      <c r="E67" s="103"/>
      <c r="F67" s="103"/>
      <c r="G67" s="103"/>
      <c r="H67" s="103"/>
      <c r="I67" s="103"/>
      <c r="J67" s="103"/>
      <c r="K67" s="101"/>
    </row>
    <row r="68" spans="1:11" x14ac:dyDescent="0.2">
      <c r="A68" s="102"/>
      <c r="B68" s="103"/>
      <c r="C68" s="103"/>
      <c r="D68" s="103"/>
      <c r="E68" s="103"/>
      <c r="F68" s="149" t="s">
        <v>303</v>
      </c>
      <c r="G68" s="103"/>
      <c r="H68" s="103"/>
      <c r="I68" s="103"/>
      <c r="J68" s="103"/>
      <c r="K68" s="101"/>
    </row>
    <row r="69" spans="1:11" x14ac:dyDescent="0.2">
      <c r="A69" s="150" t="s">
        <v>404</v>
      </c>
      <c r="B69" s="151"/>
      <c r="C69" s="151"/>
      <c r="D69" s="151"/>
      <c r="E69" s="152" t="s">
        <v>303</v>
      </c>
      <c r="F69" s="151" t="s">
        <v>169</v>
      </c>
      <c r="G69" s="151" t="s">
        <v>170</v>
      </c>
      <c r="H69" s="151"/>
      <c r="I69" s="151" t="s">
        <v>410</v>
      </c>
      <c r="J69" s="151"/>
      <c r="K69" s="153" t="s">
        <v>303</v>
      </c>
    </row>
    <row r="70" spans="1:11" x14ac:dyDescent="0.2">
      <c r="A70" s="154"/>
      <c r="B70" s="103"/>
      <c r="C70" s="155"/>
      <c r="D70" s="155"/>
      <c r="E70" s="156"/>
      <c r="F70"/>
      <c r="G70" s="157"/>
      <c r="H70" s="155"/>
      <c r="I70" s="155"/>
      <c r="J70" s="155"/>
      <c r="K70" s="158"/>
    </row>
    <row r="71" spans="1:11" x14ac:dyDescent="0.2">
      <c r="A71" s="154">
        <f>+A10</f>
        <v>0</v>
      </c>
      <c r="B71" s="103" t="s">
        <v>416</v>
      </c>
      <c r="C71" s="155"/>
      <c r="D71" s="155"/>
      <c r="E71" s="156"/>
      <c r="F71" s="1211" t="e">
        <f>+Posiciones!F71/$H$6</f>
        <v>#DIV/0!</v>
      </c>
      <c r="G71" s="1211" t="e">
        <f>+Posiciones!G71/$H$6</f>
        <v>#DIV/0!</v>
      </c>
      <c r="H71" s="155"/>
      <c r="I71" s="155"/>
      <c r="J71" s="155"/>
      <c r="K71" s="158"/>
    </row>
    <row r="72" spans="1:11" x14ac:dyDescent="0.2">
      <c r="A72" s="154"/>
      <c r="B72" s="103" t="s">
        <v>417</v>
      </c>
      <c r="C72" s="155"/>
      <c r="D72" s="155"/>
      <c r="E72" s="156"/>
      <c r="F72" s="1211" t="e">
        <f>+Posiciones!F72/$H$6</f>
        <v>#DIV/0!</v>
      </c>
      <c r="G72" s="1211" t="e">
        <f>+Posiciones!G72/$H$6</f>
        <v>#DIV/0!</v>
      </c>
      <c r="H72" s="155"/>
      <c r="I72" s="155"/>
      <c r="J72" s="155"/>
      <c r="K72" s="158"/>
    </row>
    <row r="73" spans="1:11" x14ac:dyDescent="0.2">
      <c r="A73" s="154"/>
      <c r="B73" s="103" t="s">
        <v>418</v>
      </c>
      <c r="C73" s="103"/>
      <c r="D73" s="103"/>
      <c r="E73" s="103"/>
      <c r="F73" s="1211" t="e">
        <f>+Posiciones!F73/$H$6</f>
        <v>#DIV/0!</v>
      </c>
      <c r="G73" s="1211" t="e">
        <f>+Posiciones!G73/$H$6</f>
        <v>#DIV/0!</v>
      </c>
      <c r="H73" s="147"/>
      <c r="I73" s="103"/>
      <c r="J73" s="103"/>
      <c r="K73" s="101"/>
    </row>
    <row r="74" spans="1:11" x14ac:dyDescent="0.2">
      <c r="A74" s="154"/>
      <c r="B74" s="155"/>
      <c r="C74" s="155"/>
      <c r="D74" s="155"/>
      <c r="E74" s="159" t="s">
        <v>414</v>
      </c>
      <c r="F74" s="160" t="e">
        <f>SUM(F70:F72)</f>
        <v>#DIV/0!</v>
      </c>
      <c r="G74" s="160" t="e">
        <f>SUM(G70:G72)</f>
        <v>#DIV/0!</v>
      </c>
      <c r="H74" s="155"/>
      <c r="I74" s="155"/>
      <c r="J74" s="155"/>
      <c r="K74" s="158"/>
    </row>
    <row r="75" spans="1:11" x14ac:dyDescent="0.2">
      <c r="A75" s="154"/>
      <c r="B75" s="155"/>
      <c r="C75" s="155"/>
      <c r="D75" s="155"/>
      <c r="E75" s="159"/>
      <c r="F75" s="160"/>
      <c r="G75" s="160"/>
      <c r="H75" s="155"/>
      <c r="I75" s="155"/>
      <c r="J75" s="155"/>
      <c r="K75" s="158"/>
    </row>
    <row r="76" spans="1:11" x14ac:dyDescent="0.2">
      <c r="A76" s="154" t="str">
        <f>+A20</f>
        <v>xxxx</v>
      </c>
      <c r="B76" s="103" t="s">
        <v>416</v>
      </c>
      <c r="C76" s="103"/>
      <c r="D76" s="103"/>
      <c r="E76" s="103"/>
      <c r="F76" s="1211" t="e">
        <f>+Posiciones!F76/$H$6</f>
        <v>#DIV/0!</v>
      </c>
      <c r="G76" s="1211" t="e">
        <f>+Posiciones!G76/$H$6</f>
        <v>#DIV/0!</v>
      </c>
      <c r="H76" s="147"/>
      <c r="I76" s="103"/>
      <c r="J76" s="103"/>
      <c r="K76" s="101"/>
    </row>
    <row r="77" spans="1:11" x14ac:dyDescent="0.2">
      <c r="A77" s="154"/>
      <c r="B77" s="103" t="s">
        <v>417</v>
      </c>
      <c r="C77" s="103"/>
      <c r="D77" s="103"/>
      <c r="E77" s="103"/>
      <c r="F77" s="1211" t="e">
        <f>+Posiciones!F77/$H$6</f>
        <v>#DIV/0!</v>
      </c>
      <c r="G77" s="1211" t="e">
        <f>+Posiciones!G77/$H$6</f>
        <v>#DIV/0!</v>
      </c>
      <c r="H77" s="147"/>
      <c r="I77" s="103"/>
      <c r="J77" s="103"/>
      <c r="K77" s="101"/>
    </row>
    <row r="78" spans="1:11" x14ac:dyDescent="0.2">
      <c r="A78" s="154"/>
      <c r="B78" s="103" t="s">
        <v>418</v>
      </c>
      <c r="C78" s="103"/>
      <c r="D78" s="103"/>
      <c r="E78" s="103"/>
      <c r="F78" s="1211" t="e">
        <f>+Posiciones!F78/$H$6</f>
        <v>#DIV/0!</v>
      </c>
      <c r="G78" s="1211" t="e">
        <f>+Posiciones!G78/$H$6</f>
        <v>#DIV/0!</v>
      </c>
      <c r="H78" s="147"/>
      <c r="I78" s="103"/>
      <c r="J78" s="103"/>
      <c r="K78" s="101"/>
    </row>
    <row r="79" spans="1:11" x14ac:dyDescent="0.2">
      <c r="A79" s="154"/>
      <c r="B79" s="103"/>
      <c r="C79" s="103"/>
      <c r="D79" s="103"/>
      <c r="E79" s="159" t="s">
        <v>414</v>
      </c>
      <c r="F79" s="161" t="e">
        <f>SUM(F76:F77)</f>
        <v>#DIV/0!</v>
      </c>
      <c r="G79" s="161" t="e">
        <f>SUM(G76:G77)</f>
        <v>#DIV/0!</v>
      </c>
      <c r="H79" s="147"/>
      <c r="I79" s="103"/>
      <c r="J79" s="103"/>
      <c r="K79" s="101"/>
    </row>
    <row r="80" spans="1:11" x14ac:dyDescent="0.2">
      <c r="A80" s="154"/>
      <c r="B80" s="103"/>
      <c r="C80" s="103"/>
      <c r="D80" s="103"/>
      <c r="E80" s="159"/>
      <c r="F80" s="161"/>
      <c r="G80" s="161"/>
      <c r="H80" s="147"/>
      <c r="I80" s="103"/>
      <c r="J80" s="103"/>
      <c r="K80" s="101"/>
    </row>
    <row r="81" spans="1:11" x14ac:dyDescent="0.2">
      <c r="A81" s="154" t="str">
        <f>+A27</f>
        <v>xxxx</v>
      </c>
      <c r="B81" s="103" t="s">
        <v>416</v>
      </c>
      <c r="C81" s="103"/>
      <c r="D81" s="103"/>
      <c r="E81" s="103"/>
      <c r="F81" s="1211" t="e">
        <f>+Posiciones!F81/$H$6</f>
        <v>#DIV/0!</v>
      </c>
      <c r="G81" s="1211" t="e">
        <f>+Posiciones!G81/$H$6</f>
        <v>#DIV/0!</v>
      </c>
      <c r="H81" s="147"/>
      <c r="I81" s="103"/>
      <c r="J81" s="103"/>
      <c r="K81" s="101"/>
    </row>
    <row r="82" spans="1:11" x14ac:dyDescent="0.2">
      <c r="A82" s="154"/>
      <c r="B82" s="103" t="s">
        <v>417</v>
      </c>
      <c r="C82" s="103"/>
      <c r="D82" s="103"/>
      <c r="E82" s="103"/>
      <c r="F82" s="1211" t="e">
        <f>+Posiciones!F82/$H$6</f>
        <v>#DIV/0!</v>
      </c>
      <c r="G82" s="1211" t="e">
        <f>+Posiciones!G82/$H$6</f>
        <v>#DIV/0!</v>
      </c>
      <c r="H82" s="147"/>
      <c r="I82" s="103"/>
      <c r="J82" s="103"/>
      <c r="K82" s="101"/>
    </row>
    <row r="83" spans="1:11" x14ac:dyDescent="0.2">
      <c r="A83" s="154"/>
      <c r="B83" s="103" t="s">
        <v>418</v>
      </c>
      <c r="C83" s="103"/>
      <c r="D83" s="103"/>
      <c r="E83" s="103"/>
      <c r="F83" s="1211" t="e">
        <f>+Posiciones!F83/$H$6</f>
        <v>#DIV/0!</v>
      </c>
      <c r="G83" s="1211" t="e">
        <f>+Posiciones!G83/$H$6</f>
        <v>#DIV/0!</v>
      </c>
      <c r="H83" s="147"/>
      <c r="I83" s="103"/>
      <c r="J83" s="103"/>
      <c r="K83" s="101"/>
    </row>
    <row r="84" spans="1:11" x14ac:dyDescent="0.2">
      <c r="A84" s="154"/>
      <c r="B84" s="103"/>
      <c r="C84" s="103"/>
      <c r="D84" s="103"/>
      <c r="E84" s="159" t="s">
        <v>414</v>
      </c>
      <c r="F84" s="161" t="e">
        <f>SUM(F81:F82)</f>
        <v>#DIV/0!</v>
      </c>
      <c r="G84" s="161" t="e">
        <f>SUM(G81:G82)</f>
        <v>#DIV/0!</v>
      </c>
      <c r="H84" s="147"/>
      <c r="I84" s="103"/>
      <c r="J84" s="103"/>
      <c r="K84" s="101"/>
    </row>
    <row r="85" spans="1:11" x14ac:dyDescent="0.2">
      <c r="A85" s="154"/>
      <c r="B85" s="103"/>
      <c r="C85" s="103"/>
      <c r="D85" s="103"/>
      <c r="E85" s="159"/>
      <c r="F85" s="161"/>
      <c r="G85" s="161"/>
      <c r="H85" s="147"/>
      <c r="I85" s="103"/>
      <c r="J85" s="103"/>
      <c r="K85" s="101"/>
    </row>
    <row r="86" spans="1:11" x14ac:dyDescent="0.2">
      <c r="A86" s="154" t="str">
        <f>+A33</f>
        <v>xxxx</v>
      </c>
      <c r="B86" s="103" t="s">
        <v>416</v>
      </c>
      <c r="C86" s="103"/>
      <c r="D86" s="103"/>
      <c r="E86" s="103"/>
      <c r="F86" s="1211" t="e">
        <f>+Posiciones!F86/$H$6</f>
        <v>#DIV/0!</v>
      </c>
      <c r="G86" s="1211" t="e">
        <f>+Posiciones!G86/$H$6</f>
        <v>#DIV/0!</v>
      </c>
      <c r="H86" s="147"/>
      <c r="I86" s="103"/>
      <c r="J86" s="103"/>
      <c r="K86" s="101"/>
    </row>
    <row r="87" spans="1:11" x14ac:dyDescent="0.2">
      <c r="A87" s="154"/>
      <c r="B87" s="103" t="s">
        <v>417</v>
      </c>
      <c r="C87" s="103"/>
      <c r="D87" s="103"/>
      <c r="E87" s="103"/>
      <c r="F87" s="1211" t="e">
        <f>+Posiciones!F87/$H$6</f>
        <v>#DIV/0!</v>
      </c>
      <c r="G87" s="1211" t="e">
        <f>+Posiciones!G87/$H$6</f>
        <v>#DIV/0!</v>
      </c>
      <c r="H87" s="147"/>
      <c r="I87" s="103"/>
      <c r="J87" s="103"/>
      <c r="K87" s="101"/>
    </row>
    <row r="88" spans="1:11" x14ac:dyDescent="0.2">
      <c r="A88" s="154"/>
      <c r="B88" s="103" t="s">
        <v>418</v>
      </c>
      <c r="C88" s="103"/>
      <c r="D88" s="103"/>
      <c r="E88" s="103"/>
      <c r="F88" s="1211" t="e">
        <f>+Posiciones!F88/$H$6</f>
        <v>#DIV/0!</v>
      </c>
      <c r="G88" s="1211" t="e">
        <f>+Posiciones!G88/$H$6</f>
        <v>#DIV/0!</v>
      </c>
      <c r="H88" s="147"/>
      <c r="I88" s="103"/>
      <c r="J88" s="103"/>
      <c r="K88" s="101"/>
    </row>
    <row r="89" spans="1:11" x14ac:dyDescent="0.2">
      <c r="A89" s="154"/>
      <c r="B89" s="103"/>
      <c r="C89" s="103"/>
      <c r="D89" s="103"/>
      <c r="E89" s="159" t="s">
        <v>414</v>
      </c>
      <c r="F89" s="161" t="e">
        <f>SUM(F86:F88)</f>
        <v>#DIV/0!</v>
      </c>
      <c r="G89" s="161" t="e">
        <f>SUM(G86:G88)</f>
        <v>#DIV/0!</v>
      </c>
      <c r="H89" s="147"/>
      <c r="I89" s="103"/>
      <c r="J89" s="103"/>
      <c r="K89" s="101"/>
    </row>
    <row r="90" spans="1:11" x14ac:dyDescent="0.2">
      <c r="A90" s="154"/>
      <c r="B90" s="103"/>
      <c r="C90" s="103"/>
      <c r="D90" s="103"/>
      <c r="E90" s="159"/>
      <c r="F90" s="161"/>
      <c r="G90" s="161"/>
      <c r="H90" s="147"/>
      <c r="I90" s="103"/>
      <c r="J90" s="103"/>
      <c r="K90" s="101"/>
    </row>
    <row r="91" spans="1:11" x14ac:dyDescent="0.2">
      <c r="A91" s="154" t="str">
        <f>+A39</f>
        <v>xxxx</v>
      </c>
      <c r="B91" s="103" t="s">
        <v>416</v>
      </c>
      <c r="C91" s="103"/>
      <c r="D91" s="103"/>
      <c r="E91" s="103"/>
      <c r="F91" s="1211" t="e">
        <f>+Posiciones!F91/$H$6</f>
        <v>#DIV/0!</v>
      </c>
      <c r="G91" s="1211" t="e">
        <f>+Posiciones!G91/$H$6</f>
        <v>#DIV/0!</v>
      </c>
      <c r="H91" s="147"/>
      <c r="I91" s="103"/>
      <c r="J91" s="103"/>
      <c r="K91" s="101"/>
    </row>
    <row r="92" spans="1:11" x14ac:dyDescent="0.2">
      <c r="A92" s="154"/>
      <c r="B92" s="103" t="s">
        <v>417</v>
      </c>
      <c r="C92" s="103"/>
      <c r="D92" s="103"/>
      <c r="E92" s="103"/>
      <c r="F92" s="1211" t="e">
        <f>+Posiciones!F92/$H$6</f>
        <v>#DIV/0!</v>
      </c>
      <c r="G92" s="1211" t="e">
        <f>+Posiciones!G92/$H$6</f>
        <v>#DIV/0!</v>
      </c>
      <c r="H92" s="147"/>
      <c r="I92" s="103"/>
      <c r="J92" s="103"/>
      <c r="K92" s="101"/>
    </row>
    <row r="93" spans="1:11" x14ac:dyDescent="0.2">
      <c r="A93" s="154"/>
      <c r="B93" s="103" t="s">
        <v>418</v>
      </c>
      <c r="C93" s="103"/>
      <c r="D93" s="103"/>
      <c r="E93" s="103"/>
      <c r="F93" s="1211" t="e">
        <f>+Posiciones!F93/$H$6</f>
        <v>#DIV/0!</v>
      </c>
      <c r="G93" s="1211" t="e">
        <f>+Posiciones!G93/$H$6</f>
        <v>#DIV/0!</v>
      </c>
      <c r="H93" s="147"/>
      <c r="I93" s="103"/>
      <c r="J93" s="103"/>
      <c r="K93" s="101"/>
    </row>
    <row r="94" spans="1:11" x14ac:dyDescent="0.2">
      <c r="A94" s="154"/>
      <c r="B94" s="103"/>
      <c r="C94" s="103"/>
      <c r="D94" s="103"/>
      <c r="E94" s="159" t="s">
        <v>414</v>
      </c>
      <c r="F94" s="161" t="e">
        <f>SUM(F91:F92)</f>
        <v>#DIV/0!</v>
      </c>
      <c r="G94" s="161" t="e">
        <f>SUM(G91:G92)</f>
        <v>#DIV/0!</v>
      </c>
      <c r="H94" s="147"/>
      <c r="I94" s="103"/>
      <c r="J94" s="103"/>
      <c r="K94" s="101"/>
    </row>
    <row r="95" spans="1:11" x14ac:dyDescent="0.2">
      <c r="A95" s="154"/>
      <c r="B95" s="103"/>
      <c r="C95" s="103"/>
      <c r="D95" s="103"/>
      <c r="E95" s="159"/>
      <c r="F95" s="161"/>
      <c r="G95" s="161"/>
      <c r="H95" s="147"/>
      <c r="I95" s="103"/>
      <c r="J95" s="103"/>
      <c r="K95" s="101"/>
    </row>
    <row r="96" spans="1:11" x14ac:dyDescent="0.2">
      <c r="A96" s="154" t="str">
        <f>+A45</f>
        <v>xxxx</v>
      </c>
      <c r="B96" s="103" t="s">
        <v>416</v>
      </c>
      <c r="C96" s="103"/>
      <c r="D96" s="103"/>
      <c r="E96" s="103"/>
      <c r="F96" s="1211" t="e">
        <f>+Posiciones!F96/$H$6</f>
        <v>#DIV/0!</v>
      </c>
      <c r="G96" s="1211" t="e">
        <f>+Posiciones!G96/$H$6</f>
        <v>#DIV/0!</v>
      </c>
      <c r="H96" s="147"/>
      <c r="I96" s="103"/>
      <c r="J96" s="103"/>
      <c r="K96" s="101"/>
    </row>
    <row r="97" spans="1:11" x14ac:dyDescent="0.2">
      <c r="A97" s="154"/>
      <c r="B97" s="103" t="s">
        <v>417</v>
      </c>
      <c r="C97" s="103"/>
      <c r="D97" s="103"/>
      <c r="E97" s="103"/>
      <c r="F97" s="1211" t="e">
        <f>+Posiciones!F97/$H$6</f>
        <v>#DIV/0!</v>
      </c>
      <c r="G97" s="1211" t="e">
        <f>+Posiciones!G97/$H$6</f>
        <v>#DIV/0!</v>
      </c>
      <c r="H97" s="147"/>
      <c r="I97" s="103"/>
      <c r="J97" s="103"/>
      <c r="K97" s="101"/>
    </row>
    <row r="98" spans="1:11" x14ac:dyDescent="0.2">
      <c r="A98" s="154"/>
      <c r="B98" s="103" t="s">
        <v>418</v>
      </c>
      <c r="C98" s="103"/>
      <c r="D98" s="103"/>
      <c r="E98" s="103"/>
      <c r="F98" s="1211" t="e">
        <f>+Posiciones!F98/$H$6</f>
        <v>#DIV/0!</v>
      </c>
      <c r="G98" s="1211" t="e">
        <f>+Posiciones!G98/$H$6</f>
        <v>#DIV/0!</v>
      </c>
      <c r="H98" s="147"/>
      <c r="I98" s="103"/>
      <c r="J98" s="103"/>
      <c r="K98" s="101"/>
    </row>
    <row r="99" spans="1:11" x14ac:dyDescent="0.2">
      <c r="A99" s="154"/>
      <c r="B99" s="103"/>
      <c r="C99" s="103"/>
      <c r="D99" s="103"/>
      <c r="E99" s="159" t="s">
        <v>414</v>
      </c>
      <c r="F99" s="161" t="e">
        <f>SUM(F96:F97)</f>
        <v>#DIV/0!</v>
      </c>
      <c r="G99" s="161" t="e">
        <f>SUM(G96:G97)</f>
        <v>#DIV/0!</v>
      </c>
      <c r="H99" s="147"/>
      <c r="I99" s="103"/>
      <c r="J99" s="103"/>
      <c r="K99" s="101"/>
    </row>
    <row r="100" spans="1:11" x14ac:dyDescent="0.2">
      <c r="A100" s="154"/>
      <c r="B100" s="147"/>
      <c r="C100" s="147"/>
      <c r="D100" s="103"/>
      <c r="E100" s="162"/>
      <c r="F100" s="161"/>
      <c r="G100" s="161"/>
      <c r="H100" s="147"/>
      <c r="I100" s="103"/>
      <c r="J100" s="103"/>
      <c r="K100" s="101"/>
    </row>
    <row r="101" spans="1:11" x14ac:dyDescent="0.2">
      <c r="A101" s="154" t="str">
        <f>+A51</f>
        <v>xxxx</v>
      </c>
      <c r="B101" s="103" t="s">
        <v>416</v>
      </c>
      <c r="C101" s="147"/>
      <c r="D101" s="103"/>
      <c r="E101" s="133"/>
      <c r="F101" s="1211" t="e">
        <f>+Posiciones!F101/$H$6</f>
        <v>#DIV/0!</v>
      </c>
      <c r="G101" s="1211" t="e">
        <f>+Posiciones!G101/$H$6</f>
        <v>#DIV/0!</v>
      </c>
      <c r="H101" s="147"/>
      <c r="I101" s="103"/>
      <c r="J101" s="103"/>
      <c r="K101" s="101"/>
    </row>
    <row r="102" spans="1:11" x14ac:dyDescent="0.2">
      <c r="A102" s="154"/>
      <c r="B102" s="103" t="s">
        <v>417</v>
      </c>
      <c r="C102" s="147"/>
      <c r="D102" s="103"/>
      <c r="E102" s="133"/>
      <c r="F102" s="1211" t="e">
        <f>+Posiciones!F102/$H$6</f>
        <v>#DIV/0!</v>
      </c>
      <c r="G102" s="1211" t="e">
        <f>+Posiciones!G102/$H$6</f>
        <v>#DIV/0!</v>
      </c>
      <c r="H102" s="147"/>
      <c r="I102" s="103"/>
      <c r="J102" s="103"/>
      <c r="K102" s="101"/>
    </row>
    <row r="103" spans="1:11" x14ac:dyDescent="0.2">
      <c r="A103" s="154"/>
      <c r="B103" s="103" t="s">
        <v>418</v>
      </c>
      <c r="C103" s="103"/>
      <c r="D103" s="103"/>
      <c r="E103" s="103"/>
      <c r="F103" s="1211" t="e">
        <f>+Posiciones!F103/$H$6</f>
        <v>#DIV/0!</v>
      </c>
      <c r="G103" s="1211" t="e">
        <f>+Posiciones!G103/$H$6</f>
        <v>#DIV/0!</v>
      </c>
      <c r="H103" s="147"/>
      <c r="I103" s="103"/>
      <c r="J103" s="103"/>
      <c r="K103" s="101"/>
    </row>
    <row r="104" spans="1:11" x14ac:dyDescent="0.2">
      <c r="A104" s="154"/>
      <c r="B104" s="147"/>
      <c r="C104" s="147"/>
      <c r="D104" s="103"/>
      <c r="E104" s="159" t="s">
        <v>414</v>
      </c>
      <c r="F104" s="161" t="e">
        <f>SUM(F101:F102)</f>
        <v>#DIV/0!</v>
      </c>
      <c r="G104" s="161" t="e">
        <f>SUM(G101:G102)</f>
        <v>#DIV/0!</v>
      </c>
      <c r="H104" s="147"/>
      <c r="I104" s="103"/>
      <c r="J104" s="103"/>
      <c r="K104" s="101"/>
    </row>
    <row r="105" spans="1:11" x14ac:dyDescent="0.2">
      <c r="A105" s="154"/>
      <c r="B105" s="147"/>
      <c r="C105" s="147"/>
      <c r="D105" s="103"/>
      <c r="E105" s="159"/>
      <c r="F105" s="161"/>
      <c r="G105" s="161"/>
      <c r="H105" s="147"/>
      <c r="I105" s="103"/>
      <c r="J105" s="103"/>
      <c r="K105" s="101"/>
    </row>
    <row r="106" spans="1:11" x14ac:dyDescent="0.2">
      <c r="A106" s="154" t="str">
        <f>+A57</f>
        <v>xxxx</v>
      </c>
      <c r="B106" s="103" t="s">
        <v>416</v>
      </c>
      <c r="C106" s="147"/>
      <c r="D106" s="103"/>
      <c r="E106" s="133"/>
      <c r="F106" s="1211" t="e">
        <f>+Posiciones!F106/$H$6</f>
        <v>#DIV/0!</v>
      </c>
      <c r="G106" s="1211" t="e">
        <f>+Posiciones!G106/$H$6</f>
        <v>#DIV/0!</v>
      </c>
      <c r="H106" s="147"/>
      <c r="I106" s="103"/>
      <c r="J106" s="103"/>
      <c r="K106" s="101"/>
    </row>
    <row r="107" spans="1:11" x14ac:dyDescent="0.2">
      <c r="A107" s="154"/>
      <c r="B107" s="103" t="s">
        <v>417</v>
      </c>
      <c r="C107" s="147"/>
      <c r="D107" s="103"/>
      <c r="E107" s="133"/>
      <c r="F107" s="1211" t="e">
        <f>+Posiciones!F107/$H$6</f>
        <v>#DIV/0!</v>
      </c>
      <c r="G107" s="1211" t="e">
        <f>+Posiciones!G107/$H$6</f>
        <v>#DIV/0!</v>
      </c>
      <c r="H107" s="147"/>
      <c r="I107" s="103"/>
      <c r="J107" s="103"/>
      <c r="K107" s="101"/>
    </row>
    <row r="108" spans="1:11" x14ac:dyDescent="0.2">
      <c r="A108" s="154"/>
      <c r="B108" s="103" t="s">
        <v>418</v>
      </c>
      <c r="C108" s="103"/>
      <c r="D108" s="103"/>
      <c r="E108" s="103"/>
      <c r="F108" s="1211" t="e">
        <f>+Posiciones!F108/$H$6</f>
        <v>#DIV/0!</v>
      </c>
      <c r="G108" s="1211" t="e">
        <f>+Posiciones!G108/$H$6</f>
        <v>#DIV/0!</v>
      </c>
      <c r="H108" s="147"/>
      <c r="I108" s="103"/>
      <c r="J108" s="103"/>
      <c r="K108" s="101"/>
    </row>
    <row r="109" spans="1:11" x14ac:dyDescent="0.2">
      <c r="A109" s="154"/>
      <c r="B109" s="147"/>
      <c r="C109" s="147"/>
      <c r="D109" s="103"/>
      <c r="E109" s="159" t="s">
        <v>414</v>
      </c>
      <c r="F109" s="161" t="e">
        <f>SUM(F106:F107)</f>
        <v>#DIV/0!</v>
      </c>
      <c r="G109" s="161" t="e">
        <f>SUM(G106:G107)</f>
        <v>#DIV/0!</v>
      </c>
      <c r="H109" s="147"/>
      <c r="I109" s="103"/>
      <c r="J109" s="103"/>
      <c r="K109" s="101"/>
    </row>
    <row r="110" spans="1:11" x14ac:dyDescent="0.2">
      <c r="A110" s="154"/>
      <c r="B110" s="147"/>
      <c r="C110" s="147"/>
      <c r="D110" s="103"/>
      <c r="E110" s="133"/>
      <c r="F110" s="163"/>
      <c r="G110" s="163"/>
      <c r="H110" s="147"/>
      <c r="I110" s="103"/>
      <c r="J110" s="103"/>
      <c r="K110" s="101"/>
    </row>
    <row r="111" spans="1:11" x14ac:dyDescent="0.2">
      <c r="A111" s="154"/>
      <c r="B111" s="103"/>
      <c r="C111" s="103"/>
      <c r="D111" s="103"/>
      <c r="E111" s="103"/>
      <c r="F111" s="157"/>
      <c r="G111" s="157"/>
      <c r="H111" s="103"/>
      <c r="I111" s="103"/>
      <c r="J111" s="103"/>
      <c r="K111" s="101"/>
    </row>
    <row r="112" spans="1:11" x14ac:dyDescent="0.2">
      <c r="A112" s="154"/>
      <c r="B112" s="103"/>
      <c r="C112" s="103"/>
      <c r="D112" s="103"/>
      <c r="E112" s="134" t="s">
        <v>186</v>
      </c>
      <c r="F112" s="164" t="e">
        <f>+F74+F79+F84+F89+F94+F99+F104+F109</f>
        <v>#DIV/0!</v>
      </c>
      <c r="G112" s="165" t="e">
        <f>+G74+G79+G84+G89+G94+G99+G104+G109</f>
        <v>#DIV/0!</v>
      </c>
      <c r="H112" s="103"/>
      <c r="I112" s="103"/>
      <c r="J112" s="103"/>
      <c r="K112" s="101"/>
    </row>
    <row r="113" spans="1:11" x14ac:dyDescent="0.2">
      <c r="A113" s="154"/>
      <c r="B113" s="103"/>
      <c r="C113" s="103"/>
      <c r="D113" s="103"/>
      <c r="E113" s="162"/>
      <c r="F113" s="160"/>
      <c r="G113" s="160"/>
      <c r="H113" s="103"/>
      <c r="I113" s="103"/>
      <c r="J113" s="103"/>
      <c r="K113" s="101"/>
    </row>
    <row r="114" spans="1:11" x14ac:dyDescent="0.2">
      <c r="A114" s="154"/>
      <c r="B114" s="103"/>
      <c r="C114" s="103"/>
      <c r="D114" s="103"/>
      <c r="E114" s="162"/>
      <c r="F114" s="160"/>
      <c r="G114" s="160"/>
      <c r="H114" s="103"/>
      <c r="I114" s="103"/>
      <c r="J114" s="103"/>
      <c r="K114" s="101"/>
    </row>
    <row r="115" spans="1:11" x14ac:dyDescent="0.2">
      <c r="A115" s="154"/>
      <c r="B115" s="103"/>
      <c r="C115" s="103"/>
      <c r="D115" s="103"/>
      <c r="E115" s="105" t="s">
        <v>419</v>
      </c>
      <c r="F115" s="166">
        <f ca="1">+C6</f>
        <v>43776</v>
      </c>
      <c r="G115" s="157"/>
      <c r="H115" s="103"/>
      <c r="I115" s="103"/>
      <c r="J115" s="103"/>
      <c r="K115" s="101"/>
    </row>
    <row r="116" spans="1:11" ht="13.5" thickBot="1" x14ac:dyDescent="0.25">
      <c r="A116" s="167"/>
      <c r="B116" s="168"/>
      <c r="C116" s="168"/>
      <c r="D116" s="168"/>
      <c r="E116" s="168"/>
      <c r="F116" s="169"/>
      <c r="G116" s="169"/>
      <c r="H116" s="168"/>
      <c r="I116" s="168"/>
      <c r="J116" s="168"/>
      <c r="K116" s="170"/>
    </row>
  </sheetData>
  <mergeCells count="5">
    <mergeCell ref="J30:K30"/>
    <mergeCell ref="J33:K33"/>
    <mergeCell ref="J39:K39"/>
    <mergeCell ref="J57:K57"/>
    <mergeCell ref="F6:G6"/>
  </mergeCells>
  <printOptions horizontalCentered="1" verticalCentered="1"/>
  <pageMargins left="0.19685039370078741" right="0.19685039370078741" top="0.19685039370078741" bottom="0.19685039370078741" header="0" footer="0"/>
  <pageSetup scale="45"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tabColor theme="9" tint="-0.499984740745262"/>
    <pageSetUpPr fitToPage="1"/>
  </sheetPr>
  <dimension ref="A2:N137"/>
  <sheetViews>
    <sheetView showGridLines="0" zoomScaleNormal="100" workbookViewId="0">
      <selection activeCell="K28" sqref="K28"/>
    </sheetView>
  </sheetViews>
  <sheetFormatPr baseColWidth="10" defaultRowHeight="12.75" outlineLevelCol="1" x14ac:dyDescent="0.2"/>
  <cols>
    <col min="1" max="1" width="13.42578125" style="18" customWidth="1"/>
    <col min="2" max="2" width="23.5703125" style="18" customWidth="1"/>
    <col min="3" max="3" width="9.5703125" style="18" customWidth="1"/>
    <col min="4" max="4" width="15.7109375" style="31" customWidth="1"/>
    <col min="5" max="5" width="9.85546875" style="32" customWidth="1"/>
    <col min="6" max="6" width="15.7109375" style="31" customWidth="1"/>
    <col min="7" max="7" width="10.42578125" style="32" customWidth="1"/>
    <col min="8" max="8" width="15.85546875" style="31" customWidth="1"/>
    <col min="9" max="9" width="9.7109375" style="32" customWidth="1"/>
    <col min="10" max="10" width="14.5703125" style="32" customWidth="1" outlineLevel="1"/>
    <col min="11" max="11" width="9.85546875" style="32" customWidth="1" outlineLevel="1"/>
    <col min="12" max="12" width="14.5703125" style="18" customWidth="1" outlineLevel="1"/>
    <col min="13" max="13" width="10" style="18" customWidth="1" outlineLevel="1"/>
    <col min="14" max="16384" width="11.42578125" style="18"/>
  </cols>
  <sheetData>
    <row r="2" spans="1:14" x14ac:dyDescent="0.2">
      <c r="H2" s="33"/>
    </row>
    <row r="3" spans="1:14" x14ac:dyDescent="0.2">
      <c r="H3" s="33"/>
    </row>
    <row r="5" spans="1:14" x14ac:dyDescent="0.2">
      <c r="B5" s="34" t="s">
        <v>105</v>
      </c>
      <c r="C5" s="35">
        <f>+General!D6</f>
        <v>0</v>
      </c>
      <c r="D5" s="207"/>
      <c r="E5" s="208"/>
      <c r="F5" s="221"/>
      <c r="G5" s="208"/>
      <c r="H5" s="214"/>
      <c r="I5" s="215"/>
    </row>
    <row r="6" spans="1:14" s="8" customFormat="1" x14ac:dyDescent="0.2">
      <c r="B6" s="34" t="s">
        <v>106</v>
      </c>
      <c r="C6" s="35">
        <f>+General!D7</f>
        <v>0</v>
      </c>
      <c r="D6" s="209"/>
      <c r="E6" s="210"/>
      <c r="F6" s="211"/>
      <c r="G6" s="210"/>
      <c r="H6" s="216"/>
      <c r="I6" s="217"/>
      <c r="J6" s="32"/>
      <c r="K6" s="32"/>
    </row>
    <row r="7" spans="1:14" s="8" customFormat="1" x14ac:dyDescent="0.2">
      <c r="B7" s="34" t="e">
        <f>#REF!</f>
        <v>#REF!</v>
      </c>
      <c r="C7" s="35">
        <f>+General!D9</f>
        <v>0</v>
      </c>
      <c r="D7" s="35"/>
      <c r="E7" s="36"/>
      <c r="H7" s="36" t="s">
        <v>272</v>
      </c>
      <c r="I7" s="37" t="str">
        <f>General!D20</f>
        <v>NO</v>
      </c>
      <c r="J7" s="433"/>
      <c r="K7" s="433"/>
    </row>
    <row r="8" spans="1:14" s="8" customFormat="1" x14ac:dyDescent="0.2">
      <c r="B8" s="36" t="s">
        <v>109</v>
      </c>
      <c r="C8" s="35">
        <f>General!D21</f>
        <v>0</v>
      </c>
      <c r="D8" s="207"/>
      <c r="E8" s="213"/>
      <c r="F8" s="213"/>
      <c r="G8" s="213"/>
      <c r="H8" s="213"/>
      <c r="I8" s="213"/>
      <c r="J8" s="36"/>
      <c r="K8" s="36"/>
    </row>
    <row r="9" spans="1:14" s="8" customFormat="1" ht="13.5" thickBot="1" x14ac:dyDescent="0.25">
      <c r="A9" s="36"/>
      <c r="B9" s="36"/>
      <c r="C9" s="36"/>
      <c r="D9" s="39"/>
      <c r="E9" s="38"/>
      <c r="F9" s="39"/>
      <c r="G9" s="38"/>
      <c r="H9" s="39"/>
      <c r="I9" s="38"/>
      <c r="J9" s="38"/>
      <c r="K9" s="38"/>
    </row>
    <row r="10" spans="1:14" s="8" customFormat="1" ht="14.25" x14ac:dyDescent="0.2">
      <c r="A10" s="3355" t="s">
        <v>273</v>
      </c>
      <c r="B10" s="3355"/>
      <c r="C10" s="3446"/>
      <c r="D10" s="231" t="str">
        <f>+Pasivos!D10</f>
        <v>NO</v>
      </c>
      <c r="E10" s="230"/>
      <c r="F10" s="231" t="str">
        <f>+Pasivos!F10</f>
        <v>NO</v>
      </c>
      <c r="G10" s="230"/>
      <c r="H10" s="231" t="str">
        <f>+Pasivos!H10</f>
        <v>NO</v>
      </c>
      <c r="I10" s="230"/>
      <c r="J10" s="231" t="str">
        <f>+Pasivos!J10</f>
        <v>NO</v>
      </c>
      <c r="K10" s="230"/>
      <c r="L10" s="231" t="str">
        <f>+Pasivos!L10</f>
        <v>NO</v>
      </c>
    </row>
    <row r="11" spans="1:14" s="8" customFormat="1" ht="13.5" thickBot="1" x14ac:dyDescent="0.25">
      <c r="A11" s="3355" t="s">
        <v>274</v>
      </c>
      <c r="B11" s="3355"/>
      <c r="C11" s="3446"/>
      <c r="D11" s="232">
        <f>+'Pasivos (USD)'!D11</f>
        <v>42735</v>
      </c>
      <c r="E11" s="230"/>
      <c r="F11" s="232">
        <f>+'Pasivos (USD)'!F11</f>
        <v>43100</v>
      </c>
      <c r="G11" s="230"/>
      <c r="H11" s="232">
        <f>+'Pasivos (USD)'!H11</f>
        <v>43465</v>
      </c>
      <c r="I11" s="230"/>
      <c r="J11" s="232">
        <f>+'Pasivos (USD)'!J11</f>
        <v>43281</v>
      </c>
      <c r="K11" s="230"/>
      <c r="L11" s="232">
        <f>+'Pasivos (USD)'!L11</f>
        <v>43646</v>
      </c>
    </row>
    <row r="12" spans="1:14" s="8" customFormat="1" ht="13.5" thickBot="1" x14ac:dyDescent="0.25">
      <c r="A12" s="1304"/>
      <c r="B12" s="1304"/>
      <c r="C12" s="1304" t="s">
        <v>402</v>
      </c>
      <c r="D12" s="1323">
        <f>+'Pasivos (USD)'!D12</f>
        <v>3000.71</v>
      </c>
      <c r="E12" s="1324"/>
      <c r="F12" s="1323">
        <f>+'Pasivos (USD)'!F12</f>
        <v>2984</v>
      </c>
      <c r="G12" s="1324"/>
      <c r="H12" s="1323">
        <f>+'Pasivos (USD)'!H12</f>
        <v>3249.75</v>
      </c>
      <c r="I12" s="1324"/>
      <c r="J12" s="1323">
        <f>+'Pasivos (USD)'!J12</f>
        <v>2930.8</v>
      </c>
      <c r="K12" s="1324"/>
      <c r="L12" s="1323">
        <f>+'Pasivos (USD)'!L12</f>
        <v>3205.67</v>
      </c>
    </row>
    <row r="13" spans="1:14" s="8" customFormat="1" ht="13.5" thickBot="1" x14ac:dyDescent="0.25">
      <c r="D13" s="39"/>
      <c r="E13" s="38"/>
      <c r="F13" s="39"/>
      <c r="G13" s="38"/>
      <c r="H13" s="39"/>
      <c r="I13" s="38"/>
      <c r="J13" s="38"/>
      <c r="K13" s="38"/>
    </row>
    <row r="14" spans="1:14" s="8" customFormat="1" ht="25.5" customHeight="1" thickBot="1" x14ac:dyDescent="0.25">
      <c r="D14" s="222" t="str">
        <f>+'Pasivos (USD)'!D14</f>
        <v>COP MM</v>
      </c>
      <c r="E14" s="223" t="s">
        <v>275</v>
      </c>
      <c r="F14" s="222" t="str">
        <f>+'Pasivos (USD)'!F14</f>
        <v>COP MM</v>
      </c>
      <c r="G14" s="223" t="s">
        <v>275</v>
      </c>
      <c r="H14" s="222" t="str">
        <f>+'Pasivos (USD)'!H14</f>
        <v>COP MM</v>
      </c>
      <c r="I14" s="223" t="s">
        <v>275</v>
      </c>
      <c r="J14" s="222" t="str">
        <f>+'Pasivos (USD)'!J14</f>
        <v>COP MM</v>
      </c>
      <c r="K14" s="223" t="s">
        <v>275</v>
      </c>
      <c r="L14" s="222" t="str">
        <f>+'Pasivos (USD)'!L14</f>
        <v>COP MM</v>
      </c>
      <c r="M14" s="223" t="s">
        <v>275</v>
      </c>
    </row>
    <row r="15" spans="1:14" s="4" customFormat="1" ht="15" thickBot="1" x14ac:dyDescent="0.25">
      <c r="A15" s="3447" t="s">
        <v>337</v>
      </c>
      <c r="B15" s="3448"/>
      <c r="C15" s="3448"/>
      <c r="D15" s="3448"/>
      <c r="E15" s="3448"/>
      <c r="F15" s="3448"/>
      <c r="G15" s="3448"/>
      <c r="H15" s="3448"/>
      <c r="I15" s="3448"/>
      <c r="J15" s="3448"/>
      <c r="K15" s="3448"/>
      <c r="L15" s="3448"/>
      <c r="M15" s="3448"/>
    </row>
    <row r="16" spans="1:14" s="4" customFormat="1" ht="13.5" customHeight="1" x14ac:dyDescent="0.2">
      <c r="A16" s="3356" t="s">
        <v>338</v>
      </c>
      <c r="B16" s="3357"/>
      <c r="C16" s="3357"/>
      <c r="D16" s="233">
        <f>'Info Entrada'!C77/$D$12</f>
        <v>0</v>
      </c>
      <c r="E16" s="1096" t="e">
        <f>+D16/D$16</f>
        <v>#DIV/0!</v>
      </c>
      <c r="F16" s="233">
        <f>'Info Entrada'!D77/$F$12</f>
        <v>0</v>
      </c>
      <c r="G16" s="1096" t="e">
        <f>+F16/F$16</f>
        <v>#DIV/0!</v>
      </c>
      <c r="H16" s="233">
        <f>'Info Entrada'!E77/$H$12</f>
        <v>0</v>
      </c>
      <c r="I16" s="1096" t="e">
        <f t="shared" ref="I16:I45" si="0">+H16/H$16</f>
        <v>#DIV/0!</v>
      </c>
      <c r="J16" s="233">
        <f>'Info Entrada'!F77/$J$12</f>
        <v>0</v>
      </c>
      <c r="K16" s="1096" t="e">
        <f t="shared" ref="K16:K45" si="1">+J16/J$16</f>
        <v>#DIV/0!</v>
      </c>
      <c r="L16" s="233">
        <f>'Info Entrada'!G77/$L$12</f>
        <v>0</v>
      </c>
      <c r="M16" s="1097" t="e">
        <f t="shared" ref="M16:M45" si="2">+L16/L$16</f>
        <v>#DIV/0!</v>
      </c>
      <c r="N16" s="271"/>
    </row>
    <row r="17" spans="1:14" s="4" customFormat="1" ht="13.5" customHeight="1" thickBot="1" x14ac:dyDescent="0.25">
      <c r="A17" s="3449" t="s">
        <v>339</v>
      </c>
      <c r="B17" s="3450"/>
      <c r="C17" s="3451"/>
      <c r="D17" s="224">
        <f>'Info Entrada'!C89/$D$12</f>
        <v>0</v>
      </c>
      <c r="E17" s="262" t="e">
        <f t="shared" ref="E17:G32" si="3">+D17/D$16</f>
        <v>#DIV/0!</v>
      </c>
      <c r="F17" s="224">
        <f>'Info Entrada'!D89/$D$12</f>
        <v>0</v>
      </c>
      <c r="G17" s="262" t="e">
        <f t="shared" si="3"/>
        <v>#DIV/0!</v>
      </c>
      <c r="H17" s="224">
        <f>'Info Entrada'!E89/$H$12</f>
        <v>0</v>
      </c>
      <c r="I17" s="262" t="e">
        <f t="shared" si="0"/>
        <v>#DIV/0!</v>
      </c>
      <c r="J17" s="224">
        <f>'Info Entrada'!F89/$J$12</f>
        <v>0</v>
      </c>
      <c r="K17" s="262" t="e">
        <f t="shared" si="1"/>
        <v>#DIV/0!</v>
      </c>
      <c r="L17" s="224">
        <f>'Info Entrada'!G89/$L$12</f>
        <v>0</v>
      </c>
      <c r="M17" s="263" t="e">
        <f t="shared" si="2"/>
        <v>#DIV/0!</v>
      </c>
      <c r="N17" s="271"/>
    </row>
    <row r="18" spans="1:14" s="53" customFormat="1" ht="13.5" thickBot="1" x14ac:dyDescent="0.25">
      <c r="A18" s="3443" t="s">
        <v>340</v>
      </c>
      <c r="B18" s="3444"/>
      <c r="C18" s="3445"/>
      <c r="D18" s="243">
        <f>D16-D17</f>
        <v>0</v>
      </c>
      <c r="E18" s="244" t="e">
        <f t="shared" si="3"/>
        <v>#DIV/0!</v>
      </c>
      <c r="F18" s="243">
        <f>F16-F17</f>
        <v>0</v>
      </c>
      <c r="G18" s="244" t="e">
        <f t="shared" si="3"/>
        <v>#DIV/0!</v>
      </c>
      <c r="H18" s="243">
        <f>H16-H17</f>
        <v>0</v>
      </c>
      <c r="I18" s="244" t="e">
        <f t="shared" si="0"/>
        <v>#DIV/0!</v>
      </c>
      <c r="J18" s="243">
        <f>J16-J17</f>
        <v>0</v>
      </c>
      <c r="K18" s="244" t="e">
        <f t="shared" si="1"/>
        <v>#DIV/0!</v>
      </c>
      <c r="L18" s="243">
        <f>L16-L17</f>
        <v>0</v>
      </c>
      <c r="M18" s="249" t="e">
        <f t="shared" si="2"/>
        <v>#DIV/0!</v>
      </c>
      <c r="N18" s="271"/>
    </row>
    <row r="19" spans="1:14" s="4" customFormat="1" ht="13.5" customHeight="1" x14ac:dyDescent="0.2">
      <c r="A19" s="3455" t="s">
        <v>341</v>
      </c>
      <c r="B19" s="3456"/>
      <c r="C19" s="3457"/>
      <c r="D19" s="228">
        <f>'Info Entrada'!C94/$D$12</f>
        <v>0</v>
      </c>
      <c r="E19" s="260" t="e">
        <f t="shared" si="3"/>
        <v>#DIV/0!</v>
      </c>
      <c r="F19" s="228">
        <f>'Info Entrada'!D94/$D$12</f>
        <v>0</v>
      </c>
      <c r="G19" s="260" t="e">
        <f t="shared" si="3"/>
        <v>#DIV/0!</v>
      </c>
      <c r="H19" s="228">
        <f>'Info Entrada'!E94/$H$12</f>
        <v>0</v>
      </c>
      <c r="I19" s="260" t="e">
        <f t="shared" si="0"/>
        <v>#DIV/0!</v>
      </c>
      <c r="J19" s="228">
        <f>'Info Entrada'!F94/$J$12</f>
        <v>0</v>
      </c>
      <c r="K19" s="260" t="e">
        <f t="shared" si="1"/>
        <v>#DIV/0!</v>
      </c>
      <c r="L19" s="228">
        <f>'Info Entrada'!G94/$L$12</f>
        <v>0</v>
      </c>
      <c r="M19" s="261" t="e">
        <f t="shared" si="2"/>
        <v>#DIV/0!</v>
      </c>
      <c r="N19" s="271"/>
    </row>
    <row r="20" spans="1:14" s="4" customFormat="1" ht="12.75" customHeight="1" x14ac:dyDescent="0.2">
      <c r="A20" s="3458" t="s">
        <v>342</v>
      </c>
      <c r="B20" s="3459"/>
      <c r="C20" s="3460"/>
      <c r="D20" s="12">
        <f>'Info Entrada'!C103/$D$12</f>
        <v>0</v>
      </c>
      <c r="E20" s="52" t="e">
        <f t="shared" si="3"/>
        <v>#DIV/0!</v>
      </c>
      <c r="F20" s="12">
        <f>'Info Entrada'!D103/$D$12</f>
        <v>0</v>
      </c>
      <c r="G20" s="52" t="e">
        <f t="shared" si="3"/>
        <v>#DIV/0!</v>
      </c>
      <c r="H20" s="12">
        <f>'Info Entrada'!E103/$H$12</f>
        <v>0</v>
      </c>
      <c r="I20" s="52" t="e">
        <f t="shared" si="0"/>
        <v>#DIV/0!</v>
      </c>
      <c r="J20" s="12">
        <f>'Info Entrada'!F103/$J$12</f>
        <v>0</v>
      </c>
      <c r="K20" s="52" t="e">
        <f t="shared" si="1"/>
        <v>#DIV/0!</v>
      </c>
      <c r="L20" s="12">
        <f>'Info Entrada'!G103/$L$12</f>
        <v>0</v>
      </c>
      <c r="M20" s="258" t="e">
        <f t="shared" si="2"/>
        <v>#DIV/0!</v>
      </c>
      <c r="N20" s="271"/>
    </row>
    <row r="21" spans="1:14" s="4" customFormat="1" ht="12.75" customHeight="1" x14ac:dyDescent="0.2">
      <c r="A21" s="3461" t="s">
        <v>343</v>
      </c>
      <c r="B21" s="3462"/>
      <c r="C21" s="3359"/>
      <c r="D21" s="174">
        <f>'Info Entrada'!C116/$D$12</f>
        <v>0</v>
      </c>
      <c r="E21" s="52" t="e">
        <f t="shared" si="3"/>
        <v>#DIV/0!</v>
      </c>
      <c r="F21" s="174">
        <f>'Info Entrada'!D116/$D$12</f>
        <v>0</v>
      </c>
      <c r="G21" s="52" t="e">
        <f t="shared" si="3"/>
        <v>#DIV/0!</v>
      </c>
      <c r="H21" s="174">
        <f>'Info Entrada'!E116/$H$12</f>
        <v>0</v>
      </c>
      <c r="I21" s="52" t="e">
        <f t="shared" si="0"/>
        <v>#DIV/0!</v>
      </c>
      <c r="J21" s="174">
        <f>'Info Entrada'!F116/$J$12</f>
        <v>0</v>
      </c>
      <c r="K21" s="52" t="e">
        <f t="shared" si="1"/>
        <v>#DIV/0!</v>
      </c>
      <c r="L21" s="12">
        <f>'Info Entrada'!G116/$L$12</f>
        <v>0</v>
      </c>
      <c r="M21" s="258" t="e">
        <f t="shared" si="2"/>
        <v>#DIV/0!</v>
      </c>
      <c r="N21" s="271"/>
    </row>
    <row r="22" spans="1:14" s="4" customFormat="1" ht="12.75" customHeight="1" x14ac:dyDescent="0.2">
      <c r="A22" s="3463" t="s">
        <v>344</v>
      </c>
      <c r="B22" s="3464"/>
      <c r="C22" s="3465"/>
      <c r="D22" s="12">
        <f>'Info Entrada'!C117/$D$12</f>
        <v>0</v>
      </c>
      <c r="E22" s="52" t="e">
        <f t="shared" si="3"/>
        <v>#DIV/0!</v>
      </c>
      <c r="F22" s="12">
        <f>'Info Entrada'!D117/$D$12</f>
        <v>0</v>
      </c>
      <c r="G22" s="52" t="e">
        <f t="shared" si="3"/>
        <v>#DIV/0!</v>
      </c>
      <c r="H22" s="12">
        <f>'Info Entrada'!E117/$H$12</f>
        <v>0</v>
      </c>
      <c r="I22" s="52" t="e">
        <f t="shared" si="0"/>
        <v>#DIV/0!</v>
      </c>
      <c r="J22" s="12">
        <f>'Info Entrada'!F117/$J$12</f>
        <v>0</v>
      </c>
      <c r="K22" s="52" t="e">
        <f t="shared" si="1"/>
        <v>#DIV/0!</v>
      </c>
      <c r="L22" s="12">
        <f>'Info Entrada'!G117/$L$12</f>
        <v>0</v>
      </c>
      <c r="M22" s="258" t="e">
        <f t="shared" si="2"/>
        <v>#DIV/0!</v>
      </c>
      <c r="N22" s="271"/>
    </row>
    <row r="23" spans="1:14" s="8" customFormat="1" ht="13.5" customHeight="1" thickBot="1" x14ac:dyDescent="0.25">
      <c r="A23" s="3466" t="s">
        <v>345</v>
      </c>
      <c r="B23" s="3467"/>
      <c r="C23" s="3468"/>
      <c r="D23" s="264">
        <f>SUM(D19:D22)</f>
        <v>0</v>
      </c>
      <c r="E23" s="265" t="e">
        <f t="shared" si="3"/>
        <v>#DIV/0!</v>
      </c>
      <c r="F23" s="264">
        <f>SUM(F19:F22)</f>
        <v>0</v>
      </c>
      <c r="G23" s="265" t="e">
        <f t="shared" si="3"/>
        <v>#DIV/0!</v>
      </c>
      <c r="H23" s="264">
        <f>SUM(H19:H22)</f>
        <v>0</v>
      </c>
      <c r="I23" s="265" t="e">
        <f t="shared" si="0"/>
        <v>#DIV/0!</v>
      </c>
      <c r="J23" s="264">
        <f>SUM(J19:J22)</f>
        <v>0</v>
      </c>
      <c r="K23" s="265" t="e">
        <f t="shared" si="1"/>
        <v>#DIV/0!</v>
      </c>
      <c r="L23" s="264">
        <f>SUM(L19:L22)</f>
        <v>0</v>
      </c>
      <c r="M23" s="266" t="e">
        <f t="shared" si="2"/>
        <v>#DIV/0!</v>
      </c>
      <c r="N23" s="271"/>
    </row>
    <row r="24" spans="1:14" s="53" customFormat="1" ht="13.5" thickBot="1" x14ac:dyDescent="0.25">
      <c r="A24" s="3443" t="s">
        <v>346</v>
      </c>
      <c r="B24" s="3444"/>
      <c r="C24" s="3445"/>
      <c r="D24" s="243">
        <f>D18-D23</f>
        <v>0</v>
      </c>
      <c r="E24" s="244" t="e">
        <f t="shared" si="3"/>
        <v>#DIV/0!</v>
      </c>
      <c r="F24" s="243">
        <f>F18-F23</f>
        <v>0</v>
      </c>
      <c r="G24" s="244" t="e">
        <f t="shared" si="3"/>
        <v>#DIV/0!</v>
      </c>
      <c r="H24" s="243">
        <f>H18-H23</f>
        <v>0</v>
      </c>
      <c r="I24" s="244" t="e">
        <f t="shared" si="0"/>
        <v>#DIV/0!</v>
      </c>
      <c r="J24" s="243">
        <f>J18-J23</f>
        <v>0</v>
      </c>
      <c r="K24" s="244" t="e">
        <f t="shared" si="1"/>
        <v>#DIV/0!</v>
      </c>
      <c r="L24" s="243">
        <f>L18-L23</f>
        <v>0</v>
      </c>
      <c r="M24" s="249" t="e">
        <f t="shared" si="2"/>
        <v>#DIV/0!</v>
      </c>
      <c r="N24" s="271"/>
    </row>
    <row r="25" spans="1:14" s="4" customFormat="1" ht="13.5" customHeight="1" x14ac:dyDescent="0.2">
      <c r="A25" s="3455" t="s">
        <v>347</v>
      </c>
      <c r="B25" s="3456"/>
      <c r="C25" s="3469"/>
      <c r="D25" s="228">
        <f>'Info Entrada'!C110/$D$12</f>
        <v>0</v>
      </c>
      <c r="E25" s="260" t="e">
        <f t="shared" si="3"/>
        <v>#DIV/0!</v>
      </c>
      <c r="F25" s="228">
        <f>'Info Entrada'!D110/$D$12</f>
        <v>0</v>
      </c>
      <c r="G25" s="260" t="e">
        <f t="shared" si="3"/>
        <v>#DIV/0!</v>
      </c>
      <c r="H25" s="228">
        <f>'Info Entrada'!E110/$H$12</f>
        <v>0</v>
      </c>
      <c r="I25" s="260" t="e">
        <f t="shared" si="0"/>
        <v>#DIV/0!</v>
      </c>
      <c r="J25" s="228">
        <f>'Info Entrada'!F110/$J$12</f>
        <v>0</v>
      </c>
      <c r="K25" s="260" t="e">
        <f t="shared" si="1"/>
        <v>#DIV/0!</v>
      </c>
      <c r="L25" s="228">
        <f>'Info Entrada'!G110/$L$12</f>
        <v>0</v>
      </c>
      <c r="M25" s="261" t="e">
        <f t="shared" si="2"/>
        <v>#DIV/0!</v>
      </c>
      <c r="N25" s="271"/>
    </row>
    <row r="26" spans="1:14" s="4" customFormat="1" ht="13.5" thickBot="1" x14ac:dyDescent="0.25">
      <c r="A26" s="3470" t="s">
        <v>1031</v>
      </c>
      <c r="B26" s="3471"/>
      <c r="C26" s="3363"/>
      <c r="D26" s="224">
        <f>'Info Entrada'!C111/$D$12</f>
        <v>0</v>
      </c>
      <c r="E26" s="262" t="e">
        <f t="shared" si="3"/>
        <v>#DIV/0!</v>
      </c>
      <c r="F26" s="224">
        <f>'Info Entrada'!D111/$D$12</f>
        <v>0</v>
      </c>
      <c r="G26" s="262" t="e">
        <f t="shared" si="3"/>
        <v>#DIV/0!</v>
      </c>
      <c r="H26" s="224">
        <f>'Info Entrada'!E111/$H$12</f>
        <v>0</v>
      </c>
      <c r="I26" s="262" t="e">
        <f t="shared" si="0"/>
        <v>#DIV/0!</v>
      </c>
      <c r="J26" s="224">
        <f>'Info Entrada'!F111/$J$12</f>
        <v>0</v>
      </c>
      <c r="K26" s="262" t="e">
        <f t="shared" si="1"/>
        <v>#DIV/0!</v>
      </c>
      <c r="L26" s="224">
        <f>'Info Entrada'!G111/$L$12</f>
        <v>0</v>
      </c>
      <c r="M26" s="263" t="e">
        <f t="shared" si="2"/>
        <v>#DIV/0!</v>
      </c>
      <c r="N26" s="271"/>
    </row>
    <row r="27" spans="1:14" s="53" customFormat="1" ht="13.5" thickBot="1" x14ac:dyDescent="0.25">
      <c r="A27" s="3443" t="s">
        <v>348</v>
      </c>
      <c r="B27" s="3444"/>
      <c r="C27" s="3445"/>
      <c r="D27" s="243">
        <f>D24-D25+D26</f>
        <v>0</v>
      </c>
      <c r="E27" s="244" t="e">
        <f t="shared" si="3"/>
        <v>#DIV/0!</v>
      </c>
      <c r="F27" s="243">
        <f>F24-F25+F26</f>
        <v>0</v>
      </c>
      <c r="G27" s="244" t="e">
        <f t="shared" si="3"/>
        <v>#DIV/0!</v>
      </c>
      <c r="H27" s="243">
        <f>H24-H25+H26</f>
        <v>0</v>
      </c>
      <c r="I27" s="244" t="e">
        <f t="shared" si="0"/>
        <v>#DIV/0!</v>
      </c>
      <c r="J27" s="243">
        <f>J24-J25+J26</f>
        <v>0</v>
      </c>
      <c r="K27" s="244" t="e">
        <f t="shared" si="1"/>
        <v>#DIV/0!</v>
      </c>
      <c r="L27" s="243">
        <f>L24-L25+L26</f>
        <v>0</v>
      </c>
      <c r="M27" s="249" t="e">
        <f t="shared" si="2"/>
        <v>#DIV/0!</v>
      </c>
      <c r="N27" s="271"/>
    </row>
    <row r="28" spans="1:14" s="4" customFormat="1" ht="13.5" customHeight="1" x14ac:dyDescent="0.2">
      <c r="A28" s="3455" t="s">
        <v>349</v>
      </c>
      <c r="B28" s="3456"/>
      <c r="C28" s="3469"/>
      <c r="D28" s="228">
        <f>'Info Entrada'!C123/$D$12</f>
        <v>0</v>
      </c>
      <c r="E28" s="260" t="e">
        <f t="shared" si="3"/>
        <v>#DIV/0!</v>
      </c>
      <c r="F28" s="228">
        <f>'Info Entrada'!D123/$D$12</f>
        <v>0</v>
      </c>
      <c r="G28" s="260" t="e">
        <f t="shared" si="3"/>
        <v>#DIV/0!</v>
      </c>
      <c r="H28" s="228">
        <f>'Info Entrada'!E123/$H$12</f>
        <v>0</v>
      </c>
      <c r="I28" s="260" t="e">
        <f t="shared" si="0"/>
        <v>#DIV/0!</v>
      </c>
      <c r="J28" s="228">
        <f>'Info Entrada'!F123/$J$12</f>
        <v>0</v>
      </c>
      <c r="K28" s="260" t="e">
        <f t="shared" si="1"/>
        <v>#DIV/0!</v>
      </c>
      <c r="L28" s="228">
        <f>'Info Entrada'!G123/$L$12</f>
        <v>0</v>
      </c>
      <c r="M28" s="261" t="e">
        <f t="shared" si="2"/>
        <v>#DIV/0!</v>
      </c>
      <c r="N28" s="271"/>
    </row>
    <row r="29" spans="1:14" s="4" customFormat="1" ht="12.75" customHeight="1" x14ac:dyDescent="0.2">
      <c r="A29" s="3461" t="s">
        <v>350</v>
      </c>
      <c r="B29" s="3462"/>
      <c r="C29" s="3359"/>
      <c r="D29" s="12">
        <f>'Info Entrada'!C124/$D$12</f>
        <v>0</v>
      </c>
      <c r="E29" s="52" t="e">
        <f t="shared" si="3"/>
        <v>#DIV/0!</v>
      </c>
      <c r="F29" s="12">
        <f>'Info Entrada'!D124/$D$12</f>
        <v>0</v>
      </c>
      <c r="G29" s="52" t="e">
        <f t="shared" si="3"/>
        <v>#DIV/0!</v>
      </c>
      <c r="H29" s="12">
        <f>'Info Entrada'!E124/$H$12</f>
        <v>0</v>
      </c>
      <c r="I29" s="52" t="e">
        <f t="shared" si="0"/>
        <v>#DIV/0!</v>
      </c>
      <c r="J29" s="12">
        <f>'Info Entrada'!F124/$J$12</f>
        <v>0</v>
      </c>
      <c r="K29" s="52" t="e">
        <f t="shared" si="1"/>
        <v>#DIV/0!</v>
      </c>
      <c r="L29" s="12">
        <f>'Info Entrada'!G124/$L$12</f>
        <v>0</v>
      </c>
      <c r="M29" s="258" t="e">
        <f t="shared" si="2"/>
        <v>#DIV/0!</v>
      </c>
      <c r="N29" s="271"/>
    </row>
    <row r="30" spans="1:14" s="8" customFormat="1" ht="12.75" customHeight="1" x14ac:dyDescent="0.2">
      <c r="A30" s="3452" t="s">
        <v>351</v>
      </c>
      <c r="B30" s="3453"/>
      <c r="C30" s="3454"/>
      <c r="D30" s="55">
        <f>+D28-D29</f>
        <v>0</v>
      </c>
      <c r="E30" s="54" t="e">
        <f t="shared" si="3"/>
        <v>#DIV/0!</v>
      </c>
      <c r="F30" s="55">
        <f>+F28-F29</f>
        <v>0</v>
      </c>
      <c r="G30" s="54" t="e">
        <f t="shared" si="3"/>
        <v>#DIV/0!</v>
      </c>
      <c r="H30" s="55">
        <f>+H28-H29</f>
        <v>0</v>
      </c>
      <c r="I30" s="54" t="e">
        <f t="shared" si="0"/>
        <v>#DIV/0!</v>
      </c>
      <c r="J30" s="55">
        <f>+J28-J29</f>
        <v>0</v>
      </c>
      <c r="K30" s="54" t="e">
        <f t="shared" si="1"/>
        <v>#DIV/0!</v>
      </c>
      <c r="L30" s="55">
        <f>+L28-L29</f>
        <v>0</v>
      </c>
      <c r="M30" s="259" t="e">
        <f t="shared" si="2"/>
        <v>#DIV/0!</v>
      </c>
      <c r="N30" s="271"/>
    </row>
    <row r="31" spans="1:14" s="4" customFormat="1" ht="12.75" customHeight="1" x14ac:dyDescent="0.2">
      <c r="A31" s="3461" t="s">
        <v>352</v>
      </c>
      <c r="B31" s="3462"/>
      <c r="C31" s="3359"/>
      <c r="D31" s="12">
        <f>'Info Entrada'!C127/$D$12</f>
        <v>0</v>
      </c>
      <c r="E31" s="52" t="e">
        <f t="shared" si="3"/>
        <v>#DIV/0!</v>
      </c>
      <c r="F31" s="12">
        <f>'Info Entrada'!D127/$D$12</f>
        <v>0</v>
      </c>
      <c r="G31" s="52" t="e">
        <f t="shared" si="3"/>
        <v>#DIV/0!</v>
      </c>
      <c r="H31" s="12">
        <f>'Info Entrada'!E127/$H$12</f>
        <v>0</v>
      </c>
      <c r="I31" s="52" t="e">
        <f t="shared" si="0"/>
        <v>#DIV/0!</v>
      </c>
      <c r="J31" s="12">
        <f>'Info Entrada'!F127/$J$12</f>
        <v>0</v>
      </c>
      <c r="K31" s="52" t="e">
        <f t="shared" si="1"/>
        <v>#DIV/0!</v>
      </c>
      <c r="L31" s="12">
        <f>'Info Entrada'!G127/$L$12</f>
        <v>0</v>
      </c>
      <c r="M31" s="258" t="e">
        <f t="shared" si="2"/>
        <v>#DIV/0!</v>
      </c>
      <c r="N31" s="271"/>
    </row>
    <row r="32" spans="1:14" s="4" customFormat="1" ht="12.75" customHeight="1" x14ac:dyDescent="0.2">
      <c r="A32" s="3472" t="s">
        <v>353</v>
      </c>
      <c r="B32" s="3454"/>
      <c r="C32" s="3454"/>
      <c r="D32" s="55">
        <f>SUM(D30:D31)</f>
        <v>0</v>
      </c>
      <c r="E32" s="54" t="e">
        <f t="shared" si="3"/>
        <v>#DIV/0!</v>
      </c>
      <c r="F32" s="55">
        <f>SUM(F30:F31)</f>
        <v>0</v>
      </c>
      <c r="G32" s="54" t="e">
        <f t="shared" si="3"/>
        <v>#DIV/0!</v>
      </c>
      <c r="H32" s="55">
        <f>SUM(H30:H31)</f>
        <v>0</v>
      </c>
      <c r="I32" s="54" t="e">
        <f t="shared" si="0"/>
        <v>#DIV/0!</v>
      </c>
      <c r="J32" s="55">
        <f>SUM(J30:J31)</f>
        <v>0</v>
      </c>
      <c r="K32" s="54" t="e">
        <f t="shared" si="1"/>
        <v>#DIV/0!</v>
      </c>
      <c r="L32" s="55">
        <f>SUM(L30:L31)</f>
        <v>0</v>
      </c>
      <c r="M32" s="259" t="e">
        <f t="shared" si="2"/>
        <v>#DIV/0!</v>
      </c>
      <c r="N32" s="271"/>
    </row>
    <row r="33" spans="1:14" s="4" customFormat="1" ht="12.75" customHeight="1" x14ac:dyDescent="0.2">
      <c r="A33" s="3461" t="s">
        <v>1032</v>
      </c>
      <c r="B33" s="3462"/>
      <c r="C33" s="3359"/>
      <c r="D33" s="12">
        <f>'Info Entrada'!C122/$D$12</f>
        <v>0</v>
      </c>
      <c r="E33" s="52" t="e">
        <f t="shared" ref="E33:G45" si="4">+D33/D$16</f>
        <v>#DIV/0!</v>
      </c>
      <c r="F33" s="12">
        <f>'Info Entrada'!D122/$D$12</f>
        <v>0</v>
      </c>
      <c r="G33" s="52" t="e">
        <f t="shared" si="4"/>
        <v>#DIV/0!</v>
      </c>
      <c r="H33" s="12">
        <f>'Info Entrada'!E122/$H$12</f>
        <v>0</v>
      </c>
      <c r="I33" s="52" t="e">
        <f t="shared" si="0"/>
        <v>#DIV/0!</v>
      </c>
      <c r="J33" s="12">
        <f>'Info Entrada'!F122/$J$12</f>
        <v>0</v>
      </c>
      <c r="K33" s="52" t="e">
        <f t="shared" si="1"/>
        <v>#DIV/0!</v>
      </c>
      <c r="L33" s="12">
        <f>'Info Entrada'!G122/$L$12</f>
        <v>0</v>
      </c>
      <c r="M33" s="258" t="e">
        <f t="shared" si="2"/>
        <v>#DIV/0!</v>
      </c>
      <c r="N33" s="271"/>
    </row>
    <row r="34" spans="1:14" s="4" customFormat="1" ht="12.75" customHeight="1" x14ac:dyDescent="0.2">
      <c r="A34" s="3461" t="s">
        <v>501</v>
      </c>
      <c r="B34" s="3462"/>
      <c r="C34" s="3359"/>
      <c r="D34" s="12">
        <f>'Info Entrada'!C145/$D$12</f>
        <v>0</v>
      </c>
      <c r="E34" s="52" t="e">
        <f t="shared" si="4"/>
        <v>#DIV/0!</v>
      </c>
      <c r="F34" s="12">
        <f>'Info Entrada'!D145/$D$12</f>
        <v>0</v>
      </c>
      <c r="G34" s="52" t="e">
        <f t="shared" si="4"/>
        <v>#DIV/0!</v>
      </c>
      <c r="H34" s="12">
        <f>'Info Entrada'!E145/$H$12</f>
        <v>0</v>
      </c>
      <c r="I34" s="52" t="e">
        <f t="shared" si="0"/>
        <v>#DIV/0!</v>
      </c>
      <c r="J34" s="12">
        <f>'Info Entrada'!F145/$J$12</f>
        <v>0</v>
      </c>
      <c r="K34" s="52" t="e">
        <f t="shared" si="1"/>
        <v>#DIV/0!</v>
      </c>
      <c r="L34" s="12">
        <f>'Info Entrada'!G145/$L$12</f>
        <v>0</v>
      </c>
      <c r="M34" s="258" t="e">
        <f t="shared" si="2"/>
        <v>#DIV/0!</v>
      </c>
      <c r="N34" s="271"/>
    </row>
    <row r="35" spans="1:14" s="4" customFormat="1" ht="13.5" thickBot="1" x14ac:dyDescent="0.25">
      <c r="A35" s="3449" t="s">
        <v>354</v>
      </c>
      <c r="B35" s="3450"/>
      <c r="C35" s="3451"/>
      <c r="D35" s="224">
        <f>'Info Entrada'!C149/$D$12</f>
        <v>0</v>
      </c>
      <c r="E35" s="262" t="e">
        <f t="shared" si="4"/>
        <v>#DIV/0!</v>
      </c>
      <c r="F35" s="224">
        <f>'Info Entrada'!D149/$D$12</f>
        <v>0</v>
      </c>
      <c r="G35" s="262" t="e">
        <f t="shared" si="4"/>
        <v>#DIV/0!</v>
      </c>
      <c r="H35" s="224">
        <f>'Info Entrada'!E149/$H$12</f>
        <v>0</v>
      </c>
      <c r="I35" s="262" t="e">
        <f t="shared" si="0"/>
        <v>#DIV/0!</v>
      </c>
      <c r="J35" s="224">
        <f>'Info Entrada'!F149/$J$12</f>
        <v>0</v>
      </c>
      <c r="K35" s="262" t="e">
        <f t="shared" si="1"/>
        <v>#DIV/0!</v>
      </c>
      <c r="L35" s="224">
        <f>'Info Entrada'!G149/$L$12</f>
        <v>0</v>
      </c>
      <c r="M35" s="263" t="e">
        <f t="shared" si="2"/>
        <v>#DIV/0!</v>
      </c>
      <c r="N35" s="271"/>
    </row>
    <row r="36" spans="1:14" s="53" customFormat="1" ht="14.25" customHeight="1" thickBot="1" x14ac:dyDescent="0.25">
      <c r="A36" s="3473" t="s">
        <v>355</v>
      </c>
      <c r="B36" s="3474"/>
      <c r="C36" s="3475"/>
      <c r="D36" s="243">
        <f>+D27+D32+D33+D34-D35</f>
        <v>0</v>
      </c>
      <c r="E36" s="244" t="e">
        <f t="shared" si="4"/>
        <v>#DIV/0!</v>
      </c>
      <c r="F36" s="243">
        <f>+F27+F32+F33+F34-F35</f>
        <v>0</v>
      </c>
      <c r="G36" s="244" t="e">
        <f t="shared" si="4"/>
        <v>#DIV/0!</v>
      </c>
      <c r="H36" s="243">
        <f>+H27+H32+H33+H34-H35</f>
        <v>0</v>
      </c>
      <c r="I36" s="244" t="e">
        <f t="shared" si="0"/>
        <v>#DIV/0!</v>
      </c>
      <c r="J36" s="243">
        <f>+J27+J32+J33+J34-J35</f>
        <v>0</v>
      </c>
      <c r="K36" s="244" t="e">
        <f t="shared" si="1"/>
        <v>#DIV/0!</v>
      </c>
      <c r="L36" s="243">
        <f>+L27+L32+L33+L34-L35</f>
        <v>0</v>
      </c>
      <c r="M36" s="249" t="e">
        <f t="shared" si="2"/>
        <v>#DIV/0!</v>
      </c>
      <c r="N36" s="271"/>
    </row>
    <row r="37" spans="1:14" s="4" customFormat="1" ht="13.5" customHeight="1" x14ac:dyDescent="0.2">
      <c r="A37" s="3455" t="s">
        <v>356</v>
      </c>
      <c r="B37" s="3456"/>
      <c r="C37" s="3469"/>
      <c r="D37" s="228">
        <f>'Info Entrada'!C157/$D$12</f>
        <v>0</v>
      </c>
      <c r="E37" s="260" t="e">
        <f t="shared" si="4"/>
        <v>#DIV/0!</v>
      </c>
      <c r="F37" s="228">
        <f>'Info Entrada'!D157/$D$12</f>
        <v>0</v>
      </c>
      <c r="G37" s="260" t="e">
        <f t="shared" si="4"/>
        <v>#DIV/0!</v>
      </c>
      <c r="H37" s="228">
        <f>'Info Entrada'!E157/$H$12</f>
        <v>0</v>
      </c>
      <c r="I37" s="260" t="e">
        <f t="shared" si="0"/>
        <v>#DIV/0!</v>
      </c>
      <c r="J37" s="228">
        <f>'Info Entrada'!F157/$J$12</f>
        <v>0</v>
      </c>
      <c r="K37" s="260" t="e">
        <f t="shared" si="1"/>
        <v>#DIV/0!</v>
      </c>
      <c r="L37" s="228">
        <f>'Info Entrada'!G157/$L$12</f>
        <v>0</v>
      </c>
      <c r="M37" s="261" t="e">
        <f t="shared" si="2"/>
        <v>#DIV/0!</v>
      </c>
      <c r="N37" s="271"/>
    </row>
    <row r="38" spans="1:14" s="4" customFormat="1" ht="13.5" customHeight="1" x14ac:dyDescent="0.2">
      <c r="A38" s="3369" t="s">
        <v>359</v>
      </c>
      <c r="B38" s="3370"/>
      <c r="C38" s="3476"/>
      <c r="D38" s="12">
        <f>'Info Entrada'!C153/$D$12</f>
        <v>0</v>
      </c>
      <c r="E38" s="52" t="e">
        <f t="shared" si="4"/>
        <v>#DIV/0!</v>
      </c>
      <c r="F38" s="12">
        <f>'Info Entrada'!D153/$D$12</f>
        <v>0</v>
      </c>
      <c r="G38" s="52" t="e">
        <f t="shared" si="4"/>
        <v>#DIV/0!</v>
      </c>
      <c r="H38" s="12">
        <f>'Info Entrada'!E153/$H$12</f>
        <v>0</v>
      </c>
      <c r="I38" s="52" t="e">
        <f t="shared" si="0"/>
        <v>#DIV/0!</v>
      </c>
      <c r="J38" s="12">
        <f>'Info Entrada'!F153/$J$12</f>
        <v>0</v>
      </c>
      <c r="K38" s="52" t="e">
        <f t="shared" si="1"/>
        <v>#DIV/0!</v>
      </c>
      <c r="L38" s="12">
        <f>'Info Entrada'!G153/$L$12</f>
        <v>0</v>
      </c>
      <c r="M38" s="258" t="e">
        <f t="shared" si="2"/>
        <v>#DIV/0!</v>
      </c>
      <c r="N38" s="271"/>
    </row>
    <row r="39" spans="1:14" s="4" customFormat="1" ht="13.5" customHeight="1" thickBot="1" x14ac:dyDescent="0.25">
      <c r="A39" s="3449" t="s">
        <v>360</v>
      </c>
      <c r="B39" s="3450"/>
      <c r="C39" s="3477"/>
      <c r="D39" s="250">
        <f>+'Info Entrada'!C131/$D$12</f>
        <v>0</v>
      </c>
      <c r="E39" s="238" t="e">
        <f>+D39/D$16</f>
        <v>#DIV/0!</v>
      </c>
      <c r="F39" s="250">
        <f>+'Info Entrada'!D131/$D$12</f>
        <v>0</v>
      </c>
      <c r="G39" s="238" t="e">
        <f>+F39/F$16</f>
        <v>#DIV/0!</v>
      </c>
      <c r="H39" s="250">
        <f>+'Info Entrada'!E131/$H$12</f>
        <v>0</v>
      </c>
      <c r="I39" s="238" t="e">
        <f t="shared" si="0"/>
        <v>#DIV/0!</v>
      </c>
      <c r="J39" s="250">
        <f>+'Info Entrada'!F131/$J$12</f>
        <v>0</v>
      </c>
      <c r="K39" s="238" t="e">
        <f t="shared" si="1"/>
        <v>#DIV/0!</v>
      </c>
      <c r="L39" s="250">
        <f>+'Info Entrada'!G131/$L$12</f>
        <v>0</v>
      </c>
      <c r="M39" s="239" t="e">
        <f t="shared" si="2"/>
        <v>#DIV/0!</v>
      </c>
      <c r="N39" s="271"/>
    </row>
    <row r="40" spans="1:14" s="53" customFormat="1" ht="13.5" thickBot="1" x14ac:dyDescent="0.25">
      <c r="A40" s="3443" t="s">
        <v>361</v>
      </c>
      <c r="B40" s="3444"/>
      <c r="C40" s="3445"/>
      <c r="D40" s="243">
        <f>+D36-D37+D38+D39</f>
        <v>0</v>
      </c>
      <c r="E40" s="244" t="e">
        <f t="shared" si="4"/>
        <v>#DIV/0!</v>
      </c>
      <c r="F40" s="243">
        <f>+F36-F37+F38+F39</f>
        <v>0</v>
      </c>
      <c r="G40" s="244" t="e">
        <f t="shared" si="4"/>
        <v>#DIV/0!</v>
      </c>
      <c r="H40" s="243">
        <f>+H36-H37+H38+H39</f>
        <v>0</v>
      </c>
      <c r="I40" s="244" t="e">
        <f t="shared" si="0"/>
        <v>#DIV/0!</v>
      </c>
      <c r="J40" s="243">
        <f>+J36-J37+J38+J39</f>
        <v>0</v>
      </c>
      <c r="K40" s="244" t="e">
        <f t="shared" si="1"/>
        <v>#DIV/0!</v>
      </c>
      <c r="L40" s="243">
        <f>+L36-L37+L38+L39</f>
        <v>0</v>
      </c>
      <c r="M40" s="249" t="e">
        <f t="shared" si="2"/>
        <v>#DIV/0!</v>
      </c>
      <c r="N40" s="271"/>
    </row>
    <row r="41" spans="1:14" s="4" customFormat="1" ht="14.25" customHeight="1" thickBot="1" x14ac:dyDescent="0.25">
      <c r="A41" s="3478" t="s">
        <v>362</v>
      </c>
      <c r="B41" s="3479"/>
      <c r="C41" s="3374"/>
      <c r="D41" s="267">
        <f>'Info Entrada'!C164/$D$12</f>
        <v>0</v>
      </c>
      <c r="E41" s="268" t="e">
        <f t="shared" si="4"/>
        <v>#DIV/0!</v>
      </c>
      <c r="F41" s="269">
        <f>'Info Entrada'!D164/$D$12</f>
        <v>0</v>
      </c>
      <c r="G41" s="268" t="e">
        <f t="shared" si="4"/>
        <v>#DIV/0!</v>
      </c>
      <c r="H41" s="269">
        <f>'Info Entrada'!E164/$H$12</f>
        <v>0</v>
      </c>
      <c r="I41" s="268" t="e">
        <f t="shared" si="0"/>
        <v>#DIV/0!</v>
      </c>
      <c r="J41" s="269">
        <f>'Info Entrada'!F164/$J$12</f>
        <v>0</v>
      </c>
      <c r="K41" s="268" t="e">
        <f t="shared" si="1"/>
        <v>#DIV/0!</v>
      </c>
      <c r="L41" s="269">
        <f>'Info Entrada'!G164/$L$12</f>
        <v>0</v>
      </c>
      <c r="M41" s="270" t="e">
        <f t="shared" si="2"/>
        <v>#DIV/0!</v>
      </c>
      <c r="N41" s="271"/>
    </row>
    <row r="42" spans="1:14" s="53" customFormat="1" ht="13.5" thickBot="1" x14ac:dyDescent="0.25">
      <c r="A42" s="3443" t="s">
        <v>363</v>
      </c>
      <c r="B42" s="3444"/>
      <c r="C42" s="3445"/>
      <c r="D42" s="243">
        <f>+D40-D41</f>
        <v>0</v>
      </c>
      <c r="E42" s="244" t="e">
        <f t="shared" si="4"/>
        <v>#DIV/0!</v>
      </c>
      <c r="F42" s="243">
        <f>+F40-F41</f>
        <v>0</v>
      </c>
      <c r="G42" s="244" t="e">
        <f t="shared" si="4"/>
        <v>#DIV/0!</v>
      </c>
      <c r="H42" s="243">
        <f>+H40-H41</f>
        <v>0</v>
      </c>
      <c r="I42" s="244" t="e">
        <f t="shared" si="0"/>
        <v>#DIV/0!</v>
      </c>
      <c r="J42" s="243">
        <f>+J40-J41</f>
        <v>0</v>
      </c>
      <c r="K42" s="244" t="e">
        <f t="shared" si="1"/>
        <v>#DIV/0!</v>
      </c>
      <c r="L42" s="243">
        <f>+L40-L41</f>
        <v>0</v>
      </c>
      <c r="M42" s="249" t="e">
        <f t="shared" si="2"/>
        <v>#DIV/0!</v>
      </c>
      <c r="N42" s="271"/>
    </row>
    <row r="43" spans="1:14" s="4" customFormat="1" ht="13.5" customHeight="1" x14ac:dyDescent="0.2">
      <c r="A43" s="3480" t="s">
        <v>1196</v>
      </c>
      <c r="B43" s="3469"/>
      <c r="C43" s="3469"/>
      <c r="D43" s="228">
        <f>'Info Entrada'!C166/$D$12</f>
        <v>0</v>
      </c>
      <c r="E43" s="260" t="e">
        <f t="shared" si="4"/>
        <v>#DIV/0!</v>
      </c>
      <c r="F43" s="228">
        <f>'Info Entrada'!D166/$D$12</f>
        <v>0</v>
      </c>
      <c r="G43" s="260" t="e">
        <f t="shared" si="4"/>
        <v>#DIV/0!</v>
      </c>
      <c r="H43" s="228">
        <f>'Info Entrada'!E166/$H$12</f>
        <v>0</v>
      </c>
      <c r="I43" s="260" t="e">
        <f t="shared" si="0"/>
        <v>#DIV/0!</v>
      </c>
      <c r="J43" s="228">
        <f>'Info Entrada'!F166/$J$12</f>
        <v>0</v>
      </c>
      <c r="K43" s="260" t="e">
        <f t="shared" si="1"/>
        <v>#DIV/0!</v>
      </c>
      <c r="L43" s="228">
        <f>'Info Entrada'!G166/$L$12</f>
        <v>0</v>
      </c>
      <c r="M43" s="261" t="e">
        <f t="shared" si="2"/>
        <v>#DIV/0!</v>
      </c>
      <c r="N43" s="271"/>
    </row>
    <row r="44" spans="1:14" s="4" customFormat="1" ht="13.5" thickBot="1" x14ac:dyDescent="0.25">
      <c r="A44" s="3481" t="s">
        <v>482</v>
      </c>
      <c r="B44" s="3451"/>
      <c r="C44" s="3451"/>
      <c r="D44" s="224">
        <f>'Info Entrada'!C167/$D$12</f>
        <v>0</v>
      </c>
      <c r="E44" s="262" t="e">
        <f t="shared" si="4"/>
        <v>#DIV/0!</v>
      </c>
      <c r="F44" s="224">
        <f>'Info Entrada'!D167/$D$12</f>
        <v>0</v>
      </c>
      <c r="G44" s="262" t="e">
        <f t="shared" si="4"/>
        <v>#DIV/0!</v>
      </c>
      <c r="H44" s="224">
        <f>'Info Entrada'!E167/$H$12</f>
        <v>0</v>
      </c>
      <c r="I44" s="262" t="e">
        <f t="shared" si="0"/>
        <v>#DIV/0!</v>
      </c>
      <c r="J44" s="224">
        <f>'Info Entrada'!F167/$J$12</f>
        <v>0</v>
      </c>
      <c r="K44" s="262" t="e">
        <f t="shared" si="1"/>
        <v>#DIV/0!</v>
      </c>
      <c r="L44" s="224">
        <f>'Info Entrada'!G167</f>
        <v>0</v>
      </c>
      <c r="M44" s="263" t="e">
        <f t="shared" si="2"/>
        <v>#DIV/0!</v>
      </c>
      <c r="N44" s="271"/>
    </row>
    <row r="45" spans="1:14" s="53" customFormat="1" ht="13.5" thickBot="1" x14ac:dyDescent="0.25">
      <c r="A45" s="3482" t="s">
        <v>364</v>
      </c>
      <c r="B45" s="3483"/>
      <c r="C45" s="3484"/>
      <c r="D45" s="251">
        <f>+D42-D43-D44</f>
        <v>0</v>
      </c>
      <c r="E45" s="252" t="e">
        <f t="shared" si="4"/>
        <v>#DIV/0!</v>
      </c>
      <c r="F45" s="251">
        <f>+F42-F43-F44</f>
        <v>0</v>
      </c>
      <c r="G45" s="252" t="e">
        <f t="shared" si="4"/>
        <v>#DIV/0!</v>
      </c>
      <c r="H45" s="251">
        <f>+H42-H43-H44</f>
        <v>0</v>
      </c>
      <c r="I45" s="252" t="e">
        <f t="shared" si="0"/>
        <v>#DIV/0!</v>
      </c>
      <c r="J45" s="251">
        <f>+J42-J43-J44</f>
        <v>0</v>
      </c>
      <c r="K45" s="252" t="e">
        <f t="shared" si="1"/>
        <v>#DIV/0!</v>
      </c>
      <c r="L45" s="251">
        <f>+L42-L43-L44</f>
        <v>0</v>
      </c>
      <c r="M45" s="253" t="e">
        <f t="shared" si="2"/>
        <v>#DIV/0!</v>
      </c>
      <c r="N45" s="271"/>
    </row>
    <row r="46" spans="1:14" x14ac:dyDescent="0.2">
      <c r="A46" s="3349"/>
      <c r="B46" s="3349"/>
      <c r="C46" s="3349"/>
    </row>
    <row r="47" spans="1:14" ht="13.5" thickBot="1" x14ac:dyDescent="0.25">
      <c r="A47" s="48" t="s">
        <v>365</v>
      </c>
      <c r="B47" s="48"/>
      <c r="D47" s="49"/>
      <c r="N47" s="4"/>
    </row>
    <row r="48" spans="1:14" ht="13.5" thickTop="1" x14ac:dyDescent="0.2">
      <c r="A48" s="25"/>
      <c r="B48" s="26"/>
      <c r="C48" s="26"/>
      <c r="D48" s="26"/>
      <c r="E48" s="26"/>
      <c r="F48" s="26"/>
      <c r="G48" s="26"/>
      <c r="H48" s="26"/>
      <c r="I48" s="26"/>
      <c r="J48" s="26"/>
      <c r="K48" s="26"/>
      <c r="L48" s="26"/>
      <c r="M48" s="50"/>
      <c r="N48" s="4"/>
    </row>
    <row r="49" spans="1:14" x14ac:dyDescent="0.2">
      <c r="A49" s="1102" t="s">
        <v>303</v>
      </c>
      <c r="B49" s="1103"/>
      <c r="C49" s="1103"/>
      <c r="D49" s="1103"/>
      <c r="E49" s="1103"/>
      <c r="F49" s="1103"/>
      <c r="G49" s="1103"/>
      <c r="H49" s="1103"/>
      <c r="I49" s="1103"/>
      <c r="J49" s="1103"/>
      <c r="K49" s="1103"/>
      <c r="L49" s="1103"/>
      <c r="M49" s="1104"/>
      <c r="N49" s="4"/>
    </row>
    <row r="50" spans="1:14" x14ac:dyDescent="0.2">
      <c r="A50" s="1102"/>
      <c r="B50" s="1103"/>
      <c r="C50" s="1103"/>
      <c r="D50" s="1103"/>
      <c r="E50" s="1103"/>
      <c r="F50" s="1103"/>
      <c r="G50" s="1103"/>
      <c r="H50" s="1103"/>
      <c r="I50" s="1103"/>
      <c r="J50" s="1103"/>
      <c r="K50" s="1103"/>
      <c r="L50" s="1103"/>
      <c r="M50" s="1104"/>
      <c r="N50" s="4"/>
    </row>
    <row r="51" spans="1:14" x14ac:dyDescent="0.2">
      <c r="A51" s="1102"/>
      <c r="B51" s="1103"/>
      <c r="C51" s="1103"/>
      <c r="D51" s="1103"/>
      <c r="E51" s="1103"/>
      <c r="F51" s="1103"/>
      <c r="G51" s="1103"/>
      <c r="H51" s="1103"/>
      <c r="I51" s="1103"/>
      <c r="J51" s="1103"/>
      <c r="K51" s="1103"/>
      <c r="L51" s="1103"/>
      <c r="M51" s="1104"/>
      <c r="N51" s="4"/>
    </row>
    <row r="52" spans="1:14" x14ac:dyDescent="0.2">
      <c r="A52" s="1102"/>
      <c r="B52" s="1103"/>
      <c r="C52" s="1103"/>
      <c r="D52" s="1103"/>
      <c r="E52" s="1103"/>
      <c r="F52" s="1103"/>
      <c r="G52" s="1103"/>
      <c r="H52" s="1103"/>
      <c r="I52" s="1103"/>
      <c r="J52" s="1103"/>
      <c r="K52" s="1103"/>
      <c r="L52" s="1103"/>
      <c r="M52" s="1104"/>
      <c r="N52" s="4"/>
    </row>
    <row r="53" spans="1:14" x14ac:dyDescent="0.2">
      <c r="A53" s="1102"/>
      <c r="B53" s="1103"/>
      <c r="C53" s="1103"/>
      <c r="D53" s="1103"/>
      <c r="E53" s="1103"/>
      <c r="F53" s="1103"/>
      <c r="G53" s="1103"/>
      <c r="H53" s="1103"/>
      <c r="I53" s="1103"/>
      <c r="J53" s="1103"/>
      <c r="K53" s="1103"/>
      <c r="L53" s="1103"/>
      <c r="M53" s="1104"/>
      <c r="N53" s="4"/>
    </row>
    <row r="54" spans="1:14" x14ac:dyDescent="0.2">
      <c r="A54" s="1102"/>
      <c r="B54" s="1103"/>
      <c r="C54" s="1103"/>
      <c r="D54" s="1103"/>
      <c r="E54" s="1103"/>
      <c r="F54" s="1103"/>
      <c r="G54" s="1103"/>
      <c r="H54" s="1103"/>
      <c r="I54" s="1103"/>
      <c r="J54" s="1103"/>
      <c r="K54" s="1103"/>
      <c r="L54" s="1103"/>
      <c r="M54" s="1104"/>
      <c r="N54" s="4"/>
    </row>
    <row r="55" spans="1:14" x14ac:dyDescent="0.2">
      <c r="A55" s="1102"/>
      <c r="B55" s="1103"/>
      <c r="C55" s="1103"/>
      <c r="D55" s="1103"/>
      <c r="E55" s="1103"/>
      <c r="F55" s="1103"/>
      <c r="G55" s="1103"/>
      <c r="H55" s="1103"/>
      <c r="I55" s="1103"/>
      <c r="J55" s="1103"/>
      <c r="K55" s="1103"/>
      <c r="L55" s="1103"/>
      <c r="M55" s="1104"/>
      <c r="N55" s="4"/>
    </row>
    <row r="56" spans="1:14" x14ac:dyDescent="0.2">
      <c r="A56" s="1102"/>
      <c r="B56" s="1103"/>
      <c r="C56" s="1103"/>
      <c r="D56" s="1103"/>
      <c r="E56" s="1103"/>
      <c r="F56" s="1103"/>
      <c r="G56" s="1103"/>
      <c r="H56" s="1103"/>
      <c r="I56" s="1103"/>
      <c r="J56" s="1103"/>
      <c r="K56" s="1103"/>
      <c r="L56" s="1103"/>
      <c r="M56" s="1104"/>
      <c r="N56" s="4"/>
    </row>
    <row r="57" spans="1:14" x14ac:dyDescent="0.2">
      <c r="A57" s="1102"/>
      <c r="B57" s="1103"/>
      <c r="C57" s="1103"/>
      <c r="D57" s="1103"/>
      <c r="E57" s="1103"/>
      <c r="F57" s="1103"/>
      <c r="G57" s="1103"/>
      <c r="H57" s="1103"/>
      <c r="I57" s="1103"/>
      <c r="J57" s="1103"/>
      <c r="K57" s="1103"/>
      <c r="L57" s="1103"/>
      <c r="M57" s="1104"/>
      <c r="N57" s="4"/>
    </row>
    <row r="58" spans="1:14" x14ac:dyDescent="0.2">
      <c r="A58" s="1102"/>
      <c r="B58" s="1103"/>
      <c r="C58" s="1103"/>
      <c r="D58" s="1103"/>
      <c r="E58" s="1103"/>
      <c r="F58" s="1103"/>
      <c r="G58" s="1103"/>
      <c r="H58" s="1103"/>
      <c r="I58" s="1103"/>
      <c r="J58" s="1103"/>
      <c r="K58" s="1103"/>
      <c r="L58" s="1103"/>
      <c r="M58" s="1104"/>
      <c r="N58" s="4"/>
    </row>
    <row r="59" spans="1:14" x14ac:dyDescent="0.2">
      <c r="A59" s="1102"/>
      <c r="B59" s="1103"/>
      <c r="C59" s="1103"/>
      <c r="D59" s="1103"/>
      <c r="E59" s="1103"/>
      <c r="F59" s="1103"/>
      <c r="G59" s="1103"/>
      <c r="H59" s="1103"/>
      <c r="I59" s="1103"/>
      <c r="J59" s="1103"/>
      <c r="K59" s="1103"/>
      <c r="L59" s="1103"/>
      <c r="M59" s="1104"/>
      <c r="N59" s="4"/>
    </row>
    <row r="60" spans="1:14" x14ac:dyDescent="0.2">
      <c r="A60" s="1102"/>
      <c r="B60" s="1103"/>
      <c r="C60" s="1103"/>
      <c r="D60" s="1103"/>
      <c r="E60" s="1103"/>
      <c r="F60" s="1103"/>
      <c r="G60" s="1103"/>
      <c r="H60" s="1103"/>
      <c r="I60" s="1103"/>
      <c r="J60" s="1103"/>
      <c r="K60" s="1103"/>
      <c r="L60" s="1103"/>
      <c r="M60" s="1104"/>
      <c r="N60" s="4"/>
    </row>
    <row r="61" spans="1:14" x14ac:dyDescent="0.2">
      <c r="A61" s="1102"/>
      <c r="B61" s="1103"/>
      <c r="C61" s="1103"/>
      <c r="D61" s="1103"/>
      <c r="E61" s="1103"/>
      <c r="F61" s="1103"/>
      <c r="G61" s="1103"/>
      <c r="H61" s="1103"/>
      <c r="I61" s="1103"/>
      <c r="J61" s="1103"/>
      <c r="K61" s="1103"/>
      <c r="L61" s="1103"/>
      <c r="M61" s="1104"/>
      <c r="N61" s="4"/>
    </row>
    <row r="62" spans="1:14" x14ac:dyDescent="0.2">
      <c r="A62" s="1102"/>
      <c r="B62" s="1103"/>
      <c r="C62" s="1103"/>
      <c r="D62" s="1103"/>
      <c r="E62" s="1103"/>
      <c r="F62" s="1103"/>
      <c r="G62" s="1103"/>
      <c r="H62" s="1103"/>
      <c r="I62" s="1103"/>
      <c r="J62" s="1103"/>
      <c r="K62" s="1103"/>
      <c r="L62" s="1103"/>
      <c r="M62" s="1104"/>
      <c r="N62" s="4"/>
    </row>
    <row r="63" spans="1:14" x14ac:dyDescent="0.2">
      <c r="A63" s="1102"/>
      <c r="B63" s="1103"/>
      <c r="C63" s="1103"/>
      <c r="D63" s="1103"/>
      <c r="E63" s="1103"/>
      <c r="F63" s="1103"/>
      <c r="G63" s="1103"/>
      <c r="H63" s="1103"/>
      <c r="I63" s="1103"/>
      <c r="J63" s="1103"/>
      <c r="K63" s="1103"/>
      <c r="L63" s="1103"/>
      <c r="M63" s="1104"/>
      <c r="N63" s="4"/>
    </row>
    <row r="64" spans="1:14" x14ac:dyDescent="0.2">
      <c r="A64" s="1102"/>
      <c r="B64" s="1103"/>
      <c r="C64" s="1103"/>
      <c r="D64" s="1103"/>
      <c r="E64" s="1103"/>
      <c r="F64" s="1103"/>
      <c r="G64" s="1103"/>
      <c r="H64" s="1103"/>
      <c r="I64" s="1103"/>
      <c r="J64" s="1103"/>
      <c r="K64" s="1103"/>
      <c r="L64" s="1103"/>
      <c r="M64" s="1104"/>
      <c r="N64" s="4"/>
    </row>
    <row r="65" spans="1:14" ht="13.5" thickBot="1" x14ac:dyDescent="0.25">
      <c r="A65" s="27" t="s">
        <v>303</v>
      </c>
      <c r="B65" s="28"/>
      <c r="C65" s="28"/>
      <c r="D65" s="28"/>
      <c r="E65" s="28"/>
      <c r="F65" s="28"/>
      <c r="G65" s="28"/>
      <c r="H65" s="28"/>
      <c r="I65" s="28"/>
      <c r="J65" s="28"/>
      <c r="K65" s="28"/>
      <c r="L65" s="28"/>
      <c r="M65" s="51"/>
      <c r="N65" s="4"/>
    </row>
    <row r="66" spans="1:14" ht="13.5" thickTop="1" x14ac:dyDescent="0.2">
      <c r="A66" s="3348"/>
      <c r="B66" s="3348"/>
      <c r="C66" s="3349"/>
      <c r="N66" s="4"/>
    </row>
    <row r="67" spans="1:14" ht="13.5" customHeight="1" x14ac:dyDescent="0.2">
      <c r="A67" s="3348"/>
      <c r="B67" s="3348"/>
      <c r="C67" s="3349"/>
    </row>
    <row r="68" spans="1:14" ht="13.5" customHeight="1" x14ac:dyDescent="0.2">
      <c r="A68" s="1301"/>
      <c r="B68" s="1301"/>
      <c r="C68" s="1302"/>
    </row>
    <row r="69" spans="1:14" ht="13.5" customHeight="1" x14ac:dyDescent="0.2">
      <c r="A69" s="1301"/>
      <c r="B69" s="1301"/>
      <c r="C69" s="1302"/>
    </row>
    <row r="70" spans="1:14" ht="13.5" customHeight="1" x14ac:dyDescent="0.2">
      <c r="A70" s="1301"/>
      <c r="B70" s="1301"/>
      <c r="C70" s="1302"/>
    </row>
    <row r="71" spans="1:14" ht="13.5" customHeight="1" x14ac:dyDescent="0.2">
      <c r="A71" s="1301"/>
      <c r="B71" s="1301"/>
      <c r="C71" s="1302"/>
    </row>
    <row r="72" spans="1:14" ht="13.5" customHeight="1" x14ac:dyDescent="0.2">
      <c r="A72" s="1301"/>
      <c r="B72" s="1301"/>
      <c r="C72" s="1302"/>
    </row>
    <row r="73" spans="1:14" ht="13.5" customHeight="1" x14ac:dyDescent="0.2">
      <c r="A73" s="1301"/>
      <c r="B73" s="1301"/>
      <c r="C73" s="1302"/>
    </row>
    <row r="74" spans="1:14" ht="13.5" customHeight="1" x14ac:dyDescent="0.2">
      <c r="A74" s="1301"/>
      <c r="B74" s="1301"/>
      <c r="C74" s="1302"/>
    </row>
    <row r="75" spans="1:14" ht="13.5" customHeight="1" x14ac:dyDescent="0.2">
      <c r="A75" s="1301"/>
      <c r="B75" s="1301"/>
      <c r="C75" s="1302"/>
    </row>
    <row r="76" spans="1:14" ht="13.5" customHeight="1" x14ac:dyDescent="0.2">
      <c r="A76" s="1301"/>
      <c r="B76" s="1301"/>
      <c r="C76" s="1302"/>
    </row>
    <row r="77" spans="1:14" ht="13.5" customHeight="1" x14ac:dyDescent="0.2">
      <c r="A77" s="1301"/>
      <c r="B77" s="1301"/>
      <c r="C77" s="1302"/>
    </row>
    <row r="78" spans="1:14" ht="13.5" customHeight="1" x14ac:dyDescent="0.2">
      <c r="A78" s="1301"/>
      <c r="B78" s="1301"/>
      <c r="C78" s="1302"/>
    </row>
    <row r="79" spans="1:14" ht="13.5" customHeight="1" x14ac:dyDescent="0.2">
      <c r="A79" s="1301"/>
      <c r="B79" s="1301"/>
      <c r="C79" s="1302"/>
    </row>
    <row r="80" spans="1:14" ht="13.5" customHeight="1" x14ac:dyDescent="0.2">
      <c r="A80" s="1301"/>
      <c r="B80" s="1301"/>
      <c r="C80" s="1302"/>
    </row>
    <row r="81" spans="1:14" ht="13.5" customHeight="1" x14ac:dyDescent="0.2">
      <c r="A81" s="1301"/>
      <c r="B81" s="1301"/>
      <c r="C81" s="1302"/>
    </row>
    <row r="82" spans="1:14" s="32" customFormat="1" ht="13.5" customHeight="1" x14ac:dyDescent="0.2">
      <c r="A82" s="1301"/>
      <c r="B82" s="1301"/>
      <c r="C82" s="1302"/>
      <c r="D82" s="31"/>
      <c r="F82" s="31"/>
      <c r="H82" s="31"/>
      <c r="L82" s="18"/>
      <c r="M82" s="18"/>
      <c r="N82" s="18"/>
    </row>
    <row r="83" spans="1:14" s="32" customFormat="1" ht="13.5" customHeight="1" x14ac:dyDescent="0.2">
      <c r="A83" s="1301"/>
      <c r="B83" s="1301"/>
      <c r="C83" s="1302"/>
      <c r="D83" s="31"/>
      <c r="F83" s="31"/>
      <c r="H83" s="31"/>
      <c r="L83" s="18"/>
      <c r="M83" s="18"/>
      <c r="N83" s="18"/>
    </row>
    <row r="84" spans="1:14" s="32" customFormat="1" x14ac:dyDescent="0.2">
      <c r="A84" s="3348"/>
      <c r="B84" s="3348"/>
      <c r="C84" s="3349"/>
      <c r="D84" s="31"/>
      <c r="F84" s="31"/>
      <c r="H84" s="31"/>
      <c r="L84" s="18"/>
      <c r="M84" s="18"/>
      <c r="N84" s="18"/>
    </row>
    <row r="85" spans="1:14" s="32" customFormat="1" x14ac:dyDescent="0.2">
      <c r="A85" s="4"/>
      <c r="B85" s="4"/>
      <c r="C85" s="4"/>
      <c r="D85" s="4"/>
      <c r="E85" s="4"/>
      <c r="F85" s="4"/>
      <c r="G85" s="4"/>
      <c r="H85" s="4"/>
      <c r="I85" s="4"/>
      <c r="L85" s="18"/>
      <c r="M85" s="18"/>
      <c r="N85" s="18"/>
    </row>
    <row r="86" spans="1:14" s="32" customFormat="1" x14ac:dyDescent="0.2">
      <c r="A86" s="4"/>
      <c r="B86" s="31"/>
      <c r="C86" s="31"/>
      <c r="D86" s="31"/>
      <c r="E86" s="31"/>
      <c r="F86" s="31"/>
      <c r="G86" s="4"/>
      <c r="H86" s="4"/>
      <c r="I86" s="4"/>
      <c r="L86" s="18"/>
      <c r="M86" s="18"/>
      <c r="N86" s="18"/>
    </row>
    <row r="87" spans="1:14" s="32" customFormat="1" x14ac:dyDescent="0.2">
      <c r="A87" s="4"/>
      <c r="B87" s="31"/>
      <c r="C87" s="31"/>
      <c r="D87" s="31"/>
      <c r="E87" s="31"/>
      <c r="F87" s="31"/>
      <c r="G87" s="4"/>
      <c r="H87" s="4"/>
      <c r="I87" s="4"/>
      <c r="L87" s="18"/>
      <c r="M87" s="18"/>
      <c r="N87" s="18"/>
    </row>
    <row r="88" spans="1:14" s="32" customFormat="1" x14ac:dyDescent="0.2">
      <c r="A88" s="4"/>
      <c r="B88" s="31"/>
      <c r="C88" s="31"/>
      <c r="D88" s="31"/>
      <c r="E88" s="31"/>
      <c r="F88" s="31"/>
      <c r="G88" s="4"/>
      <c r="H88" s="4"/>
      <c r="I88" s="4"/>
      <c r="L88" s="18"/>
      <c r="M88" s="18"/>
      <c r="N88" s="18"/>
    </row>
    <row r="89" spans="1:14" s="32" customFormat="1" x14ac:dyDescent="0.2">
      <c r="A89" s="34"/>
      <c r="B89" s="31"/>
      <c r="C89" s="31"/>
      <c r="D89" s="31"/>
      <c r="E89" s="31"/>
      <c r="F89" s="31"/>
      <c r="G89" s="433"/>
      <c r="H89" s="36"/>
      <c r="I89" s="8"/>
      <c r="L89" s="18"/>
      <c r="M89" s="18"/>
      <c r="N89" s="18"/>
    </row>
    <row r="90" spans="1:14" s="32" customFormat="1" x14ac:dyDescent="0.2">
      <c r="B90" s="31"/>
      <c r="C90" s="31"/>
      <c r="D90" s="31"/>
      <c r="E90" s="31"/>
      <c r="F90" s="31"/>
      <c r="L90" s="18"/>
      <c r="M90" s="18"/>
      <c r="N90" s="18"/>
    </row>
    <row r="91" spans="1:14" s="32" customFormat="1" x14ac:dyDescent="0.2">
      <c r="L91" s="18"/>
      <c r="M91" s="18"/>
      <c r="N91" s="18"/>
    </row>
    <row r="92" spans="1:14" s="32" customFormat="1" x14ac:dyDescent="0.2">
      <c r="L92" s="18"/>
      <c r="M92" s="18"/>
      <c r="N92" s="18"/>
    </row>
    <row r="93" spans="1:14" s="32" customFormat="1" x14ac:dyDescent="0.2">
      <c r="L93" s="18"/>
      <c r="M93" s="18"/>
      <c r="N93" s="18"/>
    </row>
    <row r="94" spans="1:14" s="32" customFormat="1" x14ac:dyDescent="0.2">
      <c r="L94" s="18"/>
      <c r="M94" s="18"/>
      <c r="N94" s="18"/>
    </row>
    <row r="95" spans="1:14" s="32" customFormat="1" x14ac:dyDescent="0.2">
      <c r="L95" s="18"/>
      <c r="M95" s="18"/>
      <c r="N95" s="18"/>
    </row>
    <row r="96" spans="1:14" s="32" customFormat="1" x14ac:dyDescent="0.2">
      <c r="L96" s="18"/>
      <c r="M96" s="18"/>
      <c r="N96" s="18"/>
    </row>
    <row r="97" spans="12:14" s="32" customFormat="1" x14ac:dyDescent="0.2">
      <c r="L97" s="18"/>
      <c r="M97" s="18"/>
      <c r="N97" s="18"/>
    </row>
    <row r="98" spans="12:14" s="32" customFormat="1" x14ac:dyDescent="0.2">
      <c r="L98" s="18"/>
      <c r="M98" s="18"/>
      <c r="N98" s="18"/>
    </row>
    <row r="99" spans="12:14" s="32" customFormat="1" x14ac:dyDescent="0.2">
      <c r="L99" s="18"/>
      <c r="M99" s="18"/>
      <c r="N99" s="18"/>
    </row>
    <row r="100" spans="12:14" s="32" customFormat="1" x14ac:dyDescent="0.2">
      <c r="L100" s="18"/>
      <c r="M100" s="18"/>
      <c r="N100" s="18"/>
    </row>
    <row r="101" spans="12:14" s="32" customFormat="1" x14ac:dyDescent="0.2">
      <c r="L101" s="18"/>
      <c r="M101" s="18"/>
      <c r="N101" s="18"/>
    </row>
    <row r="102" spans="12:14" s="32" customFormat="1" x14ac:dyDescent="0.2">
      <c r="L102" s="18"/>
      <c r="M102" s="18"/>
      <c r="N102" s="18"/>
    </row>
    <row r="103" spans="12:14" s="32" customFormat="1" x14ac:dyDescent="0.2">
      <c r="L103" s="18"/>
      <c r="M103" s="18"/>
      <c r="N103" s="18"/>
    </row>
    <row r="104" spans="12:14" s="32" customFormat="1" x14ac:dyDescent="0.2">
      <c r="L104" s="18"/>
      <c r="M104" s="18"/>
      <c r="N104" s="18"/>
    </row>
    <row r="105" spans="12:14" s="32" customFormat="1" x14ac:dyDescent="0.2">
      <c r="L105" s="18"/>
      <c r="M105" s="18"/>
      <c r="N105" s="18"/>
    </row>
    <row r="106" spans="12:14" s="32" customFormat="1" x14ac:dyDescent="0.2">
      <c r="L106" s="18"/>
      <c r="M106" s="18"/>
      <c r="N106" s="18"/>
    </row>
    <row r="107" spans="12:14" s="32" customFormat="1" x14ac:dyDescent="0.2">
      <c r="L107" s="18"/>
      <c r="M107" s="18"/>
      <c r="N107" s="18"/>
    </row>
    <row r="108" spans="12:14" s="32" customFormat="1" x14ac:dyDescent="0.2">
      <c r="L108" s="18"/>
      <c r="M108" s="18"/>
      <c r="N108" s="18"/>
    </row>
    <row r="109" spans="12:14" s="32" customFormat="1" x14ac:dyDescent="0.2">
      <c r="L109" s="18"/>
      <c r="M109" s="18"/>
      <c r="N109" s="18"/>
    </row>
    <row r="110" spans="12:14" s="32" customFormat="1" x14ac:dyDescent="0.2">
      <c r="L110" s="18"/>
      <c r="M110" s="18"/>
      <c r="N110" s="18"/>
    </row>
    <row r="111" spans="12:14" s="32" customFormat="1" x14ac:dyDescent="0.2">
      <c r="L111" s="18"/>
      <c r="M111" s="18"/>
      <c r="N111" s="18"/>
    </row>
    <row r="112" spans="12:14" s="32" customFormat="1" x14ac:dyDescent="0.2">
      <c r="L112" s="18"/>
      <c r="M112" s="18"/>
      <c r="N112" s="18"/>
    </row>
    <row r="113" spans="12:14" s="32" customFormat="1" x14ac:dyDescent="0.2">
      <c r="L113" s="18"/>
      <c r="M113" s="18"/>
      <c r="N113" s="18"/>
    </row>
    <row r="114" spans="12:14" s="32" customFormat="1" x14ac:dyDescent="0.2">
      <c r="L114" s="18"/>
      <c r="M114" s="18"/>
      <c r="N114" s="18"/>
    </row>
    <row r="115" spans="12:14" s="32" customFormat="1" x14ac:dyDescent="0.2">
      <c r="L115" s="18"/>
      <c r="M115" s="18"/>
      <c r="N115" s="18"/>
    </row>
    <row r="116" spans="12:14" s="32" customFormat="1" x14ac:dyDescent="0.2">
      <c r="L116" s="18"/>
      <c r="M116" s="18"/>
      <c r="N116" s="18"/>
    </row>
    <row r="117" spans="12:14" s="32" customFormat="1" x14ac:dyDescent="0.2">
      <c r="L117" s="18"/>
      <c r="M117" s="18"/>
      <c r="N117" s="18"/>
    </row>
    <row r="118" spans="12:14" s="32" customFormat="1" x14ac:dyDescent="0.2">
      <c r="L118" s="18"/>
      <c r="M118" s="18"/>
      <c r="N118" s="18"/>
    </row>
    <row r="119" spans="12:14" s="32" customFormat="1" x14ac:dyDescent="0.2">
      <c r="L119" s="18"/>
      <c r="M119" s="18"/>
      <c r="N119" s="18"/>
    </row>
    <row r="120" spans="12:14" s="32" customFormat="1" x14ac:dyDescent="0.2">
      <c r="L120" s="18"/>
      <c r="M120" s="18"/>
      <c r="N120" s="18"/>
    </row>
    <row r="121" spans="12:14" s="32" customFormat="1" x14ac:dyDescent="0.2">
      <c r="L121" s="18"/>
      <c r="M121" s="18"/>
      <c r="N121" s="18"/>
    </row>
    <row r="122" spans="12:14" s="32" customFormat="1" x14ac:dyDescent="0.2">
      <c r="L122" s="18"/>
      <c r="M122" s="18"/>
      <c r="N122" s="18"/>
    </row>
    <row r="123" spans="12:14" s="32" customFormat="1" x14ac:dyDescent="0.2">
      <c r="L123" s="18"/>
      <c r="M123" s="18"/>
      <c r="N123" s="18"/>
    </row>
    <row r="124" spans="12:14" s="32" customFormat="1" x14ac:dyDescent="0.2">
      <c r="L124" s="18"/>
      <c r="M124" s="18"/>
      <c r="N124" s="18"/>
    </row>
    <row r="125" spans="12:14" s="32" customFormat="1" x14ac:dyDescent="0.2">
      <c r="L125" s="18"/>
      <c r="M125" s="18"/>
      <c r="N125" s="18"/>
    </row>
    <row r="126" spans="12:14" s="32" customFormat="1" x14ac:dyDescent="0.2">
      <c r="L126" s="18"/>
      <c r="M126" s="18"/>
      <c r="N126" s="18"/>
    </row>
    <row r="127" spans="12:14" s="32" customFormat="1" x14ac:dyDescent="0.2">
      <c r="L127" s="18"/>
      <c r="M127" s="18"/>
      <c r="N127" s="18"/>
    </row>
    <row r="128" spans="12:14" s="32" customFormat="1" x14ac:dyDescent="0.2">
      <c r="L128" s="18"/>
      <c r="M128" s="18"/>
      <c r="N128" s="18"/>
    </row>
    <row r="129" spans="12:14" s="32" customFormat="1" x14ac:dyDescent="0.2">
      <c r="L129" s="18"/>
      <c r="M129" s="18"/>
      <c r="N129" s="18"/>
    </row>
    <row r="130" spans="12:14" s="32" customFormat="1" x14ac:dyDescent="0.2">
      <c r="L130" s="18"/>
      <c r="M130" s="18"/>
      <c r="N130" s="18"/>
    </row>
    <row r="131" spans="12:14" s="32" customFormat="1" x14ac:dyDescent="0.2">
      <c r="L131" s="18"/>
      <c r="M131" s="18"/>
      <c r="N131" s="18"/>
    </row>
    <row r="132" spans="12:14" s="32" customFormat="1" x14ac:dyDescent="0.2">
      <c r="L132" s="18"/>
      <c r="M132" s="18"/>
      <c r="N132" s="18"/>
    </row>
    <row r="133" spans="12:14" s="32" customFormat="1" x14ac:dyDescent="0.2">
      <c r="L133" s="18"/>
      <c r="M133" s="18"/>
      <c r="N133" s="18"/>
    </row>
    <row r="134" spans="12:14" s="32" customFormat="1" x14ac:dyDescent="0.2">
      <c r="L134" s="18"/>
      <c r="M134" s="18"/>
      <c r="N134" s="18"/>
    </row>
    <row r="135" spans="12:14" s="32" customFormat="1" x14ac:dyDescent="0.2">
      <c r="L135" s="18"/>
      <c r="M135" s="18"/>
      <c r="N135" s="18"/>
    </row>
    <row r="136" spans="12:14" s="32" customFormat="1" x14ac:dyDescent="0.2">
      <c r="L136" s="18"/>
      <c r="M136" s="18"/>
      <c r="N136" s="18"/>
    </row>
    <row r="137" spans="12:14" s="32" customFormat="1" x14ac:dyDescent="0.2">
      <c r="L137" s="18"/>
      <c r="M137" s="18"/>
      <c r="N137" s="18"/>
    </row>
  </sheetData>
  <mergeCells count="37">
    <mergeCell ref="A84:C84"/>
    <mergeCell ref="A43:C43"/>
    <mergeCell ref="A44:C44"/>
    <mergeCell ref="A45:C45"/>
    <mergeCell ref="A46:C46"/>
    <mergeCell ref="A66:C66"/>
    <mergeCell ref="A67:C67"/>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A18:C18"/>
    <mergeCell ref="A10:C10"/>
    <mergeCell ref="A11:C11"/>
    <mergeCell ref="A15:M15"/>
    <mergeCell ref="A16:C16"/>
    <mergeCell ref="A17:C17"/>
  </mergeCells>
  <dataValidations count="1">
    <dataValidation type="whole" allowBlank="1" showInputMessage="1" showErrorMessage="1" sqref="D95:H95">
      <formula1>1</formula1>
      <formula2>12</formula2>
    </dataValidation>
  </dataValidations>
  <printOptions horizontalCentered="1" verticalCentered="1"/>
  <pageMargins left="0.39370078740157483" right="0.39370078740157483" top="0.39370078740157483" bottom="0.39370078740157483" header="0.59055118110236227" footer="0"/>
  <pageSetup scale="61"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theme="9" tint="-0.499984740745262"/>
    <pageSetUpPr fitToPage="1"/>
  </sheetPr>
  <dimension ref="A2:I55"/>
  <sheetViews>
    <sheetView showGridLines="0" zoomScaleNormal="100" workbookViewId="0"/>
  </sheetViews>
  <sheetFormatPr baseColWidth="10" defaultRowHeight="12.75" outlineLevelCol="1" x14ac:dyDescent="0.2"/>
  <cols>
    <col min="1" max="1" width="17" style="4" customWidth="1"/>
    <col min="2" max="2" width="27.85546875" style="4" customWidth="1"/>
    <col min="3" max="3" width="9.28515625" style="4" customWidth="1"/>
    <col min="4" max="6" width="15.7109375" style="4" customWidth="1"/>
    <col min="7" max="8" width="15.7109375" style="4" customWidth="1" outlineLevel="1"/>
    <col min="9" max="16384" width="11.42578125" style="4"/>
  </cols>
  <sheetData>
    <row r="2" spans="1:9" x14ac:dyDescent="0.2">
      <c r="E2" s="34"/>
    </row>
    <row r="3" spans="1:9" x14ac:dyDescent="0.2">
      <c r="E3" s="34"/>
    </row>
    <row r="5" spans="1:9" s="8" customFormat="1" x14ac:dyDescent="0.2">
      <c r="A5" s="34" t="s">
        <v>105</v>
      </c>
      <c r="B5" s="280">
        <f>+General!D6</f>
        <v>0</v>
      </c>
      <c r="C5" s="280"/>
      <c r="D5" s="36"/>
      <c r="E5" s="56" t="s">
        <v>272</v>
      </c>
      <c r="F5" s="37" t="str">
        <f>General!D23</f>
        <v>NO</v>
      </c>
      <c r="G5" s="433"/>
      <c r="H5" s="36"/>
    </row>
    <row r="6" spans="1:9" s="8" customFormat="1" x14ac:dyDescent="0.2">
      <c r="A6" s="34" t="s">
        <v>106</v>
      </c>
      <c r="B6" s="281">
        <f>+General!D7</f>
        <v>0</v>
      </c>
      <c r="C6" s="281"/>
      <c r="D6" s="36"/>
      <c r="E6" s="56" t="s">
        <v>109</v>
      </c>
      <c r="F6" s="35">
        <f>General!D21</f>
        <v>0</v>
      </c>
      <c r="G6" s="40"/>
    </row>
    <row r="7" spans="1:9" ht="13.5" thickBot="1" x14ac:dyDescent="0.25"/>
    <row r="8" spans="1:9" ht="15.75" thickTop="1" thickBot="1" x14ac:dyDescent="0.25">
      <c r="A8" s="3485" t="s">
        <v>366</v>
      </c>
      <c r="B8" s="3486"/>
      <c r="C8" s="3486"/>
      <c r="D8" s="3486"/>
      <c r="E8" s="3486"/>
      <c r="F8" s="3486"/>
      <c r="G8" s="3486"/>
      <c r="H8" s="3487"/>
    </row>
    <row r="9" spans="1:9" ht="14.25" thickTop="1" thickBot="1" x14ac:dyDescent="0.25"/>
    <row r="10" spans="1:9" ht="14.25" thickTop="1" thickBot="1" x14ac:dyDescent="0.25">
      <c r="D10" s="57">
        <f>'Info Entrada'!C1</f>
        <v>42735</v>
      </c>
      <c r="E10" s="58">
        <f>'Info Entrada'!D1</f>
        <v>43100</v>
      </c>
      <c r="F10" s="58">
        <f>'Info Entrada'!E1</f>
        <v>43465</v>
      </c>
      <c r="G10" s="58">
        <f>'Info Entrada'!F1</f>
        <v>43281</v>
      </c>
      <c r="H10" s="59">
        <f>'Info Entrada'!G1</f>
        <v>43646</v>
      </c>
    </row>
    <row r="11" spans="1:9" ht="14.25" thickTop="1" thickBot="1" x14ac:dyDescent="0.25">
      <c r="C11" s="33" t="s">
        <v>367</v>
      </c>
      <c r="D11" s="204">
        <f>MONTH(D10)</f>
        <v>12</v>
      </c>
      <c r="E11" s="205">
        <f>MONTH(E10)</f>
        <v>12</v>
      </c>
      <c r="F11" s="205">
        <f>MONTH(F10)</f>
        <v>12</v>
      </c>
      <c r="G11" s="205">
        <f>MONTH(G10)</f>
        <v>6</v>
      </c>
      <c r="H11" s="206">
        <f>MONTH(H10)</f>
        <v>6</v>
      </c>
    </row>
    <row r="12" spans="1:9" ht="14.25" thickTop="1" thickBot="1" x14ac:dyDescent="0.25">
      <c r="C12" s="33" t="s">
        <v>402</v>
      </c>
      <c r="D12" s="1325">
        <f>+'Info Entrada'!C6</f>
        <v>3000.71</v>
      </c>
      <c r="E12" s="1325">
        <f>+'Info Entrada'!D6</f>
        <v>2984</v>
      </c>
      <c r="F12" s="1325">
        <f>+'Info Entrada'!E6</f>
        <v>3249.75</v>
      </c>
      <c r="G12" s="1325">
        <f>+'Info Entrada'!F6</f>
        <v>2930.8</v>
      </c>
      <c r="H12" s="1325">
        <f>+'Info Entrada'!G6</f>
        <v>3205.67</v>
      </c>
    </row>
    <row r="13" spans="1:9" ht="14.25" thickTop="1" thickBot="1" x14ac:dyDescent="0.25">
      <c r="A13" s="1286" t="s">
        <v>368</v>
      </c>
      <c r="B13" s="1287"/>
      <c r="C13" s="1288"/>
      <c r="D13" s="60"/>
      <c r="E13" s="60"/>
      <c r="F13" s="61"/>
      <c r="G13" s="61"/>
      <c r="H13" s="61"/>
    </row>
    <row r="14" spans="1:9" ht="13.5" thickTop="1" x14ac:dyDescent="0.2">
      <c r="A14" s="1289" t="s">
        <v>369</v>
      </c>
      <c r="B14" s="1290"/>
      <c r="C14" s="1291"/>
      <c r="D14" s="62" t="e">
        <f>'Info Entrada'!C94/'Info Entrada'!C77</f>
        <v>#DIV/0!</v>
      </c>
      <c r="E14" s="62" t="e">
        <f>'Info Entrada'!D94/'Info Entrada'!D77</f>
        <v>#DIV/0!</v>
      </c>
      <c r="F14" s="62" t="e">
        <f>'Info Entrada'!E94/'Info Entrada'!E77</f>
        <v>#DIV/0!</v>
      </c>
      <c r="G14" s="63" t="e">
        <f>'Info Entrada'!F94/'Info Entrada'!F77</f>
        <v>#DIV/0!</v>
      </c>
      <c r="H14" s="63" t="e">
        <f>'Info Entrada'!G94/'Info Entrada'!G77</f>
        <v>#DIV/0!</v>
      </c>
    </row>
    <row r="15" spans="1:9" x14ac:dyDescent="0.2">
      <c r="A15" s="1292" t="s">
        <v>370</v>
      </c>
      <c r="B15" s="1293"/>
      <c r="C15" s="1294"/>
      <c r="D15" s="64" t="e">
        <f>'Info Entrada'!C113/'Info Entrada'!C124</f>
        <v>#DIV/0!</v>
      </c>
      <c r="E15" s="64" t="e">
        <f>'Info Entrada'!D113/'Info Entrada'!D124</f>
        <v>#DIV/0!</v>
      </c>
      <c r="F15" s="64" t="e">
        <f>'Info Entrada'!E113/'Info Entrada'!E124</f>
        <v>#DIV/0!</v>
      </c>
      <c r="G15" s="65" t="e">
        <f>'Info Entrada'!F113/'Info Entrada'!F124</f>
        <v>#DIV/0!</v>
      </c>
      <c r="H15" s="65" t="e">
        <f>'Info Entrada'!G113/'Info Entrada'!G124</f>
        <v>#DIV/0!</v>
      </c>
    </row>
    <row r="16" spans="1:9" x14ac:dyDescent="0.2">
      <c r="A16" s="1292" t="s">
        <v>371</v>
      </c>
      <c r="B16" s="1293"/>
      <c r="C16" s="1294"/>
      <c r="D16" s="64" t="e">
        <f>IF('Info Entrada'!C123&gt;'Info Entrada'!C124,0,'Info Entrada'!C113/('Info Entrada'!C124-'Info Entrada'!C123))</f>
        <v>#DIV/0!</v>
      </c>
      <c r="E16" s="64" t="e">
        <f>IF('Info Entrada'!D123&gt;'Info Entrada'!D124,0,'Info Entrada'!D113/('Info Entrada'!D124-'Info Entrada'!D123))</f>
        <v>#DIV/0!</v>
      </c>
      <c r="F16" s="64" t="e">
        <f>IF('Info Entrada'!E123&gt;'Info Entrada'!E124,0,'Info Entrada'!E113/('Info Entrada'!E124-'Info Entrada'!E123))</f>
        <v>#DIV/0!</v>
      </c>
      <c r="G16" s="65" t="e">
        <f>IF('Info Entrada'!F123&gt;'Info Entrada'!F124,0,'Info Entrada'!F113/('Info Entrada'!F124-'Info Entrada'!F123))</f>
        <v>#DIV/0!</v>
      </c>
      <c r="H16" s="65" t="e">
        <f>IF('Info Entrada'!G123&gt;'Info Entrada'!G124,0,'Info Entrada'!G113/('Info Entrada'!G124-'Info Entrada'!G123))</f>
        <v>#DIV/0!</v>
      </c>
      <c r="I16" s="18"/>
    </row>
    <row r="17" spans="1:8" x14ac:dyDescent="0.2">
      <c r="A17" s="1292" t="s">
        <v>372</v>
      </c>
      <c r="B17" s="1293"/>
      <c r="C17" s="1294"/>
      <c r="D17" s="66">
        <f>'Info Entrada'!C120</f>
        <v>0</v>
      </c>
      <c r="E17" s="66">
        <f>'Info Entrada'!D120</f>
        <v>0</v>
      </c>
      <c r="F17" s="66">
        <f>'Info Entrada'!E120</f>
        <v>0</v>
      </c>
      <c r="G17" s="67">
        <f>'Info Entrada'!F120</f>
        <v>0</v>
      </c>
      <c r="H17" s="67">
        <f>'Info Entrada'!G120</f>
        <v>0</v>
      </c>
    </row>
    <row r="18" spans="1:8" x14ac:dyDescent="0.2">
      <c r="A18" s="1292" t="s">
        <v>373</v>
      </c>
      <c r="B18" s="1293"/>
      <c r="C18" s="1294"/>
      <c r="D18" s="66" t="e">
        <f>'Info Entrada'!C164/'Info Entrada'!C163</f>
        <v>#DIV/0!</v>
      </c>
      <c r="E18" s="66" t="e">
        <f>'Info Entrada'!D164/'Info Entrada'!D163</f>
        <v>#DIV/0!</v>
      </c>
      <c r="F18" s="66" t="e">
        <f>'Info Entrada'!E164/'Info Entrada'!E163</f>
        <v>#DIV/0!</v>
      </c>
      <c r="G18" s="67" t="e">
        <f>'Info Entrada'!F164/'Info Entrada'!F163</f>
        <v>#DIV/0!</v>
      </c>
      <c r="H18" s="67" t="e">
        <f>'Info Entrada'!G164/'Info Entrada'!G163</f>
        <v>#DIV/0!</v>
      </c>
    </row>
    <row r="19" spans="1:8" ht="13.5" thickBot="1" x14ac:dyDescent="0.25">
      <c r="A19" s="1295" t="s">
        <v>374</v>
      </c>
      <c r="B19" s="1296"/>
      <c r="C19" s="1297"/>
      <c r="D19" s="68" t="e">
        <f>('Info Entrada'!C166+'Info Entrada'!C167)/'Info Entrada'!C165</f>
        <v>#DIV/0!</v>
      </c>
      <c r="E19" s="68" t="e">
        <f>('Info Entrada'!D166+'Info Entrada'!D167)/'Info Entrada'!D165</f>
        <v>#DIV/0!</v>
      </c>
      <c r="F19" s="68" t="e">
        <f>('Info Entrada'!E166+'Info Entrada'!E167)/'Info Entrada'!E165</f>
        <v>#DIV/0!</v>
      </c>
      <c r="G19" s="69" t="e">
        <f>('Info Entrada'!F166+'Info Entrada'!F167)/'Info Entrada'!F165</f>
        <v>#DIV/0!</v>
      </c>
      <c r="H19" s="69" t="e">
        <f>('Info Entrada'!G166+'Info Entrada'!G167)/'Info Entrada'!G165</f>
        <v>#DIV/0!</v>
      </c>
    </row>
    <row r="20" spans="1:8" ht="13.5" thickTop="1" x14ac:dyDescent="0.2">
      <c r="A20" s="1298"/>
      <c r="B20" s="1298"/>
      <c r="C20" s="1298"/>
    </row>
    <row r="21" spans="1:8" ht="13.5" thickBot="1" x14ac:dyDescent="0.25">
      <c r="A21" s="1299"/>
      <c r="B21" s="1299"/>
      <c r="C21" s="1299"/>
    </row>
    <row r="22" spans="1:8" ht="14.25" thickTop="1" thickBot="1" x14ac:dyDescent="0.25">
      <c r="A22" s="1286" t="s">
        <v>375</v>
      </c>
      <c r="B22" s="1287"/>
      <c r="C22" s="1288"/>
      <c r="D22" s="60"/>
      <c r="E22" s="60"/>
      <c r="F22" s="60"/>
      <c r="G22" s="60"/>
      <c r="H22" s="60"/>
    </row>
    <row r="23" spans="1:8" ht="13.5" thickTop="1" x14ac:dyDescent="0.2">
      <c r="A23" s="1289" t="s">
        <v>376</v>
      </c>
      <c r="B23" s="1290"/>
      <c r="C23" s="1291"/>
      <c r="D23" s="62" t="e">
        <f>(('Info Entrada'!C168/D11)*12)/'Info Entrada'!C239</f>
        <v>#DIV/0!</v>
      </c>
      <c r="E23" s="62" t="e">
        <f>(('Info Entrada'!D168/E11)*12)/'Info Entrada'!D239</f>
        <v>#DIV/0!</v>
      </c>
      <c r="F23" s="62" t="e">
        <f>(('Info Entrada'!E168/F11)*12)/'Info Entrada'!E239</f>
        <v>#DIV/0!</v>
      </c>
      <c r="G23" s="63" t="e">
        <f>(('Info Entrada'!F168/G11)*12)/'Info Entrada'!F239</f>
        <v>#DIV/0!</v>
      </c>
      <c r="H23" s="63" t="e">
        <f>(('Info Entrada'!G168/H11)*12)/'Info Entrada'!G239</f>
        <v>#DIV/0!</v>
      </c>
    </row>
    <row r="24" spans="1:8" x14ac:dyDescent="0.2">
      <c r="A24" s="1292" t="s">
        <v>377</v>
      </c>
      <c r="B24" s="1293"/>
      <c r="C24" s="1294"/>
      <c r="D24" s="66">
        <f>'Info Entrada'!C169</f>
        <v>0</v>
      </c>
      <c r="E24" s="66">
        <f>'Info Entrada'!D169</f>
        <v>0</v>
      </c>
      <c r="F24" s="66">
        <f>'Info Entrada'!E169</f>
        <v>0</v>
      </c>
      <c r="G24" s="67">
        <f>'Info Entrada'!F169</f>
        <v>0</v>
      </c>
      <c r="H24" s="67">
        <f>'Info Entrada'!G169</f>
        <v>0</v>
      </c>
    </row>
    <row r="25" spans="1:8" x14ac:dyDescent="0.2">
      <c r="A25" s="1292" t="s">
        <v>378</v>
      </c>
      <c r="B25" s="1293"/>
      <c r="C25" s="1294"/>
      <c r="D25" s="66" t="e">
        <f>(('Info Entrada'!C168/D11)*12)/'Info Entrada'!C172</f>
        <v>#DIV/0!</v>
      </c>
      <c r="E25" s="66" t="e">
        <f>(('Info Entrada'!D168/E11)*12)/'Info Entrada'!D172</f>
        <v>#DIV/0!</v>
      </c>
      <c r="F25" s="66" t="e">
        <f>(('Info Entrada'!E168/F11)*12)/'Info Entrada'!E172</f>
        <v>#DIV/0!</v>
      </c>
      <c r="G25" s="67" t="e">
        <f>(('Info Entrada'!F168/G11)*12)/'Info Entrada'!F172</f>
        <v>#DIV/0!</v>
      </c>
      <c r="H25" s="67" t="e">
        <f>(('Info Entrada'!G168/H11)*12)/'Info Entrada'!G172</f>
        <v>#DIV/0!</v>
      </c>
    </row>
    <row r="26" spans="1:8" x14ac:dyDescent="0.2">
      <c r="A26" s="1292" t="s">
        <v>1008</v>
      </c>
      <c r="B26" s="1293"/>
      <c r="C26" s="1294"/>
      <c r="D26" s="70" t="e">
        <f>(('Info Entrada'!C77/D11)*12)/'Info Entrada'!C172</f>
        <v>#DIV/0!</v>
      </c>
      <c r="E26" s="70" t="e">
        <f>(('Info Entrada'!D77/E11)*12)/'Info Entrada'!D172</f>
        <v>#DIV/0!</v>
      </c>
      <c r="F26" s="70" t="e">
        <f>(('Info Entrada'!E77/F11)*12)/'Info Entrada'!E172</f>
        <v>#DIV/0!</v>
      </c>
      <c r="G26" s="65" t="e">
        <f>(('Info Entrada'!F77/G11)*12)/'Info Entrada'!F172</f>
        <v>#DIV/0!</v>
      </c>
      <c r="H26" s="65" t="e">
        <f>(('Info Entrada'!G77/H11)*12)/'Info Entrada'!G172</f>
        <v>#DIV/0!</v>
      </c>
    </row>
    <row r="27" spans="1:8" ht="13.5" thickBot="1" x14ac:dyDescent="0.25">
      <c r="A27" s="1295" t="s">
        <v>51</v>
      </c>
      <c r="B27" s="1296"/>
      <c r="C27" s="1297"/>
      <c r="D27" s="71" t="e">
        <f>'Info Entrada'!C172/'Info Entrada'!C239</f>
        <v>#DIV/0!</v>
      </c>
      <c r="E27" s="71" t="e">
        <f>'Info Entrada'!D172/'Info Entrada'!D239</f>
        <v>#DIV/0!</v>
      </c>
      <c r="F27" s="71" t="e">
        <f>'Info Entrada'!E172/'Info Entrada'!E239</f>
        <v>#DIV/0!</v>
      </c>
      <c r="G27" s="72" t="e">
        <f>'Info Entrada'!F172/'Info Entrada'!F239</f>
        <v>#DIV/0!</v>
      </c>
      <c r="H27" s="72" t="e">
        <f>'Info Entrada'!G172/'Info Entrada'!G239</f>
        <v>#DIV/0!</v>
      </c>
    </row>
    <row r="28" spans="1:8" s="18" customFormat="1" ht="14.25" thickTop="1" thickBot="1" x14ac:dyDescent="0.25">
      <c r="A28" s="1300"/>
      <c r="B28" s="1300"/>
      <c r="C28" s="1300"/>
      <c r="D28" s="73"/>
      <c r="E28" s="73"/>
      <c r="F28" s="73"/>
      <c r="G28" s="73"/>
      <c r="H28" s="73"/>
    </row>
    <row r="29" spans="1:8" ht="14.25" thickTop="1" thickBot="1" x14ac:dyDescent="0.25">
      <c r="A29" s="1286" t="s">
        <v>379</v>
      </c>
      <c r="B29" s="1287"/>
      <c r="C29" s="1288"/>
      <c r="D29" s="74"/>
      <c r="E29" s="74"/>
      <c r="F29" s="74"/>
      <c r="G29" s="74"/>
      <c r="H29" s="74"/>
    </row>
    <row r="30" spans="1:8" ht="13.5" thickTop="1" x14ac:dyDescent="0.2">
      <c r="A30" s="1289" t="s">
        <v>1789</v>
      </c>
      <c r="B30" s="1290"/>
      <c r="C30" s="1291"/>
      <c r="D30" s="75">
        <f>(('Info Entrada'!C193-'Info Entrada'!C174-'Info Entrada'!C175)-('Info Entrada'!C227-'Info Entrada'!C215-'Info Entrada'!C216-'Info Entrada'!C217))/D12</f>
        <v>0</v>
      </c>
      <c r="E30" s="75">
        <f>(('Info Entrada'!D193-'Info Entrada'!D174-'Info Entrada'!D175)-('Info Entrada'!D227-'Info Entrada'!D215-'Info Entrada'!D216-'Info Entrada'!D217))/E12</f>
        <v>0</v>
      </c>
      <c r="F30" s="75">
        <f>(('Info Entrada'!E193-'Info Entrada'!E174-'Info Entrada'!E175)-('Info Entrada'!E227-'Info Entrada'!E215-'Info Entrada'!E216-'Info Entrada'!E217))/F12</f>
        <v>0</v>
      </c>
      <c r="G30" s="76">
        <f>(('Info Entrada'!F193-'Info Entrada'!F174-'Info Entrada'!F175)-('Info Entrada'!F227-'Info Entrada'!F215-'Info Entrada'!F216-'Info Entrada'!F217))/G12</f>
        <v>0</v>
      </c>
      <c r="H30" s="76">
        <f>(('Info Entrada'!G193-'Info Entrada'!G174-'Info Entrada'!G175)-('Info Entrada'!G227-'Info Entrada'!G215-'Info Entrada'!G216-'Info Entrada'!G217))/H12</f>
        <v>0</v>
      </c>
    </row>
    <row r="31" spans="1:8" x14ac:dyDescent="0.2">
      <c r="A31" s="1292" t="s">
        <v>381</v>
      </c>
      <c r="B31" s="1293"/>
      <c r="C31" s="1294"/>
      <c r="D31" s="66" t="e">
        <f>+D30/(('Info Entrada'!C77/D11)*12)</f>
        <v>#DIV/0!</v>
      </c>
      <c r="E31" s="66" t="e">
        <f>+E30/(('Info Entrada'!D77/E11)*12)</f>
        <v>#DIV/0!</v>
      </c>
      <c r="F31" s="66" t="e">
        <f>+F30/(('Info Entrada'!E77/F11)*12)</f>
        <v>#DIV/0!</v>
      </c>
      <c r="G31" s="67" t="e">
        <f>+G30/(('Info Entrada'!F77/G11)*12)</f>
        <v>#DIV/0!</v>
      </c>
      <c r="H31" s="67" t="e">
        <f>+H30/(('Info Entrada'!G77/H11)*12)</f>
        <v>#DIV/0!</v>
      </c>
    </row>
    <row r="32" spans="1:8" x14ac:dyDescent="0.2">
      <c r="A32" s="1292" t="s">
        <v>382</v>
      </c>
      <c r="B32" s="1293"/>
      <c r="C32" s="1294"/>
      <c r="D32" s="77">
        <f>('Info Entrada'!C193-'Info Entrada'!C227)/D12</f>
        <v>0</v>
      </c>
      <c r="E32" s="77">
        <f>('Info Entrada'!D193-'Info Entrada'!D227)/E12</f>
        <v>0</v>
      </c>
      <c r="F32" s="77">
        <f>('Info Entrada'!E193-'Info Entrada'!E227)/F12</f>
        <v>0</v>
      </c>
      <c r="G32" s="78">
        <f>('Info Entrada'!F193-'Info Entrada'!F227)/G12</f>
        <v>0</v>
      </c>
      <c r="H32" s="78">
        <f>('Info Entrada'!G193-'Info Entrada'!G227)/H12</f>
        <v>0</v>
      </c>
    </row>
    <row r="33" spans="1:9" x14ac:dyDescent="0.2">
      <c r="A33" s="1292" t="s">
        <v>383</v>
      </c>
      <c r="B33" s="1293"/>
      <c r="C33" s="1294"/>
      <c r="D33" s="66" t="e">
        <f>D32/(('Info Entrada'!C77/D11)*12)</f>
        <v>#DIV/0!</v>
      </c>
      <c r="E33" s="66" t="e">
        <f>E32/(('Info Entrada'!D77/E11)*12)</f>
        <v>#DIV/0!</v>
      </c>
      <c r="F33" s="66" t="e">
        <f>F32/(('Info Entrada'!E77/F11)*12)</f>
        <v>#DIV/0!</v>
      </c>
      <c r="G33" s="67" t="e">
        <f>G32/(('Info Entrada'!F77/G11)*12)</f>
        <v>#DIV/0!</v>
      </c>
      <c r="H33" s="67" t="e">
        <f>H32/(('Info Entrada'!G77/H11)*12)</f>
        <v>#DIV/0!</v>
      </c>
    </row>
    <row r="34" spans="1:9" x14ac:dyDescent="0.2">
      <c r="A34" s="1292" t="s">
        <v>384</v>
      </c>
      <c r="B34" s="1293"/>
      <c r="C34" s="1294"/>
      <c r="D34" s="79" t="e">
        <f>('Info Entrada'!C180/'Info Entrada'!C77)*((360/12)*D11)</f>
        <v>#DIV/0!</v>
      </c>
      <c r="E34" s="79" t="e">
        <f>('Info Entrada'!D180/'Info Entrada'!D77)*((360/12)*E11)</f>
        <v>#DIV/0!</v>
      </c>
      <c r="F34" s="79" t="e">
        <f>('Info Entrada'!E180/'Info Entrada'!E77)*((360/12)*F11)</f>
        <v>#DIV/0!</v>
      </c>
      <c r="G34" s="80" t="e">
        <f>('Info Entrada'!F180/'Info Entrada'!F77)*((360/12)*G11)</f>
        <v>#DIV/0!</v>
      </c>
      <c r="H34" s="80" t="e">
        <f>('Info Entrada'!G180/'Info Entrada'!G77)*((360/12)*H11)</f>
        <v>#DIV/0!</v>
      </c>
    </row>
    <row r="35" spans="1:9" x14ac:dyDescent="0.2">
      <c r="A35" s="1292" t="s">
        <v>385</v>
      </c>
      <c r="B35" s="1293"/>
      <c r="C35" s="1294"/>
      <c r="D35" s="79">
        <f>IF('Info Entrada'!C84=0,0,('Info Entrada'!C185/'Info Entrada'!C89)*((360/12)*D11))</f>
        <v>0</v>
      </c>
      <c r="E35" s="79">
        <f>IF('Info Entrada'!D84=0,0,('Info Entrada'!D185/'Info Entrada'!D89)*((360/12)*E11))</f>
        <v>0</v>
      </c>
      <c r="F35" s="79">
        <f>IF('Info Entrada'!E84=0,0,('Info Entrada'!E185/'Info Entrada'!E89)*((360/12)*F11))</f>
        <v>0</v>
      </c>
      <c r="G35" s="80">
        <f>IF('Info Entrada'!F84=0,0,('Info Entrada'!F185/'Info Entrada'!F89)*((360/12)*G11))</f>
        <v>0</v>
      </c>
      <c r="H35" s="80">
        <f>IF('Info Entrada'!G84=0,0,('Info Entrada'!G185/'Info Entrada'!G89)*((360/12)*H11))</f>
        <v>0</v>
      </c>
    </row>
    <row r="36" spans="1:9" x14ac:dyDescent="0.2">
      <c r="A36" s="1292" t="s">
        <v>386</v>
      </c>
      <c r="B36" s="1293"/>
      <c r="C36" s="1294"/>
      <c r="D36" s="79" t="e">
        <f>(('Info Entrada'!C218+'Info Entrada'!C219)/('Info Entrada'!C89))*((360/12)*D11)</f>
        <v>#DIV/0!</v>
      </c>
      <c r="E36" s="79" t="e">
        <f>(('Info Entrada'!D218+'Info Entrada'!D219)/('Info Entrada'!D89))*((360/12)*E11)</f>
        <v>#DIV/0!</v>
      </c>
      <c r="F36" s="79" t="e">
        <f>(('Info Entrada'!E218+'Info Entrada'!E219)/('Info Entrada'!E89))*((360/12)*F11)</f>
        <v>#DIV/0!</v>
      </c>
      <c r="G36" s="80" t="e">
        <f>(('Info Entrada'!F218+'Info Entrada'!F219)/('Info Entrada'!F89))*((360/12)*G11)</f>
        <v>#DIV/0!</v>
      </c>
      <c r="H36" s="80" t="e">
        <f>(('Info Entrada'!G218+'Info Entrada'!G219)/('Info Entrada'!G89))*((360/12)*H11)</f>
        <v>#DIV/0!</v>
      </c>
    </row>
    <row r="37" spans="1:9" x14ac:dyDescent="0.2">
      <c r="A37" s="1292" t="s">
        <v>1745</v>
      </c>
      <c r="B37" s="1293"/>
      <c r="C37" s="1294"/>
      <c r="D37" s="79" t="e">
        <f>+D35+D34-D36</f>
        <v>#DIV/0!</v>
      </c>
      <c r="E37" s="79" t="e">
        <f t="shared" ref="E37:H37" si="0">+E35+E34-E36</f>
        <v>#DIV/0!</v>
      </c>
      <c r="F37" s="79" t="e">
        <f t="shared" si="0"/>
        <v>#DIV/0!</v>
      </c>
      <c r="G37" s="80" t="e">
        <f t="shared" si="0"/>
        <v>#DIV/0!</v>
      </c>
      <c r="H37" s="80" t="e">
        <f t="shared" si="0"/>
        <v>#DIV/0!</v>
      </c>
    </row>
    <row r="38" spans="1:9" ht="13.5" thickBot="1" x14ac:dyDescent="0.25">
      <c r="A38" s="1295" t="s">
        <v>387</v>
      </c>
      <c r="B38" s="1296"/>
      <c r="C38" s="1297"/>
      <c r="D38" s="89" t="e">
        <f>(('Info Entrada'!C77/D11)*12)/'Info Entrada'!C200</f>
        <v>#DIV/0!</v>
      </c>
      <c r="E38" s="89" t="e">
        <f>(('Info Entrada'!D77/E11)*12)/'Info Entrada'!D200</f>
        <v>#DIV/0!</v>
      </c>
      <c r="F38" s="89" t="e">
        <f>(('Info Entrada'!E77/F11)*12)/'Info Entrada'!E200</f>
        <v>#DIV/0!</v>
      </c>
      <c r="G38" s="90" t="e">
        <f>(('Info Entrada'!F77/G11)*12)/'Info Entrada'!F200</f>
        <v>#DIV/0!</v>
      </c>
      <c r="H38" s="90" t="e">
        <f>(('Info Entrada'!G77/H11)*12)/'Info Entrada'!G200</f>
        <v>#DIV/0!</v>
      </c>
    </row>
    <row r="39" spans="1:9" ht="14.25" thickTop="1" thickBot="1" x14ac:dyDescent="0.25">
      <c r="A39" s="1300"/>
      <c r="B39" s="1300"/>
      <c r="C39" s="1300"/>
      <c r="D39" s="81"/>
      <c r="E39" s="81"/>
      <c r="F39" s="81"/>
      <c r="G39" s="81"/>
      <c r="H39" s="81"/>
    </row>
    <row r="40" spans="1:9" ht="14.25" thickTop="1" thickBot="1" x14ac:dyDescent="0.25">
      <c r="A40" s="1286" t="s">
        <v>388</v>
      </c>
      <c r="B40" s="1287"/>
      <c r="C40" s="1288"/>
      <c r="D40" s="82"/>
      <c r="E40" s="83"/>
      <c r="F40" s="83"/>
      <c r="G40" s="83"/>
      <c r="H40" s="83"/>
    </row>
    <row r="41" spans="1:9" ht="13.5" thickTop="1" x14ac:dyDescent="0.2">
      <c r="A41" s="1289" t="s">
        <v>1790</v>
      </c>
      <c r="B41" s="1290"/>
      <c r="C41" s="1291"/>
      <c r="D41" s="75">
        <f>'Resumen EEFF'!B88+'Resumen EEFF'!B94</f>
        <v>0</v>
      </c>
      <c r="E41" s="75">
        <f>'Resumen EEFF'!C88+'Resumen EEFF'!C94</f>
        <v>0</v>
      </c>
      <c r="F41" s="75">
        <f>'Resumen EEFF'!D88+'Resumen EEFF'!D94</f>
        <v>0</v>
      </c>
      <c r="G41" s="76">
        <f>('Info Entrada'!F215+'Info Entrada'!F216+'Info Entrada'!F217+'Info Entrada'!F228+'Info Entrada'!F229+'Info Entrada'!F235)/G12</f>
        <v>0</v>
      </c>
      <c r="H41" s="76">
        <f>('Info Entrada'!G215+'Info Entrada'!G216+'Info Entrada'!G217+'Info Entrada'!G228+'Info Entrada'!G229+'Info Entrada'!G235)/H12</f>
        <v>0</v>
      </c>
    </row>
    <row r="42" spans="1:9" x14ac:dyDescent="0.2">
      <c r="A42" s="1292" t="s">
        <v>1791</v>
      </c>
      <c r="B42" s="1293"/>
      <c r="C42" s="1294"/>
      <c r="D42" s="77">
        <f>D41-'Resumen EEFF'!B75</f>
        <v>0</v>
      </c>
      <c r="E42" s="77">
        <f>E41-'Resumen EEFF'!C75</f>
        <v>0</v>
      </c>
      <c r="F42" s="77">
        <f>F41-'Resumen EEFF'!D75</f>
        <v>0</v>
      </c>
      <c r="G42" s="78">
        <f>(G41-'Info Entrada'!F174-'Info Entrada'!F175)/G12</f>
        <v>0</v>
      </c>
      <c r="H42" s="78">
        <f>(H41-'Info Entrada'!G174-'Info Entrada'!G175)/H12</f>
        <v>0</v>
      </c>
    </row>
    <row r="43" spans="1:9" x14ac:dyDescent="0.2">
      <c r="A43" s="1292" t="s">
        <v>1792</v>
      </c>
      <c r="B43" s="1293"/>
      <c r="C43" s="1294"/>
      <c r="D43" s="77">
        <f>('Info Entrada'!C239)/D12</f>
        <v>0</v>
      </c>
      <c r="E43" s="77">
        <f>('Info Entrada'!D239)/E12</f>
        <v>0</v>
      </c>
      <c r="F43" s="77">
        <f>('Info Entrada'!E239)/F12</f>
        <v>0</v>
      </c>
      <c r="G43" s="78">
        <f>('Info Entrada'!F239)/G12</f>
        <v>0</v>
      </c>
      <c r="H43" s="78">
        <f>('Info Entrada'!G239)/H12</f>
        <v>0</v>
      </c>
    </row>
    <row r="44" spans="1:9" x14ac:dyDescent="0.2">
      <c r="A44" s="1292" t="s">
        <v>392</v>
      </c>
      <c r="B44" s="1293"/>
      <c r="C44" s="1294"/>
      <c r="D44" s="84" t="e">
        <f>'Info Entrada'!C213/('Info Entrada'!C239-'Info Entrada'!C250)</f>
        <v>#DIV/0!</v>
      </c>
      <c r="E44" s="84" t="e">
        <f>'Info Entrada'!D213/('Info Entrada'!D239-'Info Entrada'!D250)</f>
        <v>#DIV/0!</v>
      </c>
      <c r="F44" s="84" t="e">
        <f>'Info Entrada'!E213/('Info Entrada'!E239-'Info Entrada'!E250)</f>
        <v>#DIV/0!</v>
      </c>
      <c r="G44" s="85" t="e">
        <f>'Info Entrada'!F213/('Info Entrada'!F239-'Info Entrada'!F250)</f>
        <v>#DIV/0!</v>
      </c>
      <c r="H44" s="85" t="e">
        <f>'Info Entrada'!G213/('Info Entrada'!G239-'Info Entrada'!G250)</f>
        <v>#DIV/0!</v>
      </c>
    </row>
    <row r="45" spans="1:9" x14ac:dyDescent="0.2">
      <c r="A45" s="1292" t="s">
        <v>393</v>
      </c>
      <c r="B45" s="1293"/>
      <c r="C45" s="1294"/>
      <c r="D45" s="84" t="e">
        <f>'Info Entrada'!C213/'Info Entrada'!C239</f>
        <v>#DIV/0!</v>
      </c>
      <c r="E45" s="84" t="e">
        <f>'Info Entrada'!D213/'Info Entrada'!D239</f>
        <v>#DIV/0!</v>
      </c>
      <c r="F45" s="84" t="e">
        <f>'Info Entrada'!E213/'Info Entrada'!E239</f>
        <v>#DIV/0!</v>
      </c>
      <c r="G45" s="85" t="e">
        <f>'Info Entrada'!F213/'Info Entrada'!F239</f>
        <v>#DIV/0!</v>
      </c>
      <c r="H45" s="85" t="e">
        <f>'Info Entrada'!G213/'Info Entrada'!G239</f>
        <v>#DIV/0!</v>
      </c>
    </row>
    <row r="46" spans="1:9" x14ac:dyDescent="0.2">
      <c r="A46" s="1292" t="s">
        <v>1746</v>
      </c>
      <c r="B46" s="1293"/>
      <c r="C46" s="1294"/>
      <c r="D46" s="1200" t="e">
        <f>IF(D42&lt;0,"n.a.",D42/'Resumen EEFF'!B19)</f>
        <v>#DIV/0!</v>
      </c>
      <c r="E46" s="1200" t="e">
        <f>IF(E42&lt;0,"n.a.",E42/'Resumen EEFF'!C19)</f>
        <v>#DIV/0!</v>
      </c>
      <c r="F46" s="1200" t="e">
        <f>IF(F42&lt;0,"n.a.",F42/'Resumen EEFF'!D19)</f>
        <v>#DIV/0!</v>
      </c>
      <c r="G46" s="1201" t="e">
        <f>IF(G42&lt;0,"n.a.",G42/'Resumen EEFF'!U19)</f>
        <v>#DIV/0!</v>
      </c>
      <c r="H46" s="1201" t="e">
        <f>IF(H42&lt;0,"n.a.",H42/'Resumen EEFF'!V19)</f>
        <v>#DIV/0!</v>
      </c>
    </row>
    <row r="47" spans="1:9" x14ac:dyDescent="0.2">
      <c r="A47" s="1292" t="s">
        <v>394</v>
      </c>
      <c r="B47" s="1293"/>
      <c r="C47" s="1294"/>
      <c r="D47" s="86" t="e">
        <f>'Info Entrada'!C239/'Info Entrada'!C172</f>
        <v>#DIV/0!</v>
      </c>
      <c r="E47" s="86" t="e">
        <f>'Info Entrada'!D239/'Info Entrada'!D172</f>
        <v>#DIV/0!</v>
      </c>
      <c r="F47" s="86" t="e">
        <f>'Info Entrada'!E239/'Info Entrada'!E172</f>
        <v>#DIV/0!</v>
      </c>
      <c r="G47" s="87" t="e">
        <f>'Info Entrada'!F239/'Info Entrada'!F172</f>
        <v>#DIV/0!</v>
      </c>
      <c r="H47" s="87" t="e">
        <f>'Info Entrada'!G239/'Info Entrada'!G172</f>
        <v>#DIV/0!</v>
      </c>
      <c r="I47" s="88"/>
    </row>
    <row r="48" spans="1:9" x14ac:dyDescent="0.2">
      <c r="A48" s="1292" t="s">
        <v>395</v>
      </c>
      <c r="B48" s="1293"/>
      <c r="C48" s="1294"/>
      <c r="D48" s="86" t="e">
        <f>'Info Entrada'!C213/('Info Entrada'!C172-'Info Entrada'!C208-'Info Entrada'!C209)</f>
        <v>#DIV/0!</v>
      </c>
      <c r="E48" s="86" t="e">
        <f>'Info Entrada'!D213/('Info Entrada'!D172-'Info Entrada'!D208-'Info Entrada'!D209)</f>
        <v>#DIV/0!</v>
      </c>
      <c r="F48" s="86" t="e">
        <f>'Info Entrada'!E213/('Info Entrada'!E172-'Info Entrada'!E208-'Info Entrada'!E209)</f>
        <v>#DIV/0!</v>
      </c>
      <c r="G48" s="87" t="e">
        <f>'Info Entrada'!F213/('Info Entrada'!F172-'Info Entrada'!F208-'Info Entrada'!F209)</f>
        <v>#DIV/0!</v>
      </c>
      <c r="H48" s="87" t="e">
        <f>'Info Entrada'!G213/('Info Entrada'!G172-'Info Entrada'!G208-'Info Entrada'!G209)</f>
        <v>#DIV/0!</v>
      </c>
    </row>
    <row r="49" spans="1:9" x14ac:dyDescent="0.2">
      <c r="A49" s="1292" t="s">
        <v>396</v>
      </c>
      <c r="B49" s="1293"/>
      <c r="C49" s="1294"/>
      <c r="D49" s="66" t="e">
        <f>(('Info Entrada'!C124/D11)*12)/((D41+C41)/2)</f>
        <v>#DIV/0!</v>
      </c>
      <c r="E49" s="66" t="e">
        <f>(('Info Entrada'!D124/E11)*12)/((E41+D41)/2)</f>
        <v>#DIV/0!</v>
      </c>
      <c r="F49" s="66" t="e">
        <f>(('Info Entrada'!E124/F11)*12)/((F41+E41)/2)</f>
        <v>#DIV/0!</v>
      </c>
      <c r="G49" s="67" t="e">
        <f>(('Info Entrada'!F124/G11)*12)/((G41+E41)/2)</f>
        <v>#DIV/0!</v>
      </c>
      <c r="H49" s="67" t="e">
        <f>(('Info Entrada'!G124/H11)*12)/((H41+F41)/2)</f>
        <v>#DIV/0!</v>
      </c>
    </row>
    <row r="50" spans="1:9" x14ac:dyDescent="0.2">
      <c r="A50" s="1292" t="s">
        <v>397</v>
      </c>
      <c r="B50" s="1293"/>
      <c r="C50" s="1294"/>
      <c r="D50" s="84" t="e">
        <f>'Info Entrada'!C193/'Info Entrada'!C227</f>
        <v>#DIV/0!</v>
      </c>
      <c r="E50" s="84" t="e">
        <f>'Info Entrada'!D193/'Info Entrada'!D227</f>
        <v>#DIV/0!</v>
      </c>
      <c r="F50" s="84" t="e">
        <f>'Info Entrada'!E193/'Info Entrada'!E227</f>
        <v>#DIV/0!</v>
      </c>
      <c r="G50" s="85" t="e">
        <f>'Info Entrada'!F193/'Info Entrada'!F227</f>
        <v>#DIV/0!</v>
      </c>
      <c r="H50" s="85" t="e">
        <f>'Info Entrada'!G193/'Info Entrada'!G227</f>
        <v>#DIV/0!</v>
      </c>
    </row>
    <row r="51" spans="1:9" ht="13.5" thickBot="1" x14ac:dyDescent="0.25">
      <c r="A51" s="1295" t="s">
        <v>398</v>
      </c>
      <c r="B51" s="1296"/>
      <c r="C51" s="1297"/>
      <c r="D51" s="89" t="e">
        <f>('Info Entrada'!C193-SUM('Info Entrada'!C185:C192))/'Info Entrada'!C227</f>
        <v>#DIV/0!</v>
      </c>
      <c r="E51" s="89" t="e">
        <f>('Info Entrada'!D193-SUM('Info Entrada'!D185:D192))/'Info Entrada'!D227</f>
        <v>#DIV/0!</v>
      </c>
      <c r="F51" s="89" t="e">
        <f>('Info Entrada'!E193-SUM('Info Entrada'!E185:E192))/'Info Entrada'!E227</f>
        <v>#DIV/0!</v>
      </c>
      <c r="G51" s="90" t="e">
        <f>('Info Entrada'!F193-SUM('Info Entrada'!F185:F192))/'Info Entrada'!F227</f>
        <v>#DIV/0!</v>
      </c>
      <c r="H51" s="90" t="e">
        <f>('Info Entrada'!G193-SUM('Info Entrada'!G185:G192))/'Info Entrada'!G227</f>
        <v>#DIV/0!</v>
      </c>
      <c r="I51" s="88"/>
    </row>
    <row r="52" spans="1:9" ht="13.5" thickTop="1" x14ac:dyDescent="0.2">
      <c r="A52" s="3488"/>
      <c r="B52" s="3488"/>
      <c r="C52" s="3488"/>
      <c r="D52" s="81"/>
      <c r="E52" s="81"/>
      <c r="F52" s="81"/>
      <c r="G52" s="18"/>
    </row>
    <row r="53" spans="1:9" x14ac:dyDescent="0.2">
      <c r="A53" s="3489"/>
      <c r="B53" s="3489"/>
      <c r="C53" s="3489"/>
      <c r="D53" s="18"/>
      <c r="E53" s="18"/>
      <c r="F53" s="18"/>
      <c r="G53" s="18"/>
    </row>
    <row r="54" spans="1:9" x14ac:dyDescent="0.2">
      <c r="A54" s="3489"/>
      <c r="B54" s="3489"/>
      <c r="C54" s="3489"/>
      <c r="D54" s="18"/>
      <c r="E54" s="18"/>
      <c r="F54" s="18"/>
      <c r="G54" s="18"/>
    </row>
    <row r="55" spans="1:9" x14ac:dyDescent="0.2">
      <c r="A55" s="3489"/>
      <c r="B55" s="3489"/>
      <c r="C55" s="3489"/>
      <c r="D55" s="18"/>
      <c r="E55" s="18"/>
      <c r="F55" s="18"/>
      <c r="G55" s="18"/>
    </row>
  </sheetData>
  <mergeCells count="5">
    <mergeCell ref="A8:H8"/>
    <mergeCell ref="A52:C52"/>
    <mergeCell ref="A53:C53"/>
    <mergeCell ref="A54:C54"/>
    <mergeCell ref="A55:C55"/>
  </mergeCells>
  <dataValidations disablePrompts="1" count="1">
    <dataValidation type="whole" allowBlank="1" showInputMessage="1" showErrorMessage="1" sqref="D11:H11">
      <formula1>1</formula1>
      <formula2>12</formula2>
    </dataValidation>
  </dataValidations>
  <printOptions horizontalCentered="1" verticalCentered="1"/>
  <pageMargins left="0.39370078740157483" right="0.39370078740157483" top="0.39370078740157483" bottom="0.39370078740157483" header="0.59055118110236227" footer="0"/>
  <pageSetup scale="84" orientation="portrait" r:id="rId1"/>
  <headerFooter alignWithMargins="0">
    <oddHeader>&amp;RCifras en COP$MM</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theme="9" tint="-0.499984740745262"/>
    <pageSetUpPr fitToPage="1"/>
  </sheetPr>
  <dimension ref="A5:P81"/>
  <sheetViews>
    <sheetView showGridLines="0" zoomScaleNormal="100" workbookViewId="0"/>
  </sheetViews>
  <sheetFormatPr baseColWidth="10" defaultRowHeight="10.5" outlineLevelCol="1" x14ac:dyDescent="0.15"/>
  <cols>
    <col min="1" max="1" width="35" style="175" bestFit="1" customWidth="1"/>
    <col min="2" max="4" width="10.85546875" style="175" customWidth="1"/>
    <col min="5" max="6" width="10.85546875" style="175" customWidth="1" outlineLevel="1"/>
    <col min="7" max="7" width="3.140625" style="175" customWidth="1"/>
    <col min="8" max="10" width="10.85546875" style="175" customWidth="1"/>
    <col min="11" max="11" width="7" style="175" customWidth="1"/>
    <col min="12" max="14" width="11.42578125" style="175"/>
    <col min="15" max="16" width="11.42578125" style="175" customWidth="1" outlineLevel="1"/>
    <col min="17" max="16384" width="11.42578125" style="175"/>
  </cols>
  <sheetData>
    <row r="5" spans="1:16" ht="18.75" x14ac:dyDescent="0.25">
      <c r="A5" s="3492">
        <f>General!D6</f>
        <v>0</v>
      </c>
      <c r="B5" s="3492"/>
      <c r="C5" s="3492"/>
      <c r="D5" s="3492"/>
      <c r="E5" s="3492"/>
      <c r="F5" s="3492"/>
      <c r="G5" s="3492"/>
      <c r="H5" s="3492"/>
      <c r="I5" s="3492"/>
      <c r="J5" s="3492"/>
      <c r="K5" s="3492"/>
      <c r="L5" s="3492"/>
      <c r="M5" s="3492"/>
      <c r="N5" s="3492"/>
      <c r="O5" s="3492"/>
      <c r="P5" s="3492"/>
    </row>
    <row r="7" spans="1:16" ht="12.75" x14ac:dyDescent="0.2">
      <c r="A7" s="3493" t="s">
        <v>267</v>
      </c>
      <c r="B7" s="3493"/>
      <c r="C7" s="3493"/>
      <c r="D7" s="3493"/>
      <c r="E7" s="3493"/>
      <c r="F7" s="3493"/>
      <c r="G7" s="3493"/>
      <c r="H7" s="3493"/>
      <c r="I7" s="3493"/>
      <c r="J7" s="3493"/>
      <c r="K7" s="3493"/>
      <c r="L7" s="3493"/>
      <c r="M7" s="3493"/>
      <c r="N7" s="3493"/>
      <c r="O7" s="3493"/>
      <c r="P7" s="3493"/>
    </row>
    <row r="8" spans="1:16" x14ac:dyDescent="0.15">
      <c r="B8" s="192"/>
      <c r="C8" s="192"/>
      <c r="D8" s="192"/>
      <c r="E8" s="192"/>
      <c r="F8" s="192"/>
      <c r="G8" s="192"/>
      <c r="H8" s="192"/>
      <c r="I8" s="192"/>
      <c r="J8" s="192"/>
      <c r="K8" s="192"/>
    </row>
    <row r="10" spans="1:16" x14ac:dyDescent="0.15">
      <c r="A10" s="186" t="s">
        <v>269</v>
      </c>
    </row>
    <row r="11" spans="1:16" x14ac:dyDescent="0.15">
      <c r="A11" s="186"/>
      <c r="B11" s="193">
        <f>+B14</f>
        <v>42735</v>
      </c>
      <c r="C11" s="193">
        <f t="shared" ref="C11:F11" si="0">+C14</f>
        <v>43100</v>
      </c>
      <c r="D11" s="193">
        <f t="shared" si="0"/>
        <v>43465</v>
      </c>
      <c r="E11" s="193">
        <f t="shared" si="0"/>
        <v>43281</v>
      </c>
      <c r="F11" s="193">
        <f t="shared" si="0"/>
        <v>43646</v>
      </c>
      <c r="H11" s="3494" t="s">
        <v>48</v>
      </c>
      <c r="I11" s="3491"/>
      <c r="J11" s="3491"/>
      <c r="K11" s="3491"/>
      <c r="L11" s="193">
        <f>B14</f>
        <v>42735</v>
      </c>
      <c r="M11" s="193">
        <f>C14</f>
        <v>43100</v>
      </c>
      <c r="N11" s="193">
        <f>D14</f>
        <v>43465</v>
      </c>
      <c r="O11" s="193">
        <f>E14</f>
        <v>43281</v>
      </c>
      <c r="P11" s="193">
        <f>F14</f>
        <v>43646</v>
      </c>
    </row>
    <row r="12" spans="1:16" x14ac:dyDescent="0.15">
      <c r="A12" s="193" t="s">
        <v>402</v>
      </c>
      <c r="B12" s="1326">
        <f>+'Info Entrada'!C6</f>
        <v>3000.71</v>
      </c>
      <c r="C12" s="1326">
        <f>+'Info Entrada'!D6</f>
        <v>2984</v>
      </c>
      <c r="D12" s="1326">
        <f>+'Info Entrada'!E6</f>
        <v>3249.75</v>
      </c>
      <c r="E12" s="1326">
        <f>+'Info Entrada'!F6</f>
        <v>2930.8</v>
      </c>
      <c r="F12" s="1326">
        <f>+'Info Entrada'!G6</f>
        <v>3205.67</v>
      </c>
      <c r="H12" s="3490" t="s">
        <v>430</v>
      </c>
      <c r="I12" s="3491"/>
      <c r="J12" s="3491"/>
      <c r="K12" s="3491"/>
      <c r="L12" s="178">
        <f>Indicadores!D31</f>
        <v>0</v>
      </c>
      <c r="M12" s="178">
        <f>Indicadores!E31</f>
        <v>0</v>
      </c>
      <c r="N12" s="178">
        <f>Indicadores!F31</f>
        <v>0</v>
      </c>
      <c r="O12" s="178">
        <f>Indicadores!G31</f>
        <v>0</v>
      </c>
      <c r="P12" s="178">
        <f>Indicadores!H31</f>
        <v>0</v>
      </c>
    </row>
    <row r="13" spans="1:16" x14ac:dyDescent="0.15">
      <c r="A13" s="3495"/>
      <c r="B13" s="3497" t="s">
        <v>420</v>
      </c>
      <c r="C13" s="3498"/>
      <c r="D13" s="3498"/>
      <c r="E13" s="3498"/>
      <c r="F13" s="3499"/>
      <c r="H13" s="3490" t="s">
        <v>433</v>
      </c>
      <c r="I13" s="3491"/>
      <c r="J13" s="3491"/>
      <c r="K13" s="3491"/>
      <c r="L13" s="179">
        <f>L12/B12</f>
        <v>0</v>
      </c>
      <c r="M13" s="179">
        <f t="shared" ref="M13:P13" si="1">M12/C12</f>
        <v>0</v>
      </c>
      <c r="N13" s="179">
        <f t="shared" si="1"/>
        <v>0</v>
      </c>
      <c r="O13" s="179">
        <f t="shared" si="1"/>
        <v>0</v>
      </c>
      <c r="P13" s="179">
        <f t="shared" si="1"/>
        <v>0</v>
      </c>
    </row>
    <row r="14" spans="1:16" x14ac:dyDescent="0.15">
      <c r="A14" s="3496"/>
      <c r="B14" s="193">
        <f>'Info Entrada'!C1</f>
        <v>42735</v>
      </c>
      <c r="C14" s="193">
        <f>'Info Entrada'!D1</f>
        <v>43100</v>
      </c>
      <c r="D14" s="193">
        <f>'Info Entrada'!E1</f>
        <v>43465</v>
      </c>
      <c r="E14" s="193">
        <f>'Info Entrada'!F1</f>
        <v>43281</v>
      </c>
      <c r="F14" s="193">
        <f>'Info Entrada'!G1</f>
        <v>43646</v>
      </c>
      <c r="H14" s="3490" t="s">
        <v>437</v>
      </c>
      <c r="I14" s="3491"/>
      <c r="J14" s="3491"/>
      <c r="K14" s="3491"/>
      <c r="L14" s="179" t="e">
        <f>Indicadores!D49</f>
        <v>#DIV/0!</v>
      </c>
      <c r="M14" s="179" t="e">
        <f>Indicadores!E49</f>
        <v>#DIV/0!</v>
      </c>
      <c r="N14" s="179" t="e">
        <f>Indicadores!F49</f>
        <v>#DIV/0!</v>
      </c>
      <c r="O14" s="179" t="e">
        <f>Indicadores!G49</f>
        <v>#DIV/0!</v>
      </c>
      <c r="P14" s="179" t="e">
        <f>Indicadores!H49</f>
        <v>#DIV/0!</v>
      </c>
    </row>
    <row r="15" spans="1:16" x14ac:dyDescent="0.15">
      <c r="A15" s="177" t="s">
        <v>434</v>
      </c>
      <c r="B15" s="177">
        <f>'Info Entrada'!C77/B12</f>
        <v>0</v>
      </c>
      <c r="C15" s="177">
        <f>'Info Entrada'!D77/C12</f>
        <v>0</v>
      </c>
      <c r="D15" s="177">
        <f>'Info Entrada'!E77/D12</f>
        <v>0</v>
      </c>
      <c r="E15" s="177">
        <f>'Info Entrada'!F77/E12</f>
        <v>0</v>
      </c>
      <c r="F15" s="177">
        <f>'Info Entrada'!G77/F12</f>
        <v>0</v>
      </c>
      <c r="H15" s="3490" t="s">
        <v>587</v>
      </c>
      <c r="I15" s="3491"/>
      <c r="J15" s="3491"/>
      <c r="K15" s="3491"/>
      <c r="L15" s="182" t="e">
        <f>('Info Entrada'!C215+'Info Entrada'!C216+'Info Entrada'!C217)/('Info Entrada'!C180+'Info Entrada'!C185+'Info Entrada'!C188-'Info Entrada'!C218-'Info Entrada'!C219-'Info Entrada'!C226)</f>
        <v>#DIV/0!</v>
      </c>
      <c r="M15" s="182" t="e">
        <f>('Info Entrada'!D215+'Info Entrada'!D216+'Info Entrada'!D217)/('Info Entrada'!D180+'Info Entrada'!D185+'Info Entrada'!D188-'Info Entrada'!D218-'Info Entrada'!D219-'Info Entrada'!D226)</f>
        <v>#DIV/0!</v>
      </c>
      <c r="N15" s="182" t="e">
        <f>('Info Entrada'!E215+'Info Entrada'!E216+'Info Entrada'!E217)/('Info Entrada'!E180+'Info Entrada'!E185+'Info Entrada'!E188-'Info Entrada'!E218-'Info Entrada'!E219-'Info Entrada'!E226)</f>
        <v>#DIV/0!</v>
      </c>
      <c r="O15" s="182" t="e">
        <f>('Info Entrada'!F215+'Info Entrada'!F216+'Info Entrada'!F217)/('Info Entrada'!F180+'Info Entrada'!F185+'Info Entrada'!F188-'Info Entrada'!F218-'Info Entrada'!F219-'Info Entrada'!F226)</f>
        <v>#DIV/0!</v>
      </c>
      <c r="P15" s="182" t="e">
        <f>('Info Entrada'!G215+'Info Entrada'!G216+'Info Entrada'!G217)/('Info Entrada'!G180+'Info Entrada'!G185+'Info Entrada'!G188-'Info Entrada'!G218-'Info Entrada'!G219-'Info Entrada'!G226)</f>
        <v>#DIV/0!</v>
      </c>
    </row>
    <row r="16" spans="1:16" x14ac:dyDescent="0.15">
      <c r="A16" s="177" t="s">
        <v>438</v>
      </c>
      <c r="B16" s="276" t="s">
        <v>953</v>
      </c>
      <c r="C16" s="276" t="str">
        <f>IF('Info Entrada'!C77=0,"N.A.",('Info Entrada'!D77/'Info Entrada'!C77)-1)</f>
        <v>N.A.</v>
      </c>
      <c r="D16" s="276" t="str">
        <f>IF('Info Entrada'!D77=0,"N.A.",('Info Entrada'!E77/'Info Entrada'!D77)-1)</f>
        <v>N.A.</v>
      </c>
      <c r="E16" s="276" t="s">
        <v>953</v>
      </c>
      <c r="F16" s="276" t="str">
        <f>IF('Info Entrada'!E77=0,"N.A.",((('Info Entrada'!G77/MONTH(F14))*12)/'Info Entrada'!E77)-1)</f>
        <v>N.A.</v>
      </c>
      <c r="H16" s="3490" t="s">
        <v>588</v>
      </c>
      <c r="I16" s="3491"/>
      <c r="J16" s="3491"/>
      <c r="K16" s="3491"/>
      <c r="L16" s="182" t="e">
        <f>('Info Entrada'!C215+'Info Entrada'!C216+'Info Entrada'!C217+'Info Entrada'!C228+'Info Entrada'!C229+'Info Entrada'!C235)/('Info Entrada'!C180+'Info Entrada'!C185+'Info Entrada'!C188-'Info Entrada'!C218-'Info Entrada'!C219-'Info Entrada'!C226)</f>
        <v>#DIV/0!</v>
      </c>
      <c r="M16" s="182" t="e">
        <f>('Info Entrada'!D215+'Info Entrada'!D216+'Info Entrada'!D217+'Info Entrada'!D228+'Info Entrada'!D229+'Info Entrada'!D235)/('Info Entrada'!D180+'Info Entrada'!D185+'Info Entrada'!D188-'Info Entrada'!D218-'Info Entrada'!D219-'Info Entrada'!D226)</f>
        <v>#DIV/0!</v>
      </c>
      <c r="N16" s="182" t="e">
        <f>('Info Entrada'!E215+'Info Entrada'!E216+'Info Entrada'!E217+'Info Entrada'!E228+'Info Entrada'!E229+'Info Entrada'!E235)/('Info Entrada'!E180+'Info Entrada'!E185+'Info Entrada'!E188-'Info Entrada'!E218-'Info Entrada'!E219-'Info Entrada'!E226)</f>
        <v>#DIV/0!</v>
      </c>
      <c r="O16" s="182" t="e">
        <f>('Info Entrada'!F215+'Info Entrada'!F216+'Info Entrada'!F217+'Info Entrada'!F228+'Info Entrada'!F229+'Info Entrada'!F235)/('Info Entrada'!F180+'Info Entrada'!F185+'Info Entrada'!F188-'Info Entrada'!F218-'Info Entrada'!F219-'Info Entrada'!F226)</f>
        <v>#DIV/0!</v>
      </c>
      <c r="P16" s="182" t="e">
        <f>('Info Entrada'!G215+'Info Entrada'!G216+'Info Entrada'!G217+'Info Entrada'!G228+'Info Entrada'!G229+'Info Entrada'!G235)/('Info Entrada'!G180+'Info Entrada'!G185+'Info Entrada'!G188-'Info Entrada'!G218-'Info Entrada'!G219-'Info Entrada'!G226)</f>
        <v>#DIV/0!</v>
      </c>
    </row>
    <row r="17" spans="1:16" x14ac:dyDescent="0.15">
      <c r="A17" s="177" t="s">
        <v>435</v>
      </c>
      <c r="B17" s="177">
        <f>'Info Entrada'!C119/B12</f>
        <v>0</v>
      </c>
      <c r="C17" s="177">
        <f>'Info Entrada'!D119/C12</f>
        <v>0</v>
      </c>
      <c r="D17" s="177">
        <f>'Info Entrada'!E119/D12</f>
        <v>0</v>
      </c>
      <c r="E17" s="177">
        <f>'Info Entrada'!F119/E12</f>
        <v>0</v>
      </c>
      <c r="F17" s="177">
        <f>'Info Entrada'!G119/F12</f>
        <v>0</v>
      </c>
      <c r="H17" s="3490" t="s">
        <v>440</v>
      </c>
      <c r="I17" s="3491"/>
      <c r="J17" s="3491"/>
      <c r="K17" s="3491"/>
      <c r="L17" s="178" t="e">
        <f>Indicadores!D33</f>
        <v>#DIV/0!</v>
      </c>
      <c r="M17" s="178" t="e">
        <f>Indicadores!E33</f>
        <v>#DIV/0!</v>
      </c>
      <c r="N17" s="178" t="e">
        <f>Indicadores!F33</f>
        <v>#DIV/0!</v>
      </c>
      <c r="O17" s="178" t="e">
        <f>Indicadores!G33</f>
        <v>#DIV/0!</v>
      </c>
      <c r="P17" s="178" t="e">
        <f>Indicadores!H33</f>
        <v>#DIV/0!</v>
      </c>
    </row>
    <row r="18" spans="1:16" x14ac:dyDescent="0.15">
      <c r="A18" s="177" t="s">
        <v>442</v>
      </c>
      <c r="B18" s="177">
        <f>'Info Entrada'!C124/B12</f>
        <v>0</v>
      </c>
      <c r="C18" s="177">
        <f>'Info Entrada'!D124/C12</f>
        <v>0</v>
      </c>
      <c r="D18" s="177">
        <f>'Info Entrada'!E124/D12</f>
        <v>0</v>
      </c>
      <c r="E18" s="177">
        <f>'Info Entrada'!F124/E12</f>
        <v>0</v>
      </c>
      <c r="F18" s="177">
        <f>'Info Entrada'!G124/F12</f>
        <v>0</v>
      </c>
      <c r="H18" s="3490" t="s">
        <v>441</v>
      </c>
      <c r="I18" s="3491"/>
      <c r="J18" s="3491"/>
      <c r="K18" s="3491"/>
      <c r="L18" s="178" t="e">
        <f>(('Info Entrada'!C177+'Info Entrada'!C178)/'Info Entrada'!C77)*((360/12)*Indicadores!D11)</f>
        <v>#DIV/0!</v>
      </c>
      <c r="M18" s="178" t="e">
        <f>(('Info Entrada'!D177+'Info Entrada'!D178)/'Info Entrada'!D77)*((360/12)*Indicadores!E11)</f>
        <v>#DIV/0!</v>
      </c>
      <c r="N18" s="178" t="e">
        <f>(('Info Entrada'!E177+'Info Entrada'!E178)/'Info Entrada'!E77)*((360/12)*Indicadores!F11)</f>
        <v>#DIV/0!</v>
      </c>
      <c r="O18" s="178" t="e">
        <f>(('Info Entrada'!F177+'Info Entrada'!F178)/'Info Entrada'!F77)*((360/12)*Indicadores!G11)</f>
        <v>#DIV/0!</v>
      </c>
      <c r="P18" s="178" t="e">
        <f>(('Info Entrada'!G177+'Info Entrada'!G178)/'Info Entrada'!G77)*((360/12)*Indicadores!H11)</f>
        <v>#DIV/0!</v>
      </c>
    </row>
    <row r="19" spans="1:16" x14ac:dyDescent="0.15">
      <c r="A19" s="177" t="s">
        <v>445</v>
      </c>
      <c r="B19" s="177">
        <f>'Estado de Resultados'!D35/B12</f>
        <v>0</v>
      </c>
      <c r="C19" s="177">
        <f>'Estado de Resultados'!F35/C12</f>
        <v>0</v>
      </c>
      <c r="D19" s="177">
        <f>'Estado de Resultados'!H35/D12</f>
        <v>0</v>
      </c>
      <c r="E19" s="177">
        <f>'Estado de Resultados'!J35/E12</f>
        <v>0</v>
      </c>
      <c r="F19" s="177">
        <f>'Estado de Resultados'!L35/F12</f>
        <v>0</v>
      </c>
      <c r="H19" s="3490" t="s">
        <v>444</v>
      </c>
      <c r="I19" s="3491"/>
      <c r="J19" s="3491"/>
      <c r="K19" s="3491"/>
      <c r="L19" s="178">
        <f>Indicadores!D34</f>
        <v>0</v>
      </c>
      <c r="M19" s="178">
        <f>Indicadores!E34</f>
        <v>0</v>
      </c>
      <c r="N19" s="178">
        <f>Indicadores!F34</f>
        <v>0</v>
      </c>
      <c r="O19" s="178">
        <f>Indicadores!G34</f>
        <v>0</v>
      </c>
      <c r="P19" s="178">
        <f>Indicadores!H34</f>
        <v>0</v>
      </c>
    </row>
    <row r="20" spans="1:16" x14ac:dyDescent="0.15">
      <c r="A20" s="177" t="s">
        <v>447</v>
      </c>
      <c r="B20" s="177">
        <f>'Info Entrada'!C168/B12</f>
        <v>0</v>
      </c>
      <c r="C20" s="177">
        <f>'Info Entrada'!D168/C12</f>
        <v>0</v>
      </c>
      <c r="D20" s="177">
        <f>'Info Entrada'!E168/D12</f>
        <v>0</v>
      </c>
      <c r="E20" s="177">
        <f>'Info Entrada'!F168/E12</f>
        <v>0</v>
      </c>
      <c r="F20" s="177">
        <f>'Info Entrada'!G168/F12</f>
        <v>0</v>
      </c>
      <c r="H20" s="3490" t="s">
        <v>446</v>
      </c>
      <c r="I20" s="3491"/>
      <c r="J20" s="3491"/>
      <c r="K20" s="3491"/>
      <c r="L20" s="178" t="e">
        <f>Indicadores!D35</f>
        <v>#DIV/0!</v>
      </c>
      <c r="M20" s="178" t="e">
        <f>Indicadores!E35</f>
        <v>#DIV/0!</v>
      </c>
      <c r="N20" s="178" t="e">
        <f>Indicadores!F35</f>
        <v>#DIV/0!</v>
      </c>
      <c r="O20" s="178" t="e">
        <f>Indicadores!G35</f>
        <v>#DIV/0!</v>
      </c>
      <c r="P20" s="178" t="e">
        <f>Indicadores!H35</f>
        <v>#DIV/0!</v>
      </c>
    </row>
    <row r="21" spans="1:16" x14ac:dyDescent="0.15">
      <c r="H21" s="176"/>
      <c r="P21" s="194"/>
    </row>
    <row r="22" spans="1:16" x14ac:dyDescent="0.15">
      <c r="H22" s="3502" t="s">
        <v>268</v>
      </c>
      <c r="I22" s="3503"/>
      <c r="J22" s="3503"/>
      <c r="K22" s="3504"/>
      <c r="L22" s="3508" t="s">
        <v>420</v>
      </c>
      <c r="M22" s="3508"/>
      <c r="N22" s="3508"/>
      <c r="O22" s="3508"/>
    </row>
    <row r="23" spans="1:16" x14ac:dyDescent="0.15">
      <c r="A23" s="1305"/>
      <c r="B23" s="193">
        <f>B14</f>
        <v>42735</v>
      </c>
      <c r="C23" s="193">
        <f>C14</f>
        <v>43100</v>
      </c>
      <c r="D23" s="193">
        <f>D14</f>
        <v>43465</v>
      </c>
      <c r="E23" s="193">
        <f>E14</f>
        <v>43281</v>
      </c>
      <c r="F23" s="193">
        <f>F14</f>
        <v>43646</v>
      </c>
      <c r="H23" s="3505"/>
      <c r="I23" s="3506"/>
      <c r="J23" s="3506"/>
      <c r="K23" s="3507"/>
      <c r="L23" s="193">
        <f>C14</f>
        <v>43100</v>
      </c>
      <c r="M23" s="193">
        <f>D14</f>
        <v>43465</v>
      </c>
      <c r="N23" s="193">
        <f>F14</f>
        <v>43646</v>
      </c>
    </row>
    <row r="24" spans="1:16" ht="11.25" x14ac:dyDescent="0.15">
      <c r="A24" s="177" t="s">
        <v>596</v>
      </c>
      <c r="B24" s="180">
        <f>'Info Entrada'!C114</f>
        <v>0</v>
      </c>
      <c r="C24" s="180">
        <f>'Info Entrada'!D114</f>
        <v>0</v>
      </c>
      <c r="D24" s="180">
        <f>'Info Entrada'!E114</f>
        <v>0</v>
      </c>
      <c r="E24" s="180">
        <f>'Info Entrada'!F114</f>
        <v>0</v>
      </c>
      <c r="F24" s="180">
        <f>'Info Entrada'!G114</f>
        <v>0</v>
      </c>
      <c r="H24" s="3500" t="str">
        <f>Cuadros!L27</f>
        <v>Utilidad Operacional</v>
      </c>
      <c r="I24" s="3501"/>
      <c r="J24" s="3501"/>
      <c r="K24" s="3501"/>
      <c r="L24" s="181">
        <f>Cuadros!N27/$C$12</f>
        <v>0</v>
      </c>
      <c r="M24" s="181">
        <f>Cuadros!O27/$D$12</f>
        <v>0</v>
      </c>
      <c r="N24" s="181">
        <f>Cuadros!AH27/$F$12</f>
        <v>0</v>
      </c>
    </row>
    <row r="25" spans="1:16" ht="11.25" x14ac:dyDescent="0.15">
      <c r="A25" s="177" t="s">
        <v>452</v>
      </c>
      <c r="B25" s="180">
        <f>'Info Entrada'!C120</f>
        <v>0</v>
      </c>
      <c r="C25" s="180">
        <f>'Info Entrada'!D120</f>
        <v>0</v>
      </c>
      <c r="D25" s="180">
        <f>'Info Entrada'!E120</f>
        <v>0</v>
      </c>
      <c r="E25" s="180">
        <f>'Info Entrada'!F120</f>
        <v>0</v>
      </c>
      <c r="F25" s="180">
        <f>'Info Entrada'!G120</f>
        <v>0</v>
      </c>
      <c r="H25" s="3500" t="str">
        <f>Cuadros!L28</f>
        <v>+ Depreciaciones / Amortizaciones</v>
      </c>
      <c r="I25" s="3501"/>
      <c r="J25" s="3501"/>
      <c r="K25" s="3501"/>
      <c r="L25" s="181">
        <f>Cuadros!N28/$C$12</f>
        <v>0</v>
      </c>
      <c r="M25" s="181">
        <f>Cuadros!O28/$D$12</f>
        <v>0</v>
      </c>
      <c r="N25" s="181">
        <f>Cuadros!AH28/$F$12</f>
        <v>0</v>
      </c>
    </row>
    <row r="26" spans="1:16" ht="11.25" x14ac:dyDescent="0.15">
      <c r="A26" s="177" t="s">
        <v>455</v>
      </c>
      <c r="B26" s="180">
        <f>'Info Entrada'!C169</f>
        <v>0</v>
      </c>
      <c r="C26" s="180">
        <f>'Info Entrada'!D169</f>
        <v>0</v>
      </c>
      <c r="D26" s="180">
        <f>'Info Entrada'!E169</f>
        <v>0</v>
      </c>
      <c r="E26" s="180">
        <f>'Info Entrada'!F169</f>
        <v>0</v>
      </c>
      <c r="F26" s="180">
        <f>'Info Entrada'!G169</f>
        <v>0</v>
      </c>
      <c r="H26" s="3500" t="str">
        <f>Cuadros!L29</f>
        <v>Ebitda</v>
      </c>
      <c r="I26" s="3501"/>
      <c r="J26" s="3501"/>
      <c r="K26" s="3501"/>
      <c r="L26" s="181">
        <f>Cuadros!N29/$C$12</f>
        <v>0</v>
      </c>
      <c r="M26" s="181">
        <f>Cuadros!O29/$D$12</f>
        <v>0</v>
      </c>
      <c r="N26" s="181">
        <f>Cuadros!AH29/$F$12</f>
        <v>0</v>
      </c>
    </row>
    <row r="27" spans="1:16" ht="11.25" x14ac:dyDescent="0.15">
      <c r="A27" s="177" t="s">
        <v>378</v>
      </c>
      <c r="B27" s="180" t="str">
        <f>IFERROR(B20/B36,"")</f>
        <v/>
      </c>
      <c r="C27" s="180" t="str">
        <f>IFERROR(C20/C36,"")</f>
        <v/>
      </c>
      <c r="D27" s="180" t="str">
        <f t="shared" ref="D27:F27" si="2">IFERROR(D20/D36,"")</f>
        <v/>
      </c>
      <c r="E27" s="180" t="str">
        <f t="shared" si="2"/>
        <v/>
      </c>
      <c r="F27" s="180" t="str">
        <f t="shared" si="2"/>
        <v/>
      </c>
      <c r="H27" s="3500" t="str">
        <f>Cuadros!L30</f>
        <v>+ Provisiones</v>
      </c>
      <c r="I27" s="3501"/>
      <c r="J27" s="3501"/>
      <c r="K27" s="3501"/>
      <c r="L27" s="181">
        <f>Cuadros!N30/$C$12</f>
        <v>0</v>
      </c>
      <c r="M27" s="181">
        <f>Cuadros!O30/$D$12</f>
        <v>0</v>
      </c>
      <c r="N27" s="181">
        <f>Cuadros!AH30/$F$12</f>
        <v>0</v>
      </c>
    </row>
    <row r="28" spans="1:16" ht="11.25" x14ac:dyDescent="0.15">
      <c r="A28" s="177" t="s">
        <v>376</v>
      </c>
      <c r="B28" s="180" t="str">
        <f>IFERROR(B20/B38,"")</f>
        <v/>
      </c>
      <c r="C28" s="180" t="str">
        <f t="shared" ref="C28:F28" si="3">IFERROR(C20/C38,"")</f>
        <v/>
      </c>
      <c r="D28" s="180" t="str">
        <f t="shared" si="3"/>
        <v/>
      </c>
      <c r="E28" s="180" t="str">
        <f t="shared" si="3"/>
        <v/>
      </c>
      <c r="F28" s="180" t="str">
        <f t="shared" si="3"/>
        <v/>
      </c>
      <c r="H28" s="3500" t="str">
        <f>Cuadros!L31</f>
        <v>+/- Otros ajustes</v>
      </c>
      <c r="I28" s="3501"/>
      <c r="J28" s="3501"/>
      <c r="K28" s="3501"/>
      <c r="L28" s="181">
        <f>Cuadros!N31/$C$12</f>
        <v>0</v>
      </c>
      <c r="M28" s="181">
        <f>Cuadros!O31/$D$12</f>
        <v>0</v>
      </c>
      <c r="N28" s="181">
        <f>Cuadros!AH31/$F$12</f>
        <v>0</v>
      </c>
    </row>
    <row r="29" spans="1:16" ht="11.25" x14ac:dyDescent="0.15">
      <c r="H29" s="3500" t="str">
        <f>Cuadros!L32</f>
        <v>- Impuestos</v>
      </c>
      <c r="I29" s="3501"/>
      <c r="J29" s="3501"/>
      <c r="K29" s="3501"/>
      <c r="L29" s="181">
        <f ca="1">Cuadros!N32/$C$12</f>
        <v>0</v>
      </c>
      <c r="M29" s="181">
        <f ca="1">Cuadros!O32/$D$12</f>
        <v>0</v>
      </c>
      <c r="N29" s="181">
        <f ca="1">Cuadros!AH32/$F$12</f>
        <v>0</v>
      </c>
    </row>
    <row r="30" spans="1:16" ht="11.25" x14ac:dyDescent="0.15">
      <c r="A30" s="191"/>
      <c r="B30" s="190"/>
      <c r="C30" s="190"/>
      <c r="D30" s="190"/>
      <c r="E30" s="190"/>
      <c r="F30" s="190"/>
      <c r="H30" s="3500" t="str">
        <f>Cuadros!L33</f>
        <v xml:space="preserve">+/- Variación en Capital Circulante Operativo </v>
      </c>
      <c r="I30" s="3501"/>
      <c r="J30" s="3501"/>
      <c r="K30" s="3501"/>
      <c r="L30" s="181">
        <f ca="1">Cuadros!N33/$C$12</f>
        <v>0</v>
      </c>
      <c r="M30" s="181">
        <f ca="1">Cuadros!O33/$D$12</f>
        <v>0</v>
      </c>
      <c r="N30" s="181">
        <f ca="1">Cuadros!AH33/$F$12</f>
        <v>0</v>
      </c>
    </row>
    <row r="31" spans="1:16" ht="11.25" x14ac:dyDescent="0.15">
      <c r="A31" s="190"/>
      <c r="B31" s="190"/>
      <c r="C31" s="190"/>
      <c r="D31" s="190"/>
      <c r="E31" s="190"/>
      <c r="F31" s="190"/>
      <c r="H31" s="3509" t="str">
        <f>Cuadros!L34</f>
        <v>Flujo de caja operativo FCO</v>
      </c>
      <c r="I31" s="3510"/>
      <c r="J31" s="3510"/>
      <c r="K31" s="3511"/>
      <c r="L31" s="195">
        <f ca="1">Cuadros!N34/$C$12</f>
        <v>0</v>
      </c>
      <c r="M31" s="195">
        <f ca="1">Cuadros!O34/$D$12</f>
        <v>0</v>
      </c>
      <c r="N31" s="195">
        <f ca="1">Cuadros!AH34/$F$12</f>
        <v>0</v>
      </c>
    </row>
    <row r="32" spans="1:16" ht="11.25" x14ac:dyDescent="0.15">
      <c r="A32" s="186" t="s">
        <v>270</v>
      </c>
      <c r="H32" s="3500" t="str">
        <f>Cuadros!L35</f>
        <v>+ Ingresos Financieros</v>
      </c>
      <c r="I32" s="3501"/>
      <c r="J32" s="3501"/>
      <c r="K32" s="3501"/>
      <c r="L32" s="181">
        <f>Cuadros!N35/$C$12</f>
        <v>0</v>
      </c>
      <c r="M32" s="181">
        <f>Cuadros!O35/$D$12</f>
        <v>0</v>
      </c>
      <c r="N32" s="181">
        <f>Cuadros!AH35/$F$12</f>
        <v>0</v>
      </c>
    </row>
    <row r="33" spans="1:14" ht="11.25" x14ac:dyDescent="0.15">
      <c r="H33" s="3500" t="str">
        <f>Cuadros!L36</f>
        <v>- Gastos Financieros</v>
      </c>
      <c r="I33" s="3501"/>
      <c r="J33" s="3501"/>
      <c r="K33" s="3501"/>
      <c r="L33" s="181">
        <f>Cuadros!N36/$C$12</f>
        <v>0</v>
      </c>
      <c r="M33" s="181">
        <f>Cuadros!O36/$D$12</f>
        <v>0</v>
      </c>
      <c r="N33" s="181">
        <f>Cuadros!AH36/$F$12</f>
        <v>0</v>
      </c>
    </row>
    <row r="34" spans="1:14" ht="11.25" x14ac:dyDescent="0.15">
      <c r="A34" s="3495"/>
      <c r="B34" s="3494" t="s">
        <v>420</v>
      </c>
      <c r="C34" s="3494"/>
      <c r="D34" s="3494"/>
      <c r="E34" s="3494"/>
      <c r="F34" s="3494"/>
      <c r="H34" s="3500" t="str">
        <f>Cuadros!L37</f>
        <v>+/- Utilidades (Pérdidas) por Asociadas</v>
      </c>
      <c r="I34" s="3501"/>
      <c r="J34" s="3501"/>
      <c r="K34" s="3501"/>
      <c r="L34" s="181">
        <f>Cuadros!N37/$C$12</f>
        <v>0</v>
      </c>
      <c r="M34" s="181">
        <f>Cuadros!O37/$D$12</f>
        <v>0</v>
      </c>
      <c r="N34" s="181">
        <f>Cuadros!AH37/$F$12</f>
        <v>0</v>
      </c>
    </row>
    <row r="35" spans="1:14" ht="11.25" x14ac:dyDescent="0.15">
      <c r="A35" s="3496"/>
      <c r="B35" s="193">
        <f>B14</f>
        <v>42735</v>
      </c>
      <c r="C35" s="193">
        <f>C14</f>
        <v>43100</v>
      </c>
      <c r="D35" s="193">
        <f>D14</f>
        <v>43465</v>
      </c>
      <c r="E35" s="193">
        <f>E14</f>
        <v>43281</v>
      </c>
      <c r="F35" s="193">
        <f>F14</f>
        <v>43646</v>
      </c>
      <c r="H35" s="3500" t="str">
        <f>Cuadros!L38</f>
        <v>+/- Ingresos (Gastos) no operacionales</v>
      </c>
      <c r="I35" s="3501"/>
      <c r="J35" s="3501"/>
      <c r="K35" s="3501"/>
      <c r="L35" s="181">
        <f>Cuadros!N38/$C$12</f>
        <v>0</v>
      </c>
      <c r="M35" s="181">
        <f>Cuadros!O38/$D$12</f>
        <v>0</v>
      </c>
      <c r="N35" s="181">
        <f>Cuadros!AH38/$F$12</f>
        <v>0</v>
      </c>
    </row>
    <row r="36" spans="1:14" ht="11.25" x14ac:dyDescent="0.15">
      <c r="A36" s="196" t="s">
        <v>436</v>
      </c>
      <c r="B36" s="177">
        <f>'Info Entrada'!C172/B12</f>
        <v>0</v>
      </c>
      <c r="C36" s="177">
        <f>'Info Entrada'!D172/C12</f>
        <v>0</v>
      </c>
      <c r="D36" s="177">
        <f>'Info Entrada'!E172/D12</f>
        <v>0</v>
      </c>
      <c r="E36" s="177">
        <f>'Info Entrada'!F172/E12</f>
        <v>0</v>
      </c>
      <c r="F36" s="177">
        <f>'Info Entrada'!G172/F12</f>
        <v>0</v>
      </c>
      <c r="H36" s="3500" t="str">
        <f>Cuadros!L39</f>
        <v>- Inversiones en activo fijo</v>
      </c>
      <c r="I36" s="3501"/>
      <c r="J36" s="3501"/>
      <c r="K36" s="3501"/>
      <c r="L36" s="181">
        <f ca="1">Cuadros!N39/$C$12</f>
        <v>0</v>
      </c>
      <c r="M36" s="181">
        <f ca="1">Cuadros!O39/$D$12</f>
        <v>0</v>
      </c>
      <c r="N36" s="181">
        <f ca="1">Cuadros!AH39/$F$12</f>
        <v>0</v>
      </c>
    </row>
    <row r="37" spans="1:14" ht="11.25" x14ac:dyDescent="0.15">
      <c r="A37" s="196" t="s">
        <v>439</v>
      </c>
      <c r="B37" s="177">
        <f>'Info Entrada'!C213/B12</f>
        <v>0</v>
      </c>
      <c r="C37" s="177">
        <f>'Info Entrada'!D213/C12</f>
        <v>0</v>
      </c>
      <c r="D37" s="177">
        <f>'Info Entrada'!E213/D12</f>
        <v>0</v>
      </c>
      <c r="E37" s="177">
        <f>'Info Entrada'!F213/E12</f>
        <v>0</v>
      </c>
      <c r="F37" s="177">
        <f>'Info Entrada'!G213/F12</f>
        <v>0</v>
      </c>
      <c r="H37" s="3500" t="str">
        <f>Cuadros!L40</f>
        <v>- Adiciones Inversiones permanentes</v>
      </c>
      <c r="I37" s="3501"/>
      <c r="J37" s="3501"/>
      <c r="K37" s="3501"/>
      <c r="L37" s="181">
        <f ca="1">Cuadros!N40/$C$12</f>
        <v>0</v>
      </c>
      <c r="M37" s="181">
        <f ca="1">Cuadros!O40/$D$12</f>
        <v>0</v>
      </c>
      <c r="N37" s="181">
        <f ca="1">Cuadros!AH40/$F$12</f>
        <v>0</v>
      </c>
    </row>
    <row r="38" spans="1:14" ht="11.25" x14ac:dyDescent="0.15">
      <c r="A38" s="196" t="s">
        <v>391</v>
      </c>
      <c r="B38" s="177">
        <f>'Info Entrada'!C239/B12</f>
        <v>0</v>
      </c>
      <c r="C38" s="177">
        <f>'Info Entrada'!D239/C12</f>
        <v>0</v>
      </c>
      <c r="D38" s="177">
        <f>'Info Entrada'!E239/D12</f>
        <v>0</v>
      </c>
      <c r="E38" s="177">
        <f>'Info Entrada'!F239/E12</f>
        <v>0</v>
      </c>
      <c r="F38" s="177">
        <f>'Info Entrada'!G239/F12</f>
        <v>0</v>
      </c>
      <c r="H38" s="3500" t="str">
        <f>Cuadros!L41</f>
        <v>- Diferidos e Intangibles</v>
      </c>
      <c r="I38" s="3501"/>
      <c r="J38" s="3501"/>
      <c r="K38" s="3501"/>
      <c r="L38" s="181">
        <f ca="1">Cuadros!N41/$C$12</f>
        <v>0</v>
      </c>
      <c r="M38" s="181">
        <f ca="1">Cuadros!O41/$D$12</f>
        <v>0</v>
      </c>
      <c r="N38" s="181">
        <f ca="1">Cuadros!AH41/$F$12</f>
        <v>0</v>
      </c>
    </row>
    <row r="39" spans="1:14" ht="11.25" x14ac:dyDescent="0.15">
      <c r="A39" s="196" t="s">
        <v>443</v>
      </c>
      <c r="B39" s="177">
        <f>'Info Entrada'!C239/B12-'Info Entrada'!C250/B12</f>
        <v>0</v>
      </c>
      <c r="C39" s="177">
        <f>'Info Entrada'!D239/C12-'Info Entrada'!D250/C12</f>
        <v>0</v>
      </c>
      <c r="D39" s="177">
        <f>'Info Entrada'!E239/D12-'Info Entrada'!E250/D12</f>
        <v>0</v>
      </c>
      <c r="E39" s="177">
        <f>'Info Entrada'!F239/E12-'Info Entrada'!F250/E12</f>
        <v>0</v>
      </c>
      <c r="F39" s="177">
        <f>'Info Entrada'!G239/F12-'Info Entrada'!G250/F12</f>
        <v>0</v>
      </c>
      <c r="H39" s="3500" t="str">
        <f>Cuadros!L42</f>
        <v>+ Capitalización (Recursos Frescos)</v>
      </c>
      <c r="I39" s="3501"/>
      <c r="J39" s="3501"/>
      <c r="K39" s="3501"/>
      <c r="L39" s="181">
        <f>Cuadros!N42/$C$12</f>
        <v>0</v>
      </c>
      <c r="M39" s="181">
        <f>Cuadros!O42/$D$12</f>
        <v>0</v>
      </c>
      <c r="N39" s="181">
        <f>Cuadros!AH42/$F$12</f>
        <v>0</v>
      </c>
    </row>
    <row r="40" spans="1:14" ht="11.25" x14ac:dyDescent="0.15">
      <c r="A40" s="183"/>
      <c r="B40" s="183"/>
      <c r="C40" s="183"/>
      <c r="D40" s="183"/>
      <c r="E40" s="183"/>
      <c r="F40" s="183"/>
      <c r="H40" s="3500" t="str">
        <f>Cuadros!L43</f>
        <v>+/- Préstamos al Grupo</v>
      </c>
      <c r="I40" s="3501"/>
      <c r="J40" s="3501"/>
      <c r="K40" s="3501"/>
      <c r="L40" s="181">
        <f>Cuadros!N43/$C$12</f>
        <v>0</v>
      </c>
      <c r="M40" s="181">
        <f>Cuadros!O43/$D$12</f>
        <v>0</v>
      </c>
      <c r="N40" s="181">
        <f>Cuadros!AH43/$F$12</f>
        <v>0</v>
      </c>
    </row>
    <row r="41" spans="1:14" ht="11.25" x14ac:dyDescent="0.15">
      <c r="A41" s="183"/>
      <c r="B41" s="183"/>
      <c r="C41" s="183"/>
      <c r="D41" s="183"/>
      <c r="E41" s="183"/>
      <c r="F41" s="183"/>
      <c r="H41" s="3500" t="str">
        <f>Cuadros!L44</f>
        <v>+/- Otras Variaciones en activos</v>
      </c>
      <c r="I41" s="3501"/>
      <c r="J41" s="3501"/>
      <c r="K41" s="3501"/>
      <c r="L41" s="181">
        <f>Cuadros!N44/$C$12</f>
        <v>0</v>
      </c>
      <c r="M41" s="181">
        <f>Cuadros!O44/$D$12</f>
        <v>0</v>
      </c>
      <c r="N41" s="181">
        <f>Cuadros!AH44/$F$12</f>
        <v>0</v>
      </c>
    </row>
    <row r="42" spans="1:14" ht="11.25" x14ac:dyDescent="0.15">
      <c r="A42" s="197"/>
      <c r="B42" s="193">
        <f>B14</f>
        <v>42735</v>
      </c>
      <c r="C42" s="193">
        <f>C14</f>
        <v>43100</v>
      </c>
      <c r="D42" s="193">
        <f>D14</f>
        <v>43465</v>
      </c>
      <c r="E42" s="193">
        <f>E14</f>
        <v>43281</v>
      </c>
      <c r="F42" s="193">
        <f>F14</f>
        <v>43646</v>
      </c>
      <c r="H42" s="3500" t="str">
        <f>Cuadros!L45</f>
        <v>+/- Otras Variaciones en pasivos</v>
      </c>
      <c r="I42" s="3501"/>
      <c r="J42" s="3501"/>
      <c r="K42" s="3501"/>
      <c r="L42" s="181">
        <f>Cuadros!N45/$C$12</f>
        <v>0</v>
      </c>
      <c r="M42" s="181">
        <f>Cuadros!O45/$D$12</f>
        <v>0</v>
      </c>
      <c r="N42" s="181">
        <f>Cuadros!AH45/$F$12</f>
        <v>0</v>
      </c>
    </row>
    <row r="43" spans="1:14" ht="11.25" x14ac:dyDescent="0.15">
      <c r="A43" s="196" t="s">
        <v>449</v>
      </c>
      <c r="B43" s="180" t="e">
        <f>B37/B36</f>
        <v>#DIV/0!</v>
      </c>
      <c r="C43" s="180" t="e">
        <f>C37/C36</f>
        <v>#DIV/0!</v>
      </c>
      <c r="D43" s="180" t="e">
        <f>D37/D36</f>
        <v>#DIV/0!</v>
      </c>
      <c r="E43" s="180" t="e">
        <f>E37/E36</f>
        <v>#DIV/0!</v>
      </c>
      <c r="F43" s="180" t="e">
        <f>F37/F36</f>
        <v>#DIV/0!</v>
      </c>
      <c r="H43" s="3500" t="str">
        <f>Cuadros!L46</f>
        <v>+/- Otros cambios en el patrimonio</v>
      </c>
      <c r="I43" s="3501"/>
      <c r="J43" s="3501"/>
      <c r="K43" s="3501"/>
      <c r="L43" s="181">
        <f ca="1">Cuadros!N46/$C$12</f>
        <v>0</v>
      </c>
      <c r="M43" s="181">
        <f ca="1">Cuadros!O46/$D$12</f>
        <v>0</v>
      </c>
      <c r="N43" s="181">
        <f ca="1">Cuadros!AH46/$F$12</f>
        <v>0</v>
      </c>
    </row>
    <row r="44" spans="1:14" ht="11.25" x14ac:dyDescent="0.15">
      <c r="A44" s="196" t="s">
        <v>450</v>
      </c>
      <c r="B44" s="180" t="e">
        <f>B37/(B36-'Info Entrada'!C250)</f>
        <v>#DIV/0!</v>
      </c>
      <c r="C44" s="180" t="e">
        <f>C37/(C36-'Info Entrada'!D250)</f>
        <v>#DIV/0!</v>
      </c>
      <c r="D44" s="180" t="e">
        <f>D37/(D36-'Info Entrada'!E250)</f>
        <v>#DIV/0!</v>
      </c>
      <c r="E44" s="180" t="e">
        <f>E37/(E36-'Info Entrada'!F250)</f>
        <v>#DIV/0!</v>
      </c>
      <c r="F44" s="180" t="e">
        <f>F37/(F36-'Info Entrada'!G250)</f>
        <v>#DIV/0!</v>
      </c>
      <c r="H44" s="3500" t="str">
        <f>Cuadros!L47</f>
        <v>- Dividendos Pagados</v>
      </c>
      <c r="I44" s="3501"/>
      <c r="J44" s="3501"/>
      <c r="K44" s="3501"/>
      <c r="L44" s="181">
        <f ca="1">Cuadros!N47/$C$12</f>
        <v>0</v>
      </c>
      <c r="M44" s="181">
        <f ca="1">Cuadros!O47/$D$12</f>
        <v>0</v>
      </c>
      <c r="N44" s="181">
        <f ca="1">Cuadros!AH47/$F$12</f>
        <v>0</v>
      </c>
    </row>
    <row r="45" spans="1:14" ht="11.25" x14ac:dyDescent="0.15">
      <c r="A45" s="196" t="s">
        <v>454</v>
      </c>
      <c r="B45" s="184" t="e">
        <f>B37/B38</f>
        <v>#DIV/0!</v>
      </c>
      <c r="C45" s="184" t="e">
        <f>C37/C38</f>
        <v>#DIV/0!</v>
      </c>
      <c r="D45" s="184" t="e">
        <f>D37/D38</f>
        <v>#DIV/0!</v>
      </c>
      <c r="E45" s="184" t="e">
        <f>E37/E38</f>
        <v>#DIV/0!</v>
      </c>
      <c r="F45" s="184" t="e">
        <f>F37/F38</f>
        <v>#DIV/0!</v>
      </c>
      <c r="H45" s="3509" t="str">
        <f>Cuadros!L48</f>
        <v>Flujo de Caja Libre</v>
      </c>
      <c r="I45" s="3510"/>
      <c r="J45" s="3510"/>
      <c r="K45" s="3511"/>
      <c r="L45" s="195">
        <f>Cuadros!N48/$C$12</f>
        <v>0</v>
      </c>
      <c r="M45" s="195">
        <f>Cuadros!O48/$D$12</f>
        <v>0</v>
      </c>
      <c r="N45" s="195">
        <f>Cuadros!AH48/$F$12</f>
        <v>0</v>
      </c>
    </row>
    <row r="46" spans="1:14" ht="11.25" x14ac:dyDescent="0.15">
      <c r="A46" s="196" t="s">
        <v>457</v>
      </c>
      <c r="B46" s="185" t="e">
        <f>B37/B39</f>
        <v>#DIV/0!</v>
      </c>
      <c r="C46" s="185" t="e">
        <f>C37/C39</f>
        <v>#DIV/0!</v>
      </c>
      <c r="D46" s="185" t="e">
        <f>D37/D39</f>
        <v>#DIV/0!</v>
      </c>
      <c r="E46" s="185" t="e">
        <f>E37/E39</f>
        <v>#DIV/0!</v>
      </c>
      <c r="F46" s="185" t="e">
        <f>F37/F39</f>
        <v>#DIV/0!</v>
      </c>
      <c r="H46" s="3500" t="str">
        <f>Cuadros!L49</f>
        <v>Variación en Deuda Financiera L/P</v>
      </c>
      <c r="I46" s="3501"/>
      <c r="J46" s="3501"/>
      <c r="K46" s="3501"/>
      <c r="L46" s="181">
        <f>Cuadros!N49/$C$12</f>
        <v>0</v>
      </c>
      <c r="M46" s="181">
        <f>Cuadros!O49/$D$12</f>
        <v>0</v>
      </c>
      <c r="N46" s="181">
        <f>Cuadros!AH49/$F$12</f>
        <v>0</v>
      </c>
    </row>
    <row r="47" spans="1:14" ht="11.25" x14ac:dyDescent="0.15">
      <c r="A47" s="196" t="s">
        <v>494</v>
      </c>
      <c r="B47" s="189" t="e">
        <f>B38/B36</f>
        <v>#DIV/0!</v>
      </c>
      <c r="C47" s="189" t="e">
        <f>C38/C36</f>
        <v>#DIV/0!</v>
      </c>
      <c r="D47" s="189" t="e">
        <f>D38/D36</f>
        <v>#DIV/0!</v>
      </c>
      <c r="E47" s="189" t="e">
        <f>E38/E36</f>
        <v>#DIV/0!</v>
      </c>
      <c r="F47" s="189" t="e">
        <f>F38/F36</f>
        <v>#DIV/0!</v>
      </c>
      <c r="H47" s="3500" t="str">
        <f>Cuadros!L50</f>
        <v>Variación en Deuda Financiera C/P</v>
      </c>
      <c r="I47" s="3501"/>
      <c r="J47" s="3501"/>
      <c r="K47" s="3501"/>
      <c r="L47" s="181">
        <f>Cuadros!N50/$C$12</f>
        <v>0</v>
      </c>
      <c r="M47" s="181">
        <f>Cuadros!O50/$D$12</f>
        <v>0</v>
      </c>
      <c r="N47" s="181">
        <f>Cuadros!AH50/$F$12</f>
        <v>0</v>
      </c>
    </row>
    <row r="48" spans="1:14" ht="11.25" x14ac:dyDescent="0.15">
      <c r="A48" s="196" t="s">
        <v>558</v>
      </c>
      <c r="B48" s="180" t="e">
        <f>('Info Entrada'!C213-'Info Entrada'!C219-'Info Entrada'!C220-'Info Entrada'!C231)/('Info Entrada'!C172-'Info Entrada'!C205-'Info Entrada'!C192-'Info Entrada'!C178)</f>
        <v>#DIV/0!</v>
      </c>
      <c r="C48" s="180" t="e">
        <f>('Info Entrada'!D213-'Info Entrada'!D219-'Info Entrada'!D220-'Info Entrada'!D231)/('Info Entrada'!D172-'Info Entrada'!D205-'Info Entrada'!D192-'Info Entrada'!D178)</f>
        <v>#DIV/0!</v>
      </c>
      <c r="D48" s="180" t="e">
        <f>('Info Entrada'!E213-'Info Entrada'!E219-'Info Entrada'!E220-'Info Entrada'!E231)/('Info Entrada'!E172-'Info Entrada'!E205-'Info Entrada'!E192-'Info Entrada'!E178)</f>
        <v>#DIV/0!</v>
      </c>
      <c r="E48" s="180" t="e">
        <f>('Info Entrada'!F213-'Info Entrada'!F219-'Info Entrada'!F220-'Info Entrada'!F231)/('Info Entrada'!F172-'Info Entrada'!F205-'Info Entrada'!F192-'Info Entrada'!F178)</f>
        <v>#DIV/0!</v>
      </c>
      <c r="F48" s="180" t="e">
        <f>('Info Entrada'!G213-'Info Entrada'!G219-'Info Entrada'!G220-'Info Entrada'!G231)/('Info Entrada'!G172-'Info Entrada'!G205-'Info Entrada'!G192-'Info Entrada'!G178)</f>
        <v>#DIV/0!</v>
      </c>
      <c r="H48" s="3500" t="str">
        <f>Cuadros!L51</f>
        <v>Efecto de las diferencias de cambio en Tesorería</v>
      </c>
      <c r="I48" s="3501"/>
      <c r="J48" s="3501"/>
      <c r="K48" s="3501"/>
      <c r="L48" s="181">
        <f>Cuadros!N51/$C$12</f>
        <v>0</v>
      </c>
      <c r="M48" s="181">
        <f>Cuadros!O51/$D$12</f>
        <v>0</v>
      </c>
      <c r="N48" s="181">
        <f>Cuadros!AH51/$F$12</f>
        <v>0</v>
      </c>
    </row>
    <row r="49" spans="8:14" ht="11.25" x14ac:dyDescent="0.15">
      <c r="H49" s="3500" t="str">
        <f>Cuadros!L52</f>
        <v>Variación en Efectivo e Inversiones Temporales</v>
      </c>
      <c r="I49" s="3501"/>
      <c r="J49" s="3501"/>
      <c r="K49" s="3501"/>
      <c r="L49" s="181">
        <f>Cuadros!N52/$C$12</f>
        <v>0</v>
      </c>
      <c r="M49" s="181">
        <f>Cuadros!O52/$D$12</f>
        <v>0</v>
      </c>
      <c r="N49" s="181">
        <f>Cuadros!AH52/$F$12</f>
        <v>0</v>
      </c>
    </row>
    <row r="50" spans="8:14" ht="11.25" x14ac:dyDescent="0.15">
      <c r="H50" s="3500" t="str">
        <f>Cuadros!L53</f>
        <v>Saldo inicial Tesorería</v>
      </c>
      <c r="I50" s="3501"/>
      <c r="J50" s="3501"/>
      <c r="K50" s="3501"/>
      <c r="L50" s="181">
        <f>Cuadros!N53/$C$12</f>
        <v>0</v>
      </c>
      <c r="M50" s="181">
        <f>Cuadros!O53/$D$12</f>
        <v>0</v>
      </c>
      <c r="N50" s="181">
        <f>Cuadros!AH53/$F$12</f>
        <v>0</v>
      </c>
    </row>
    <row r="51" spans="8:14" ht="11.25" x14ac:dyDescent="0.15">
      <c r="H51" s="3500" t="str">
        <f>Cuadros!L54</f>
        <v>Saldo Final Tesorería</v>
      </c>
      <c r="I51" s="3501"/>
      <c r="J51" s="3501"/>
      <c r="K51" s="3501"/>
      <c r="L51" s="181">
        <f>Cuadros!N54/$C$12</f>
        <v>0</v>
      </c>
      <c r="M51" s="181">
        <f>Cuadros!O54/$D$12</f>
        <v>0</v>
      </c>
      <c r="N51" s="181">
        <f>Cuadros!AH54/$F$12</f>
        <v>0</v>
      </c>
    </row>
    <row r="52" spans="8:14" ht="11.25" x14ac:dyDescent="0.15">
      <c r="H52" s="203" t="str">
        <f>Cuadros!L55</f>
        <v>Cuadre de fuentes y usos</v>
      </c>
      <c r="I52" s="202"/>
      <c r="J52" s="202"/>
      <c r="K52" s="202"/>
      <c r="L52" s="198">
        <f ca="1">Cuadros!N55</f>
        <v>0</v>
      </c>
      <c r="M52" s="198">
        <f ca="1">Cuadros!O55</f>
        <v>0</v>
      </c>
      <c r="N52" s="198">
        <f ca="1">Cuadros!AH55</f>
        <v>0</v>
      </c>
    </row>
    <row r="79" spans="1:8" ht="12.75" x14ac:dyDescent="0.2">
      <c r="A79" s="4"/>
      <c r="B79" s="4"/>
      <c r="C79" s="4"/>
      <c r="D79" s="4"/>
      <c r="E79" s="4"/>
      <c r="F79" s="4"/>
      <c r="G79" s="4"/>
      <c r="H79" s="4"/>
    </row>
    <row r="80" spans="1:8" ht="12.75" x14ac:dyDescent="0.2">
      <c r="A80" s="4"/>
      <c r="B80" s="4"/>
      <c r="C80" s="4"/>
      <c r="D80" s="4"/>
      <c r="E80" s="34"/>
      <c r="F80" s="4"/>
      <c r="G80" s="4"/>
      <c r="H80" s="4"/>
    </row>
    <row r="81" spans="1:8" ht="12.75" x14ac:dyDescent="0.2">
      <c r="A81" s="4"/>
      <c r="B81" s="4"/>
      <c r="C81" s="4"/>
      <c r="D81" s="4"/>
      <c r="E81" s="34"/>
      <c r="F81" s="4"/>
      <c r="G81" s="4"/>
      <c r="H81" s="4"/>
    </row>
  </sheetData>
  <mergeCells count="46">
    <mergeCell ref="H50:K50"/>
    <mergeCell ref="H51:K51"/>
    <mergeCell ref="H44:K44"/>
    <mergeCell ref="H45:K45"/>
    <mergeCell ref="H46:K46"/>
    <mergeCell ref="H47:K47"/>
    <mergeCell ref="H48:K48"/>
    <mergeCell ref="H49:K49"/>
    <mergeCell ref="H43:K43"/>
    <mergeCell ref="A34:A35"/>
    <mergeCell ref="B34:F34"/>
    <mergeCell ref="H34:K34"/>
    <mergeCell ref="H35:K35"/>
    <mergeCell ref="H36:K36"/>
    <mergeCell ref="H37:K37"/>
    <mergeCell ref="H38:K38"/>
    <mergeCell ref="H39:K39"/>
    <mergeCell ref="H40:K40"/>
    <mergeCell ref="H41:K41"/>
    <mergeCell ref="H42:K42"/>
    <mergeCell ref="H33:K33"/>
    <mergeCell ref="H22:K23"/>
    <mergeCell ref="L22:O22"/>
    <mergeCell ref="H24:K24"/>
    <mergeCell ref="H25:K25"/>
    <mergeCell ref="H26:K26"/>
    <mergeCell ref="H27:K27"/>
    <mergeCell ref="H28:K28"/>
    <mergeCell ref="H29:K29"/>
    <mergeCell ref="H30:K30"/>
    <mergeCell ref="H31:K31"/>
    <mergeCell ref="H32:K32"/>
    <mergeCell ref="H20:K20"/>
    <mergeCell ref="A5:P5"/>
    <mergeCell ref="A7:P7"/>
    <mergeCell ref="H11:K11"/>
    <mergeCell ref="H12:K12"/>
    <mergeCell ref="A13:A14"/>
    <mergeCell ref="B13:F13"/>
    <mergeCell ref="H13:K13"/>
    <mergeCell ref="H14:K14"/>
    <mergeCell ref="H15:K15"/>
    <mergeCell ref="H16:K16"/>
    <mergeCell ref="H17:K17"/>
    <mergeCell ref="H18:K18"/>
    <mergeCell ref="H19:K19"/>
  </mergeCells>
  <dataValidations count="1">
    <dataValidation type="whole" allowBlank="1" showInputMessage="1" showErrorMessage="1" sqref="B89:F89">
      <formula1>1</formula1>
      <formula2>12</formula2>
    </dataValidation>
  </dataValidations>
  <printOptions horizontalCentered="1" verticalCentered="1"/>
  <pageMargins left="0.39370078740157483" right="0.39370078740157483" top="0.39370078740157483" bottom="0.39370078740157483" header="0" footer="0"/>
  <pageSetup scale="78"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6" tint="0.39997558519241921"/>
  </sheetPr>
  <dimension ref="B1:AJ43"/>
  <sheetViews>
    <sheetView showGridLines="0" workbookViewId="0">
      <selection activeCell="E24" sqref="E24"/>
    </sheetView>
  </sheetViews>
  <sheetFormatPr baseColWidth="10" defaultRowHeight="9" x14ac:dyDescent="0.15"/>
  <cols>
    <col min="1" max="1" width="2.7109375" style="2111" customWidth="1"/>
    <col min="2" max="2" width="16.42578125" style="2111" customWidth="1"/>
    <col min="3" max="3" width="7.7109375" style="2111" customWidth="1"/>
    <col min="4" max="4" width="15.85546875" style="2111" customWidth="1"/>
    <col min="5" max="6" width="7.7109375" style="2111" customWidth="1"/>
    <col min="7" max="7" width="17.85546875" style="2111" customWidth="1"/>
    <col min="8" max="8" width="6.28515625" style="2111" bestFit="1" customWidth="1"/>
    <col min="9" max="9" width="9.7109375" style="2112" customWidth="1"/>
    <col min="10" max="10" width="9.7109375" style="2111" customWidth="1"/>
    <col min="11" max="11" width="2.7109375" style="2111" customWidth="1"/>
    <col min="12" max="12" width="19" style="2111" customWidth="1"/>
    <col min="13" max="13" width="8.7109375" style="2111" bestFit="1" customWidth="1"/>
    <col min="14" max="14" width="18.7109375" style="2111" customWidth="1"/>
    <col min="15" max="15" width="8.7109375" style="2111" customWidth="1"/>
    <col min="16" max="16" width="23.140625" style="2111" bestFit="1" customWidth="1"/>
    <col min="17" max="19" width="9.7109375" style="2111" customWidth="1"/>
    <col min="20" max="20" width="2.7109375" style="2111" customWidth="1"/>
    <col min="21" max="21" width="19" style="2111" customWidth="1"/>
    <col min="22" max="22" width="7.7109375" style="2111" customWidth="1"/>
    <col min="23" max="23" width="20.5703125" style="2111" bestFit="1" customWidth="1"/>
    <col min="24" max="25" width="9.7109375" style="2111" customWidth="1"/>
    <col min="26" max="26" width="23.140625" style="2111" bestFit="1" customWidth="1"/>
    <col min="27" max="29" width="9.7109375" style="2111" customWidth="1"/>
    <col min="30" max="30" width="2.7109375" style="2111" customWidth="1"/>
    <col min="31" max="31" width="20" style="2111" bestFit="1" customWidth="1"/>
    <col min="32" max="32" width="2.7109375" style="2111" customWidth="1"/>
    <col min="33" max="33" width="23.140625" style="2111" customWidth="1"/>
    <col min="34" max="16384" width="11.42578125" style="2111"/>
  </cols>
  <sheetData>
    <row r="1" spans="2:36" x14ac:dyDescent="0.15">
      <c r="B1" s="2110" t="s">
        <v>758</v>
      </c>
      <c r="L1" s="2110" t="s">
        <v>773</v>
      </c>
      <c r="U1" s="2110" t="s">
        <v>774</v>
      </c>
    </row>
    <row r="3" spans="2:36" ht="12.75" customHeight="1" x14ac:dyDescent="0.15">
      <c r="B3" s="3512" t="str">
        <f>IF('Resumen EEFF'!B10="EUR M","Datos relevantes (EUR M)",IF('Resumen EEFF'!B10="EUR MM","Datos relevantes (EUR MM)",IF('Resumen EEFF'!B10="USD M","Datos relevantes (USD M)",IF('Resumen EEFF'!B10="USD MM","Datos relevantes (USD MM)","Datos relevantes (COP MM)"))))</f>
        <v>Datos relevantes (COP MM)</v>
      </c>
      <c r="C3" s="3512"/>
      <c r="D3" s="3512"/>
      <c r="E3" s="3512"/>
      <c r="F3" s="3512"/>
      <c r="G3" s="3512"/>
      <c r="H3" s="3512"/>
      <c r="I3" s="3512"/>
      <c r="J3" s="3512"/>
      <c r="L3" s="3512" t="s">
        <v>133</v>
      </c>
      <c r="M3" s="3512"/>
      <c r="N3" s="3512"/>
      <c r="O3" s="3512"/>
      <c r="P3" s="3512"/>
      <c r="Q3" s="3512"/>
      <c r="R3" s="3512"/>
      <c r="S3" s="3512"/>
      <c r="U3" s="3512" t="s">
        <v>133</v>
      </c>
      <c r="V3" s="3512"/>
      <c r="W3" s="3512"/>
      <c r="X3" s="3512"/>
      <c r="Y3" s="3512"/>
      <c r="Z3" s="3512"/>
      <c r="AA3" s="3512"/>
      <c r="AB3" s="3512"/>
      <c r="AC3" s="3512"/>
      <c r="AE3" s="3514" t="s">
        <v>124</v>
      </c>
      <c r="AF3" s="3515"/>
      <c r="AG3" s="2113"/>
      <c r="AH3" s="2114" t="s">
        <v>118</v>
      </c>
      <c r="AI3" s="2114" t="s">
        <v>118</v>
      </c>
      <c r="AJ3" s="2115" t="s">
        <v>118</v>
      </c>
    </row>
    <row r="4" spans="2:36" x14ac:dyDescent="0.15">
      <c r="B4" s="2116"/>
      <c r="C4" s="2117"/>
      <c r="D4" s="2118"/>
      <c r="E4" s="2117"/>
      <c r="F4" s="2117"/>
      <c r="G4" s="2118"/>
      <c r="H4" s="2117"/>
      <c r="I4" s="2117"/>
      <c r="J4" s="2117"/>
      <c r="L4" s="2116"/>
      <c r="M4" s="2117"/>
      <c r="N4" s="2118"/>
      <c r="O4" s="2117"/>
      <c r="P4" s="2118"/>
      <c r="Q4" s="2117"/>
      <c r="R4" s="2117"/>
      <c r="S4" s="2117"/>
      <c r="U4" s="2116"/>
      <c r="V4" s="2117"/>
      <c r="W4" s="2118"/>
      <c r="X4" s="2117"/>
      <c r="Y4" s="2117"/>
      <c r="Z4" s="2118"/>
      <c r="AA4" s="2117"/>
      <c r="AB4" s="2117"/>
      <c r="AC4" s="2117"/>
      <c r="AE4" s="3514"/>
      <c r="AF4" s="3515"/>
      <c r="AG4" s="2113" t="s">
        <v>125</v>
      </c>
      <c r="AH4" s="2119">
        <v>0</v>
      </c>
      <c r="AI4" s="2119">
        <v>0</v>
      </c>
      <c r="AJ4" s="2120">
        <f>AR!B78</f>
        <v>3</v>
      </c>
    </row>
    <row r="5" spans="2:36" x14ac:dyDescent="0.15">
      <c r="B5" s="2121" t="s">
        <v>251</v>
      </c>
      <c r="C5" s="2122"/>
      <c r="D5" s="2123" t="s">
        <v>759</v>
      </c>
      <c r="E5" s="2124">
        <f>I5</f>
        <v>43100</v>
      </c>
      <c r="F5" s="2124">
        <f>J5</f>
        <v>43465</v>
      </c>
      <c r="G5" s="2123" t="s">
        <v>760</v>
      </c>
      <c r="H5" s="2124">
        <f>IF(General!$D$24="SI",'Resumen EEFF'!C12,'Resumen EEFF'!B12)</f>
        <v>42735</v>
      </c>
      <c r="I5" s="2125">
        <f>IF(General!$D$24="SI",'Resumen EEFF'!D12,'Resumen EEFF'!C12)</f>
        <v>43100</v>
      </c>
      <c r="J5" s="2124">
        <f>IF(General!$D$24="SI",'Resumen EEFF'!V12,'Resumen EEFF'!D12)</f>
        <v>43465</v>
      </c>
      <c r="L5" s="2121" t="s">
        <v>251</v>
      </c>
      <c r="M5" s="2122"/>
      <c r="N5" s="2123" t="s">
        <v>134</v>
      </c>
      <c r="O5" s="2122"/>
      <c r="P5" s="2123" t="str">
        <f>IF('Resumen EEFF'!B10="EUR M","Datos Financieros (€ M)",IF('Resumen EEFF'!B10="EUR MM","Datos Financieros (€ MM)",IF('Resumen EEFF'!B10="USD M","Datos Financieros (USD M)",IF('Resumen EEFF'!B10="USD MM","Datos Financieros (USD MM)","Datos Financieros (COP MM)"))))</f>
        <v>Datos Financieros (COP MM)</v>
      </c>
      <c r="Q5" s="2126">
        <f>H5</f>
        <v>42735</v>
      </c>
      <c r="R5" s="2127">
        <f t="shared" ref="R5:S7" si="0">I5</f>
        <v>43100</v>
      </c>
      <c r="S5" s="2124">
        <f t="shared" si="0"/>
        <v>43465</v>
      </c>
      <c r="U5" s="2121" t="s">
        <v>251</v>
      </c>
      <c r="V5" s="2122"/>
      <c r="W5" s="2123" t="s">
        <v>145</v>
      </c>
      <c r="X5" s="2545" t="str">
        <f t="shared" ref="X5:Y7" si="1">AI3</f>
        <v>dd/mm/aa</v>
      </c>
      <c r="Y5" s="2546" t="str">
        <f t="shared" si="1"/>
        <v>dd/mm/aa</v>
      </c>
      <c r="Z5" s="2123" t="str">
        <f>IF('Resumen EEFF'!B10="EUR M","Datos Financieros (€ M)",IF('Resumen EEFF'!B10="EUR MM","Datos Financieros (€ MM)",IF('Resumen EEFF'!B10="USD M","Datos Financieros (USD M)",IF('Resumen EEFF'!B10="USD MM","Datos Financieros (USD MM)","Datos Financieros (COP MM)"))))</f>
        <v>Datos Financieros (COP MM)</v>
      </c>
      <c r="AA5" s="2126">
        <f>H5</f>
        <v>42735</v>
      </c>
      <c r="AB5" s="2127">
        <f>I5</f>
        <v>43100</v>
      </c>
      <c r="AC5" s="2124">
        <f>J5</f>
        <v>43465</v>
      </c>
      <c r="AE5" s="3514"/>
      <c r="AF5" s="3515"/>
      <c r="AG5" s="2113" t="s">
        <v>126</v>
      </c>
      <c r="AH5" s="2119">
        <v>0</v>
      </c>
      <c r="AI5" s="2119">
        <v>0</v>
      </c>
      <c r="AJ5" s="2120">
        <f>AR!C78</f>
        <v>9</v>
      </c>
    </row>
    <row r="6" spans="2:36" x14ac:dyDescent="0.15">
      <c r="B6" s="2128">
        <f>Cuadros!B36</f>
        <v>0</v>
      </c>
      <c r="C6" s="2129" t="e">
        <f>Cuadros!D36</f>
        <v>#DIV/0!</v>
      </c>
      <c r="D6" s="2130" t="s">
        <v>438</v>
      </c>
      <c r="E6" s="2131" t="e">
        <f>(I6/H6)-1</f>
        <v>#DIV/0!</v>
      </c>
      <c r="F6" s="2132" t="e">
        <f>(((J6/MONTH(J5))*12)/I6)-1</f>
        <v>#DIV/0!</v>
      </c>
      <c r="G6" s="2130" t="s">
        <v>1085</v>
      </c>
      <c r="H6" s="2133">
        <f>IF(General!$D$24="SI",'Resumen EEFF'!C13,'Resumen EEFF'!B13)</f>
        <v>0</v>
      </c>
      <c r="I6" s="2134">
        <f>IF(General!$D$24="SI",'Resumen EEFF'!D13,'Resumen EEFF'!C13)</f>
        <v>0</v>
      </c>
      <c r="J6" s="2133">
        <f>IF(General!$D$24="SI",'Resumen EEFF'!V13,'Resumen EEFF'!D13)</f>
        <v>0</v>
      </c>
      <c r="L6" s="2113">
        <f>Cuadros!B36</f>
        <v>0</v>
      </c>
      <c r="M6" s="2135" t="e">
        <f>Cuadros!D36</f>
        <v>#DIV/0!</v>
      </c>
      <c r="N6" s="2130" t="s">
        <v>135</v>
      </c>
      <c r="O6" s="2136" t="s">
        <v>1087</v>
      </c>
      <c r="P6" s="2130" t="s">
        <v>1085</v>
      </c>
      <c r="Q6" s="2133">
        <f>H6</f>
        <v>0</v>
      </c>
      <c r="R6" s="2134">
        <f t="shared" si="0"/>
        <v>0</v>
      </c>
      <c r="S6" s="2133">
        <f t="shared" si="0"/>
        <v>0</v>
      </c>
      <c r="U6" s="2113">
        <f>Cuadros!B36</f>
        <v>0</v>
      </c>
      <c r="V6" s="2137" t="e">
        <f>Cuadros!D36</f>
        <v>#DIV/0!</v>
      </c>
      <c r="W6" s="2130" t="s">
        <v>146</v>
      </c>
      <c r="X6" s="2547">
        <f t="shared" si="1"/>
        <v>0</v>
      </c>
      <c r="Y6" s="2548">
        <f t="shared" si="1"/>
        <v>3</v>
      </c>
      <c r="Z6" s="2130" t="s">
        <v>1085</v>
      </c>
      <c r="AA6" s="2133">
        <f t="shared" ref="AA6:AA14" si="2">H6</f>
        <v>0</v>
      </c>
      <c r="AB6" s="2134">
        <f t="shared" ref="AB6:AB14" si="3">I6</f>
        <v>0</v>
      </c>
      <c r="AC6" s="2133">
        <f t="shared" ref="AC6:AC14" si="4">J6</f>
        <v>0</v>
      </c>
      <c r="AE6" s="3514"/>
      <c r="AF6" s="3515"/>
      <c r="AG6" s="2113" t="s">
        <v>127</v>
      </c>
      <c r="AH6" s="2119">
        <v>0</v>
      </c>
      <c r="AI6" s="2119">
        <v>0</v>
      </c>
      <c r="AJ6" s="2120">
        <f>AR!D78</f>
        <v>3</v>
      </c>
    </row>
    <row r="7" spans="2:36" x14ac:dyDescent="0.15">
      <c r="B7" s="2113">
        <f>Cuadros!B37</f>
        <v>0</v>
      </c>
      <c r="C7" s="2132" t="e">
        <f>Cuadros!D37</f>
        <v>#DIV/0!</v>
      </c>
      <c r="D7" s="2130" t="s">
        <v>1144</v>
      </c>
      <c r="E7" s="2131" t="e">
        <f>I7/I6</f>
        <v>#DIV/0!</v>
      </c>
      <c r="F7" s="2132" t="e">
        <f>J7/J6</f>
        <v>#DIV/0!</v>
      </c>
      <c r="G7" s="2130" t="s">
        <v>188</v>
      </c>
      <c r="H7" s="2133">
        <f>IF(General!$D$24="SI",'Resumen EEFF'!C19,'Resumen EEFF'!B19)</f>
        <v>0</v>
      </c>
      <c r="I7" s="2134">
        <f>IF(General!$D$24="SI",'Resumen EEFF'!D19,'Resumen EEFF'!C19)</f>
        <v>0</v>
      </c>
      <c r="J7" s="2133">
        <f>IF(General!$D$24="SI",'Resumen EEFF'!V19,'Resumen EEFF'!D19)</f>
        <v>0</v>
      </c>
      <c r="L7" s="2113">
        <f>Cuadros!B37</f>
        <v>0</v>
      </c>
      <c r="M7" s="2135" t="e">
        <f>Cuadros!D37</f>
        <v>#DIV/0!</v>
      </c>
      <c r="N7" s="2130" t="s">
        <v>136</v>
      </c>
      <c r="O7" s="2136" t="s">
        <v>1087</v>
      </c>
      <c r="P7" s="2130" t="s">
        <v>188</v>
      </c>
      <c r="Q7" s="2133">
        <f>H7</f>
        <v>0</v>
      </c>
      <c r="R7" s="2134">
        <f t="shared" si="0"/>
        <v>0</v>
      </c>
      <c r="S7" s="2133">
        <f t="shared" si="0"/>
        <v>0</v>
      </c>
      <c r="U7" s="2113">
        <f>Cuadros!B37</f>
        <v>0</v>
      </c>
      <c r="V7" s="2137" t="e">
        <f>Cuadros!D37</f>
        <v>#DIV/0!</v>
      </c>
      <c r="W7" s="2130" t="s">
        <v>126</v>
      </c>
      <c r="X7" s="2547">
        <f t="shared" si="1"/>
        <v>0</v>
      </c>
      <c r="Y7" s="2548">
        <f t="shared" si="1"/>
        <v>9</v>
      </c>
      <c r="Z7" s="2130" t="s">
        <v>188</v>
      </c>
      <c r="AA7" s="2133">
        <f t="shared" si="2"/>
        <v>0</v>
      </c>
      <c r="AB7" s="2134">
        <f t="shared" si="3"/>
        <v>0</v>
      </c>
      <c r="AC7" s="2133">
        <f t="shared" si="4"/>
        <v>0</v>
      </c>
      <c r="AE7" s="3514"/>
      <c r="AF7" s="3515"/>
      <c r="AG7" s="2113" t="s">
        <v>253</v>
      </c>
      <c r="AH7" s="2119">
        <v>0</v>
      </c>
      <c r="AI7" s="2119">
        <v>0</v>
      </c>
      <c r="AJ7" s="2120">
        <f>AR!E78</f>
        <v>3</v>
      </c>
    </row>
    <row r="8" spans="2:36" x14ac:dyDescent="0.15">
      <c r="B8" s="2113">
        <f>Cuadros!B38</f>
        <v>0</v>
      </c>
      <c r="C8" s="2132" t="e">
        <f>Cuadros!D38</f>
        <v>#DIV/0!</v>
      </c>
      <c r="D8" s="2130" t="s">
        <v>761</v>
      </c>
      <c r="E8" s="2131" t="e">
        <f>(I12-I13)/((I6/MONTH(I$5))*12)</f>
        <v>#DIV/0!</v>
      </c>
      <c r="F8" s="2132" t="e">
        <f>(J12-J13)/((J6/MONTH(J$5))*12)</f>
        <v>#DIV/0!</v>
      </c>
      <c r="G8" s="2130" t="s">
        <v>762</v>
      </c>
      <c r="H8" s="2133">
        <f>IF(General!$D$24="SI",'Resumen EEFF'!C22,'Resumen EEFF'!B22)</f>
        <v>0</v>
      </c>
      <c r="I8" s="2134">
        <f>IF(General!$D$24="SI",'Resumen EEFF'!D22,'Resumen EEFF'!C22)</f>
        <v>0</v>
      </c>
      <c r="J8" s="2133">
        <f>IF(General!$D$24="SI",'Resumen EEFF'!V22,'Resumen EEFF'!D22)</f>
        <v>0</v>
      </c>
      <c r="L8" s="2113">
        <f>Cuadros!B38</f>
        <v>0</v>
      </c>
      <c r="M8" s="2135" t="e">
        <f>Cuadros!D38</f>
        <v>#DIV/0!</v>
      </c>
      <c r="N8" s="2130" t="s">
        <v>137</v>
      </c>
      <c r="O8" s="2136" t="s">
        <v>1087</v>
      </c>
      <c r="P8" s="2130" t="s">
        <v>461</v>
      </c>
      <c r="Q8" s="2133">
        <f t="shared" ref="Q8:Q13" si="5">H9</f>
        <v>0</v>
      </c>
      <c r="R8" s="2134">
        <f t="shared" ref="R8:R13" si="6">I9</f>
        <v>0</v>
      </c>
      <c r="S8" s="2133">
        <f t="shared" ref="S8:S13" si="7">J9</f>
        <v>0</v>
      </c>
      <c r="U8" s="2113">
        <f>Cuadros!B38</f>
        <v>0</v>
      </c>
      <c r="V8" s="2137" t="e">
        <f>Cuadros!D38</f>
        <v>#DIV/0!</v>
      </c>
      <c r="W8" s="2130" t="s">
        <v>147</v>
      </c>
      <c r="X8" s="2547">
        <f>AI6</f>
        <v>0</v>
      </c>
      <c r="Y8" s="2548">
        <f t="shared" ref="Y8:Y18" si="8">AJ6</f>
        <v>3</v>
      </c>
      <c r="Z8" s="2130" t="s">
        <v>762</v>
      </c>
      <c r="AA8" s="2133">
        <f t="shared" si="2"/>
        <v>0</v>
      </c>
      <c r="AB8" s="2134">
        <f t="shared" si="3"/>
        <v>0</v>
      </c>
      <c r="AC8" s="2133">
        <f t="shared" si="4"/>
        <v>0</v>
      </c>
      <c r="AE8" s="3514"/>
      <c r="AF8" s="3515"/>
      <c r="AG8" s="2113" t="s">
        <v>128</v>
      </c>
      <c r="AH8" s="2119">
        <v>0</v>
      </c>
      <c r="AI8" s="2119">
        <v>0</v>
      </c>
      <c r="AJ8" s="2120">
        <f>AR!F78</f>
        <v>3</v>
      </c>
    </row>
    <row r="9" spans="2:36" x14ac:dyDescent="0.15">
      <c r="B9" s="2113">
        <f>Cuadros!B39</f>
        <v>0</v>
      </c>
      <c r="C9" s="2132" t="e">
        <f>Cuadros!D39</f>
        <v>#DIV/0!</v>
      </c>
      <c r="D9" s="2130" t="s">
        <v>763</v>
      </c>
      <c r="E9" s="2138" t="e">
        <f>(I12-I13)/((I7/MONTH(I$5))*12)</f>
        <v>#DIV/0!</v>
      </c>
      <c r="F9" s="2139" t="e">
        <f>(J12-J13)/((J7/MONTH(J$5))*12)</f>
        <v>#DIV/0!</v>
      </c>
      <c r="G9" s="2130" t="s">
        <v>461</v>
      </c>
      <c r="H9" s="2133">
        <f>IF(General!$D$24="SI",'Resumen EEFF'!C35,'Resumen EEFF'!B35)</f>
        <v>0</v>
      </c>
      <c r="I9" s="2134">
        <f>IF(General!$D$24="SI",'Resumen EEFF'!D35,'Resumen EEFF'!C35)</f>
        <v>0</v>
      </c>
      <c r="J9" s="2133">
        <f>IF(General!$D$24="SI",'Resumen EEFF'!V35,'Resumen EEFF'!D35)</f>
        <v>0</v>
      </c>
      <c r="L9" s="2113" t="str">
        <f>IF(Cuadros!B39="","","Otros")</f>
        <v/>
      </c>
      <c r="M9" s="2135" t="str">
        <f>IF(Cuadros!B39="","",1-SUM(M6:M8))</f>
        <v/>
      </c>
      <c r="N9" s="2123" t="s">
        <v>138</v>
      </c>
      <c r="O9" s="2140"/>
      <c r="P9" s="2130" t="s">
        <v>1086</v>
      </c>
      <c r="Q9" s="2133">
        <f t="shared" si="5"/>
        <v>0</v>
      </c>
      <c r="R9" s="2134">
        <f t="shared" ca="1" si="6"/>
        <v>0</v>
      </c>
      <c r="S9" s="2133">
        <f t="shared" ca="1" si="7"/>
        <v>0</v>
      </c>
      <c r="U9" s="2113">
        <f>Cuadros!B39</f>
        <v>0</v>
      </c>
      <c r="V9" s="2137" t="e">
        <f>Cuadros!D39</f>
        <v>#DIV/0!</v>
      </c>
      <c r="W9" s="2130" t="s">
        <v>253</v>
      </c>
      <c r="X9" s="2547">
        <f t="shared" ref="X9:X18" si="9">AI7</f>
        <v>0</v>
      </c>
      <c r="Y9" s="2548">
        <f t="shared" si="8"/>
        <v>3</v>
      </c>
      <c r="Z9" s="2130" t="s">
        <v>461</v>
      </c>
      <c r="AA9" s="2133">
        <f t="shared" si="2"/>
        <v>0</v>
      </c>
      <c r="AB9" s="2134">
        <f t="shared" si="3"/>
        <v>0</v>
      </c>
      <c r="AC9" s="2133">
        <f t="shared" si="4"/>
        <v>0</v>
      </c>
      <c r="AE9" s="3514"/>
      <c r="AF9" s="3515"/>
      <c r="AG9" s="2113" t="s">
        <v>255</v>
      </c>
      <c r="AH9" s="2119">
        <v>0</v>
      </c>
      <c r="AI9" s="2119">
        <v>0</v>
      </c>
      <c r="AJ9" s="2120">
        <f>AR!G78</f>
        <v>3</v>
      </c>
    </row>
    <row r="10" spans="2:36" x14ac:dyDescent="0.15">
      <c r="B10" s="2113" t="str">
        <f>IF(Cuadros!B40="","","Otros")</f>
        <v/>
      </c>
      <c r="C10" s="2135" t="str">
        <f>IF(Cuadros!B40="","",1-SUM(C6:C9))</f>
        <v/>
      </c>
      <c r="D10" s="2130" t="s">
        <v>764</v>
      </c>
      <c r="E10" s="2138" t="e">
        <f ca="1">(I12-I13)/((I10/MONTH(I$5))*12)</f>
        <v>#DIV/0!</v>
      </c>
      <c r="F10" s="2139" t="e">
        <f ca="1">(J12-J13)/((J10/MONTH(J$5))*12)</f>
        <v>#DIV/0!</v>
      </c>
      <c r="G10" s="2130" t="s">
        <v>1086</v>
      </c>
      <c r="H10" s="2133">
        <f>IF(General!$D$24="SI",'Resumen EEFF'!C60,'Resumen EEFF'!B60)</f>
        <v>0</v>
      </c>
      <c r="I10" s="2134">
        <f ca="1">IF(General!$D$24="SI",'Resumen EEFF'!D60,'Resumen EEFF'!C60)</f>
        <v>0</v>
      </c>
      <c r="J10" s="2133">
        <f ca="1">IF(General!$D$24="SI",'Resumen EEFF'!V60,'Resumen EEFF'!D60)</f>
        <v>0</v>
      </c>
      <c r="L10" s="2121" t="s">
        <v>139</v>
      </c>
      <c r="M10" s="2141" t="s">
        <v>118</v>
      </c>
      <c r="N10" s="2130" t="s">
        <v>140</v>
      </c>
      <c r="O10" s="2142" t="e">
        <f>F9</f>
        <v>#DIV/0!</v>
      </c>
      <c r="P10" s="2130" t="s">
        <v>1088</v>
      </c>
      <c r="Q10" s="2133">
        <f t="shared" si="5"/>
        <v>0</v>
      </c>
      <c r="R10" s="2134">
        <f t="shared" si="6"/>
        <v>0</v>
      </c>
      <c r="S10" s="2133">
        <f t="shared" si="7"/>
        <v>0</v>
      </c>
      <c r="U10" s="2113">
        <f>Cuadros!B40</f>
        <v>0</v>
      </c>
      <c r="V10" s="2137" t="e">
        <f>Cuadros!D40</f>
        <v>#DIV/0!</v>
      </c>
      <c r="W10" s="2130" t="s">
        <v>128</v>
      </c>
      <c r="X10" s="2547">
        <f t="shared" si="9"/>
        <v>0</v>
      </c>
      <c r="Y10" s="2548">
        <f t="shared" si="8"/>
        <v>3</v>
      </c>
      <c r="Z10" s="2130" t="s">
        <v>1086</v>
      </c>
      <c r="AA10" s="2133">
        <f t="shared" si="2"/>
        <v>0</v>
      </c>
      <c r="AB10" s="2134">
        <f t="shared" ca="1" si="3"/>
        <v>0</v>
      </c>
      <c r="AC10" s="2133">
        <f t="shared" ca="1" si="4"/>
        <v>0</v>
      </c>
      <c r="AE10" s="3514"/>
      <c r="AF10" s="3515"/>
      <c r="AG10" s="2121" t="s">
        <v>1089</v>
      </c>
      <c r="AH10" s="2143">
        <f>(AH4*0.2)+(AH5*0.15)+(AH6*0.1)+(AH7*0.15)+(AH8*0.25)+(AH9*0.15)</f>
        <v>0</v>
      </c>
      <c r="AI10" s="2143">
        <f t="shared" ref="AI10:AJ10" si="10">(AI4*0.2)+(AI5*0.15)+(AI6*0.1)+(AI7*0.15)+(AI8*0.25)+(AI9*0.15)</f>
        <v>0</v>
      </c>
      <c r="AJ10" s="2143">
        <f t="shared" si="10"/>
        <v>3.9000000000000004</v>
      </c>
    </row>
    <row r="11" spans="2:36" x14ac:dyDescent="0.15">
      <c r="B11" s="2122"/>
      <c r="C11" s="2140"/>
      <c r="D11" s="2130" t="s">
        <v>765</v>
      </c>
      <c r="E11" s="2138" t="e">
        <f>I7/-IF(General!D24="SI",'Resumen EEFF'!D26,'Resumen EEFF'!C26)</f>
        <v>#DIV/0!</v>
      </c>
      <c r="F11" s="2139" t="e">
        <f>J7/-IF(General!E24="SI",'Resumen EEFF'!V26,'Resumen EEFF'!D26)</f>
        <v>#DIV/0!</v>
      </c>
      <c r="G11" s="2130" t="s">
        <v>1088</v>
      </c>
      <c r="H11" s="2133">
        <f>IF(General!$D$24="SI",'Resumen EEFF'!C86,'Resumen EEFF'!B86)</f>
        <v>0</v>
      </c>
      <c r="I11" s="2134">
        <f>IF(General!$D$24="SI",'Resumen EEFF'!D86,'Resumen EEFF'!C86)</f>
        <v>0</v>
      </c>
      <c r="J11" s="2133">
        <f>IF(General!$D$24="SI",'Resumen EEFF'!V86,'Resumen EEFF'!D86)</f>
        <v>0</v>
      </c>
      <c r="L11" s="2113" t="s">
        <v>141</v>
      </c>
      <c r="M11" s="2140" t="s">
        <v>1087</v>
      </c>
      <c r="N11" s="2130" t="s">
        <v>142</v>
      </c>
      <c r="O11" s="2142" t="e">
        <f ca="1">F10</f>
        <v>#DIV/0!</v>
      </c>
      <c r="P11" s="2130" t="s">
        <v>1090</v>
      </c>
      <c r="Q11" s="2133">
        <f t="shared" si="5"/>
        <v>0</v>
      </c>
      <c r="R11" s="2134">
        <f t="shared" si="6"/>
        <v>0</v>
      </c>
      <c r="S11" s="2133">
        <f t="shared" si="7"/>
        <v>0</v>
      </c>
      <c r="U11" s="2113" t="str">
        <f>IF(Cuadros!B41="","","Otros")</f>
        <v/>
      </c>
      <c r="V11" s="2137" t="str">
        <f>IF(Cuadros!B41="","",1-SUM(V6:V10))</f>
        <v/>
      </c>
      <c r="W11" s="2130" t="s">
        <v>255</v>
      </c>
      <c r="X11" s="2547">
        <f t="shared" si="9"/>
        <v>0</v>
      </c>
      <c r="Y11" s="2548">
        <f t="shared" si="8"/>
        <v>3</v>
      </c>
      <c r="Z11" s="2130" t="s">
        <v>1088</v>
      </c>
      <c r="AA11" s="2133">
        <f t="shared" si="2"/>
        <v>0</v>
      </c>
      <c r="AB11" s="2134">
        <f t="shared" si="3"/>
        <v>0</v>
      </c>
      <c r="AC11" s="2133">
        <f t="shared" si="4"/>
        <v>0</v>
      </c>
      <c r="AE11" s="3514"/>
      <c r="AF11" s="3515"/>
      <c r="AG11" s="2113" t="s">
        <v>1091</v>
      </c>
      <c r="AH11" s="2144">
        <v>0</v>
      </c>
      <c r="AI11" s="2144">
        <v>0</v>
      </c>
      <c r="AJ11" s="2145">
        <f>AR!J78</f>
        <v>0</v>
      </c>
    </row>
    <row r="12" spans="2:36" x14ac:dyDescent="0.15">
      <c r="B12" s="2146" t="s">
        <v>1097</v>
      </c>
      <c r="C12" s="2136" t="str">
        <f>IF(AR!D11="SI",AR!V11,"No")</f>
        <v>No</v>
      </c>
      <c r="D12" s="2130" t="s">
        <v>454</v>
      </c>
      <c r="E12" s="2138" t="e">
        <f>(I11-I14)/I14</f>
        <v>#DIV/0!</v>
      </c>
      <c r="F12" s="2139" t="e">
        <f>(J11-J14)/J14</f>
        <v>#DIV/0!</v>
      </c>
      <c r="G12" s="2130" t="s">
        <v>1090</v>
      </c>
      <c r="H12" s="2133">
        <f>IF(General!$D$24="SI",'Resumen EEFF'!C107,'Resumen EEFF'!B107)</f>
        <v>0</v>
      </c>
      <c r="I12" s="2134">
        <f>IF(General!$D$24="SI",'Resumen EEFF'!D107,'Resumen EEFF'!C107)</f>
        <v>0</v>
      </c>
      <c r="J12" s="2133">
        <f>IF(General!$D$24="SI",'Resumen EEFF'!V107,'Resumen EEFF'!D107)</f>
        <v>0</v>
      </c>
      <c r="L12" s="2113" t="s">
        <v>143</v>
      </c>
      <c r="M12" s="2140" t="s">
        <v>1087</v>
      </c>
      <c r="N12" s="2130" t="s">
        <v>454</v>
      </c>
      <c r="O12" s="2142" t="e">
        <f>F12</f>
        <v>#DIV/0!</v>
      </c>
      <c r="P12" s="2130" t="s">
        <v>1092</v>
      </c>
      <c r="Q12" s="2133">
        <f t="shared" si="5"/>
        <v>0</v>
      </c>
      <c r="R12" s="2134">
        <f t="shared" si="6"/>
        <v>0</v>
      </c>
      <c r="S12" s="2133">
        <f t="shared" si="7"/>
        <v>0</v>
      </c>
      <c r="U12" s="2113"/>
      <c r="V12" s="2140"/>
      <c r="W12" s="2123" t="s">
        <v>1089</v>
      </c>
      <c r="X12" s="2549">
        <f t="shared" si="9"/>
        <v>0</v>
      </c>
      <c r="Y12" s="2550">
        <f ca="1">'Simulacion individual'!E101</f>
        <v>3.6</v>
      </c>
      <c r="Z12" s="2130" t="s">
        <v>1090</v>
      </c>
      <c r="AA12" s="2133">
        <f t="shared" si="2"/>
        <v>0</v>
      </c>
      <c r="AB12" s="2134">
        <f t="shared" si="3"/>
        <v>0</v>
      </c>
      <c r="AC12" s="2133">
        <f t="shared" si="4"/>
        <v>0</v>
      </c>
      <c r="AE12" s="3514"/>
      <c r="AF12" s="3515"/>
      <c r="AG12" s="2113" t="s">
        <v>129</v>
      </c>
      <c r="AH12" s="2119">
        <v>0</v>
      </c>
      <c r="AI12" s="2119">
        <v>0</v>
      </c>
      <c r="AJ12" s="2120">
        <f>AR!K78</f>
        <v>0</v>
      </c>
    </row>
    <row r="13" spans="2:36" x14ac:dyDescent="0.15">
      <c r="B13" s="2121" t="s">
        <v>157</v>
      </c>
      <c r="C13" s="2140">
        <f>AR!G10</f>
        <v>0</v>
      </c>
      <c r="D13" s="2130" t="s">
        <v>449</v>
      </c>
      <c r="E13" s="2147" t="e">
        <f>(I11-I14)/I11</f>
        <v>#DIV/0!</v>
      </c>
      <c r="F13" s="2135" t="e">
        <f>(J11-J14)/J11</f>
        <v>#DIV/0!</v>
      </c>
      <c r="G13" s="2130" t="s">
        <v>1092</v>
      </c>
      <c r="H13" s="2133">
        <f>IF(General!$D$24="SI",'Resumen EEFF'!C75,'Resumen EEFF'!B75)</f>
        <v>0</v>
      </c>
      <c r="I13" s="2134">
        <f>IF(General!$D$24="SI",'Resumen EEFF'!D75,'Resumen EEFF'!C75)</f>
        <v>0</v>
      </c>
      <c r="J13" s="2133">
        <f>IF(General!$D$24="SI",'Resumen EEFF'!V75,'Resumen EEFF'!D75)</f>
        <v>0</v>
      </c>
      <c r="L13" s="2113" t="s">
        <v>144</v>
      </c>
      <c r="M13" s="2140" t="s">
        <v>1087</v>
      </c>
      <c r="N13" s="2123" t="s">
        <v>1097</v>
      </c>
      <c r="O13" s="2136" t="str">
        <f>C12</f>
        <v>No</v>
      </c>
      <c r="P13" s="2130" t="s">
        <v>464</v>
      </c>
      <c r="Q13" s="2133">
        <f t="shared" si="5"/>
        <v>0</v>
      </c>
      <c r="R13" s="2134">
        <f t="shared" si="6"/>
        <v>0</v>
      </c>
      <c r="S13" s="2133">
        <f t="shared" si="7"/>
        <v>0</v>
      </c>
      <c r="U13" s="2121" t="s">
        <v>1097</v>
      </c>
      <c r="V13" s="2140" t="str">
        <f>C12</f>
        <v>No</v>
      </c>
      <c r="W13" s="2130" t="s">
        <v>1091</v>
      </c>
      <c r="X13" s="2551">
        <f t="shared" si="9"/>
        <v>0</v>
      </c>
      <c r="Y13" s="2552">
        <f>'Simulacion individual'!E44</f>
        <v>0</v>
      </c>
      <c r="Z13" s="2130" t="s">
        <v>1092</v>
      </c>
      <c r="AA13" s="2133">
        <f t="shared" si="2"/>
        <v>0</v>
      </c>
      <c r="AB13" s="2134">
        <f t="shared" si="3"/>
        <v>0</v>
      </c>
      <c r="AC13" s="2133">
        <f t="shared" si="4"/>
        <v>0</v>
      </c>
      <c r="AE13" s="3514"/>
      <c r="AF13" s="3515"/>
      <c r="AG13" s="2148" t="s">
        <v>130</v>
      </c>
      <c r="AH13" s="2149">
        <f>AR!K78</f>
        <v>0</v>
      </c>
      <c r="AI13" s="2149">
        <f>AR!L78</f>
        <v>0</v>
      </c>
      <c r="AJ13" s="2150">
        <f>AR!M78</f>
        <v>3.9000000000000004</v>
      </c>
    </row>
    <row r="14" spans="2:36" x14ac:dyDescent="0.15">
      <c r="B14" s="2121" t="s">
        <v>158</v>
      </c>
      <c r="C14" s="2140">
        <f>AR!J10</f>
        <v>0</v>
      </c>
      <c r="D14" s="2130"/>
      <c r="E14" s="2122"/>
      <c r="F14" s="2140"/>
      <c r="G14" s="2130" t="s">
        <v>464</v>
      </c>
      <c r="H14" s="2133">
        <f>IF(General!$D$24="SI",'Resumen EEFF'!C102,'Resumen EEFF'!B102)</f>
        <v>0</v>
      </c>
      <c r="I14" s="2134">
        <f>IF(General!$D$24="SI",'Resumen EEFF'!D102,'Resumen EEFF'!C102)</f>
        <v>0</v>
      </c>
      <c r="J14" s="2133">
        <f>IF(General!$D$24="SI",'Resumen EEFF'!V102,'Resumen EEFF'!D102)</f>
        <v>0</v>
      </c>
      <c r="L14" s="3513" t="s">
        <v>772</v>
      </c>
      <c r="M14" s="3513"/>
      <c r="N14" s="3513"/>
      <c r="O14" s="3513"/>
      <c r="P14" s="3513"/>
      <c r="Q14" s="3513"/>
      <c r="R14" s="3513"/>
      <c r="S14" s="3513"/>
      <c r="U14" s="2113"/>
      <c r="V14" s="2140"/>
      <c r="W14" s="2130" t="s">
        <v>1093</v>
      </c>
      <c r="X14" s="2547">
        <f t="shared" si="9"/>
        <v>0</v>
      </c>
      <c r="Y14" s="2548">
        <f>'Simulacion individual'!E45</f>
        <v>0</v>
      </c>
      <c r="Z14" s="2130" t="s">
        <v>464</v>
      </c>
      <c r="AA14" s="2133">
        <f t="shared" si="2"/>
        <v>0</v>
      </c>
      <c r="AB14" s="2134">
        <f t="shared" si="3"/>
        <v>0</v>
      </c>
      <c r="AC14" s="2133">
        <f t="shared" si="4"/>
        <v>0</v>
      </c>
      <c r="AE14" s="3514"/>
      <c r="AF14" s="3515"/>
      <c r="AG14" s="2113"/>
      <c r="AH14" s="2151"/>
      <c r="AI14" s="2151"/>
      <c r="AJ14" s="2122"/>
    </row>
    <row r="15" spans="2:36" x14ac:dyDescent="0.15">
      <c r="B15" s="2121" t="s">
        <v>766</v>
      </c>
      <c r="C15" s="2152">
        <f>Cuadros!C2</f>
        <v>40908</v>
      </c>
      <c r="D15" s="2123" t="s">
        <v>425</v>
      </c>
      <c r="E15" s="2153" t="s">
        <v>426</v>
      </c>
      <c r="F15" s="2154" t="s">
        <v>421</v>
      </c>
      <c r="G15" s="2130"/>
      <c r="H15" s="2122"/>
      <c r="I15" s="2122"/>
      <c r="J15" s="2122"/>
      <c r="U15" s="2121" t="s">
        <v>139</v>
      </c>
      <c r="V15" s="2140"/>
      <c r="W15" s="2123" t="s">
        <v>130</v>
      </c>
      <c r="X15" s="2549">
        <f t="shared" si="9"/>
        <v>0</v>
      </c>
      <c r="Y15" s="2550">
        <f ca="1">'Simulacion individual'!E107</f>
        <v>3.6</v>
      </c>
      <c r="Z15" s="2123" t="s">
        <v>148</v>
      </c>
      <c r="AA15" s="2122"/>
      <c r="AB15" s="2122"/>
      <c r="AC15" s="2122"/>
      <c r="AE15" s="3514"/>
      <c r="AF15" s="3515"/>
      <c r="AG15" s="2155" t="s">
        <v>131</v>
      </c>
      <c r="AH15" s="2156">
        <v>0</v>
      </c>
      <c r="AI15" s="2156">
        <v>0</v>
      </c>
      <c r="AJ15" s="2120">
        <v>0</v>
      </c>
    </row>
    <row r="16" spans="2:36" x14ac:dyDescent="0.15">
      <c r="B16" s="2157">
        <f>Cuadros!B4</f>
        <v>0</v>
      </c>
      <c r="C16" s="2158">
        <f>IF('Resumen EEFF'!$B$10="COP MM",Cuadros!G4,Cuadros!H4)</f>
        <v>0</v>
      </c>
      <c r="D16" s="2159">
        <f>Cuadros!I4</f>
        <v>0</v>
      </c>
      <c r="E16" s="2133">
        <f>Cuadros!J4</f>
        <v>0</v>
      </c>
      <c r="F16" s="2160">
        <f>Cuadros!C4/General!$E$30</f>
        <v>0</v>
      </c>
      <c r="G16" s="2123" t="s">
        <v>379</v>
      </c>
      <c r="H16" s="2122"/>
      <c r="I16" s="2122"/>
      <c r="J16" s="2122"/>
      <c r="U16" s="2113" t="s">
        <v>141</v>
      </c>
      <c r="V16" s="2140" t="s">
        <v>1087</v>
      </c>
      <c r="W16" s="2130"/>
      <c r="X16" s="2547"/>
      <c r="Y16" s="2553"/>
      <c r="Z16" s="2130" t="s">
        <v>1094</v>
      </c>
      <c r="AA16" s="2138">
        <f>IF(General!$D$24="SI",'Resumen EEFF'!C113,'Resumen EEFF'!B113)</f>
        <v>0</v>
      </c>
      <c r="AB16" s="2161">
        <f>IF(General!$D$24="SI",'Resumen EEFF'!D113,'Resumen EEFF'!C113)</f>
        <v>0</v>
      </c>
      <c r="AC16" s="2138">
        <f>IF(General!$D$24="SI",'Resumen EEFF'!V113,'Resumen EEFF'!D113)</f>
        <v>0</v>
      </c>
      <c r="AE16" s="3514"/>
      <c r="AF16" s="3515"/>
      <c r="AG16" s="2113" t="s">
        <v>132</v>
      </c>
      <c r="AH16" s="2162">
        <v>0</v>
      </c>
      <c r="AI16" s="2162">
        <v>0</v>
      </c>
      <c r="AJ16" s="2163">
        <v>0</v>
      </c>
    </row>
    <row r="17" spans="2:36" x14ac:dyDescent="0.15">
      <c r="B17" s="2157">
        <f>Cuadros!B5</f>
        <v>0</v>
      </c>
      <c r="C17" s="2158">
        <f>IF('Resumen EEFF'!$B$10="COP MM",Cuadros!G5,Cuadros!H5)</f>
        <v>0</v>
      </c>
      <c r="D17" s="2159">
        <f>Cuadros!I5</f>
        <v>0</v>
      </c>
      <c r="E17" s="2133">
        <f>Cuadros!J5</f>
        <v>0</v>
      </c>
      <c r="F17" s="2160">
        <f>Cuadros!C5/General!$E$30</f>
        <v>0</v>
      </c>
      <c r="G17" s="2130" t="s">
        <v>767</v>
      </c>
      <c r="H17" s="2164" t="e">
        <f>IF(General!$D$24="SI",Indicadores!E33,Indicadores!D33)</f>
        <v>#DIV/0!</v>
      </c>
      <c r="I17" s="2165" t="e">
        <f>IF(General!$D$24="SI",Indicadores!F33,Indicadores!E33)</f>
        <v>#DIV/0!</v>
      </c>
      <c r="J17" s="2164" t="e">
        <f>IF(General!$D$24="SI",Indicadores!H33,Indicadores!F33)</f>
        <v>#DIV/0!</v>
      </c>
      <c r="U17" s="2113" t="s">
        <v>143</v>
      </c>
      <c r="V17" s="2140" t="s">
        <v>1087</v>
      </c>
      <c r="W17" s="2166" t="s">
        <v>131</v>
      </c>
      <c r="X17" s="2554">
        <f t="shared" si="9"/>
        <v>0</v>
      </c>
      <c r="Y17" s="2548">
        <f ca="1">'Simulacion individual'!E73</f>
        <v>3.6</v>
      </c>
      <c r="Z17" s="2130" t="s">
        <v>149</v>
      </c>
      <c r="AA17" s="2138" t="str">
        <f>IF(General!$D$24="SI",'Resumen EEFF'!C114,'Resumen EEFF'!B114)</f>
        <v>n.d.</v>
      </c>
      <c r="AB17" s="2161" t="str">
        <f>IF(General!$D$24="SI",'Resumen EEFF'!D114,'Resumen EEFF'!C114)</f>
        <v>n.d.</v>
      </c>
      <c r="AC17" s="2138" t="str">
        <f>IF(General!$D$24="SI",'Resumen EEFF'!V114,'Resumen EEFF'!D114)</f>
        <v>n.d.</v>
      </c>
      <c r="AE17" s="3514"/>
      <c r="AF17" s="3515"/>
      <c r="AG17" s="3513" t="s">
        <v>772</v>
      </c>
      <c r="AH17" s="3513"/>
      <c r="AI17" s="3513"/>
      <c r="AJ17" s="3513"/>
    </row>
    <row r="18" spans="2:36" x14ac:dyDescent="0.15">
      <c r="B18" s="2157">
        <f>Cuadros!B6</f>
        <v>0</v>
      </c>
      <c r="C18" s="2158">
        <f>IF('Resumen EEFF'!$B$10="COP MM",Cuadros!G6,Cuadros!H6)</f>
        <v>0</v>
      </c>
      <c r="D18" s="2159">
        <f>Cuadros!I6</f>
        <v>0</v>
      </c>
      <c r="E18" s="2133">
        <f>Cuadros!J6</f>
        <v>0</v>
      </c>
      <c r="F18" s="2160">
        <f>Cuadros!C6/General!$E$30</f>
        <v>0</v>
      </c>
      <c r="G18" s="2130" t="s">
        <v>769</v>
      </c>
      <c r="H18" s="2164">
        <f>IF(General!$D$24="SI",Indicadores!E34,Indicadores!D34)</f>
        <v>0</v>
      </c>
      <c r="I18" s="2165">
        <f>IF(General!$D$24="SI",Indicadores!F34,Indicadores!E34)</f>
        <v>0</v>
      </c>
      <c r="J18" s="2164">
        <f>IF(General!$D$24="SI",Indicadores!H34,Indicadores!F34)</f>
        <v>0</v>
      </c>
      <c r="U18" s="2113" t="s">
        <v>144</v>
      </c>
      <c r="V18" s="2140" t="s">
        <v>1087</v>
      </c>
      <c r="W18" s="2130" t="s">
        <v>132</v>
      </c>
      <c r="X18" s="2555">
        <f t="shared" si="9"/>
        <v>0</v>
      </c>
      <c r="Y18" s="2556">
        <f t="shared" si="8"/>
        <v>0</v>
      </c>
      <c r="Z18" s="2130" t="s">
        <v>454</v>
      </c>
      <c r="AA18" s="2138">
        <f>IF(General!$D$24="SI",'Resumen EEFF'!C110,'Resumen EEFF'!B110)</f>
        <v>0</v>
      </c>
      <c r="AB18" s="2161">
        <f>IF(General!$D$24="SI",'Resumen EEFF'!D110,'Resumen EEFF'!C110)</f>
        <v>0</v>
      </c>
      <c r="AC18" s="2138">
        <f>IF(General!$D$24="SI",'Resumen EEFF'!V110,'Resumen EEFF'!D110)</f>
        <v>0</v>
      </c>
    </row>
    <row r="19" spans="2:36" x14ac:dyDescent="0.15">
      <c r="B19" s="2167" t="s">
        <v>770</v>
      </c>
      <c r="C19" s="2158">
        <f>(IF('Resumen EEFF'!$B$10="COP MM",Cuadros!G20,Cuadros!H20))-C16-C17-C18</f>
        <v>0</v>
      </c>
      <c r="D19" s="2159">
        <f>Cuadros!I7</f>
        <v>0</v>
      </c>
      <c r="E19" s="2133">
        <f>Cuadros!J7</f>
        <v>0</v>
      </c>
      <c r="F19" s="2160">
        <f>(Cuadros!C20/General!$E$30)-'Datos relevantes'!F16-'Datos relevantes'!F17-'Datos relevantes'!F18</f>
        <v>0</v>
      </c>
      <c r="G19" s="2130" t="s">
        <v>771</v>
      </c>
      <c r="H19" s="2164" t="e">
        <f>IF(General!$D$24="SI",Indicadores!E35,Indicadores!D35)</f>
        <v>#DIV/0!</v>
      </c>
      <c r="I19" s="2165" t="e">
        <f>IF(General!$D$24="SI",Indicadores!F35,Indicadores!E35)</f>
        <v>#DIV/0!</v>
      </c>
      <c r="J19" s="2164" t="e">
        <f>IF(General!$D$24="SI",Indicadores!H35,Indicadores!F35)</f>
        <v>#DIV/0!</v>
      </c>
      <c r="U19" s="3513" t="s">
        <v>772</v>
      </c>
      <c r="V19" s="3513"/>
      <c r="W19" s="3513"/>
      <c r="X19" s="3513"/>
      <c r="Y19" s="3513"/>
      <c r="Z19" s="3513"/>
      <c r="AA19" s="3513"/>
      <c r="AB19" s="3513"/>
      <c r="AC19" s="3513"/>
    </row>
    <row r="20" spans="2:36" x14ac:dyDescent="0.15">
      <c r="B20" s="3513" t="s">
        <v>772</v>
      </c>
      <c r="C20" s="3513"/>
      <c r="D20" s="3513"/>
      <c r="E20" s="3513"/>
      <c r="F20" s="3513"/>
      <c r="G20" s="3513"/>
      <c r="H20" s="3513"/>
      <c r="I20" s="3513"/>
      <c r="J20" s="3513"/>
    </row>
    <row r="21" spans="2:36" x14ac:dyDescent="0.15">
      <c r="W21" s="2168"/>
    </row>
    <row r="22" spans="2:36" x14ac:dyDescent="0.15">
      <c r="W22" s="2169"/>
      <c r="Z22" s="2542" t="s">
        <v>3046</v>
      </c>
    </row>
    <row r="23" spans="2:36" x14ac:dyDescent="0.15">
      <c r="B23" s="2110" t="s">
        <v>758</v>
      </c>
      <c r="W23" s="2168"/>
      <c r="Z23" s="2543" t="s">
        <v>3041</v>
      </c>
    </row>
    <row r="24" spans="2:36" x14ac:dyDescent="0.15">
      <c r="W24" s="2168"/>
      <c r="Z24" s="2543" t="s">
        <v>3042</v>
      </c>
    </row>
    <row r="25" spans="2:36" x14ac:dyDescent="0.15">
      <c r="B25" s="3512" t="s">
        <v>1793</v>
      </c>
      <c r="C25" s="3512"/>
      <c r="D25" s="3512"/>
      <c r="E25" s="3512"/>
      <c r="F25" s="3512"/>
      <c r="G25" s="3512"/>
      <c r="H25" s="3512"/>
      <c r="I25" s="3512"/>
      <c r="J25" s="3512"/>
      <c r="Z25" s="2543" t="s">
        <v>3043</v>
      </c>
    </row>
    <row r="26" spans="2:36" x14ac:dyDescent="0.15">
      <c r="B26" s="2170" t="s">
        <v>402</v>
      </c>
      <c r="C26" s="2170"/>
      <c r="D26" s="2170"/>
      <c r="E26" s="2170"/>
      <c r="F26" s="2170"/>
      <c r="G26" s="2170"/>
      <c r="H26" s="2170"/>
      <c r="I26" s="2170"/>
      <c r="J26" s="2170"/>
      <c r="Z26" s="2543" t="s">
        <v>3044</v>
      </c>
    </row>
    <row r="27" spans="2:36" x14ac:dyDescent="0.15">
      <c r="B27" s="2116"/>
      <c r="C27" s="2117"/>
      <c r="D27" s="2118"/>
      <c r="E27" s="2117"/>
      <c r="F27" s="2117"/>
      <c r="G27" s="2118"/>
      <c r="H27" s="2117"/>
      <c r="I27" s="2117"/>
      <c r="J27" s="2117"/>
      <c r="Z27" s="2544" t="s">
        <v>3045</v>
      </c>
    </row>
    <row r="28" spans="2:36" x14ac:dyDescent="0.15">
      <c r="B28" s="2121" t="s">
        <v>251</v>
      </c>
      <c r="C28" s="2122"/>
      <c r="D28" s="2123" t="s">
        <v>759</v>
      </c>
      <c r="E28" s="2124">
        <f>I28</f>
        <v>0</v>
      </c>
      <c r="F28" s="2124">
        <f>J28</f>
        <v>0</v>
      </c>
      <c r="G28" s="2123" t="s">
        <v>760</v>
      </c>
      <c r="H28" s="2124">
        <f>IF(General!$D$24="SI",'Resumen EEFF'!C34,'Resumen EEFF'!B34)</f>
        <v>0</v>
      </c>
      <c r="I28" s="2125">
        <f>IF(General!$D$24="SI",'Resumen EEFF'!D34,'Resumen EEFF'!C34)</f>
        <v>0</v>
      </c>
      <c r="J28" s="2124">
        <f>IF(General!$D$24="SI",'Resumen EEFF'!V34,'Resumen EEFF'!D34)</f>
        <v>0</v>
      </c>
      <c r="Z28" s="2541"/>
    </row>
    <row r="29" spans="2:36" x14ac:dyDescent="0.15">
      <c r="B29" s="2128">
        <f t="shared" ref="B29:C32" si="11">+B6</f>
        <v>0</v>
      </c>
      <c r="C29" s="2128" t="e">
        <f t="shared" si="11"/>
        <v>#DIV/0!</v>
      </c>
      <c r="D29" s="2130" t="s">
        <v>438</v>
      </c>
      <c r="E29" s="2131" t="e">
        <f>(I29/H29)-1</f>
        <v>#DIV/0!</v>
      </c>
      <c r="F29" s="2132" t="e">
        <f>(((J29/MONTH(J28))*12)/I29)-1</f>
        <v>#DIV/0!</v>
      </c>
      <c r="G29" s="2130" t="s">
        <v>1085</v>
      </c>
      <c r="H29" s="2133">
        <f>IF(General!$D$24="SI",'Resumen EEFF'!C35,'Resumen EEFF'!B35)</f>
        <v>0</v>
      </c>
      <c r="I29" s="2134">
        <f>IF(General!$D$24="SI",'Resumen EEFF'!D35,'Resumen EEFF'!C35)</f>
        <v>0</v>
      </c>
      <c r="J29" s="2133">
        <f>IF(General!$D$24="SI",'Resumen EEFF'!V35,'Resumen EEFF'!D35)</f>
        <v>0</v>
      </c>
      <c r="Z29" s="2541"/>
    </row>
    <row r="30" spans="2:36" x14ac:dyDescent="0.15">
      <c r="B30" s="2128">
        <f t="shared" si="11"/>
        <v>0</v>
      </c>
      <c r="C30" s="2128" t="e">
        <f t="shared" si="11"/>
        <v>#DIV/0!</v>
      </c>
      <c r="D30" s="2130" t="s">
        <v>1144</v>
      </c>
      <c r="E30" s="2131" t="e">
        <f>I30/I29</f>
        <v>#DIV/0!</v>
      </c>
      <c r="F30" s="2132" t="e">
        <f>J30/J29</f>
        <v>#DIV/0!</v>
      </c>
      <c r="G30" s="2130" t="s">
        <v>188</v>
      </c>
      <c r="H30" s="2133">
        <f>IF(General!$D$24="SI",'Resumen EEFF'!C41,'Resumen EEFF'!B41)</f>
        <v>2</v>
      </c>
      <c r="I30" s="2134">
        <f>IF(General!$D$24="SI",'Resumen EEFF'!D41,'Resumen EEFF'!C41)</f>
        <v>2</v>
      </c>
      <c r="J30" s="2133">
        <f>IF(General!$D$24="SI",'Resumen EEFF'!V41,'Resumen EEFF'!D41)</f>
        <v>3</v>
      </c>
      <c r="Z30" s="2541"/>
    </row>
    <row r="31" spans="2:36" x14ac:dyDescent="0.15">
      <c r="B31" s="2128">
        <f t="shared" si="11"/>
        <v>0</v>
      </c>
      <c r="C31" s="2128" t="e">
        <f t="shared" si="11"/>
        <v>#DIV/0!</v>
      </c>
      <c r="D31" s="2130" t="s">
        <v>761</v>
      </c>
      <c r="E31" s="2131" t="e">
        <f>(I35-I36)/((I29/MONTH(I$5))*12)</f>
        <v>#DIV/0!</v>
      </c>
      <c r="F31" s="2132" t="e">
        <f>(J35-J36)/((J29/MONTH(J$5))*12)</f>
        <v>#DIV/0!</v>
      </c>
      <c r="G31" s="2130" t="s">
        <v>762</v>
      </c>
      <c r="H31" s="2133">
        <f>IF(General!$D$24="SI",'Resumen EEFF'!C44,'Resumen EEFF'!B44)</f>
        <v>0</v>
      </c>
      <c r="I31" s="2134">
        <f ca="1">IF(General!$D$24="SI",'Resumen EEFF'!D44,'Resumen EEFF'!C44)</f>
        <v>0</v>
      </c>
      <c r="J31" s="2133">
        <f ca="1">IF(General!$D$24="SI",'Resumen EEFF'!V44,'Resumen EEFF'!D44)</f>
        <v>0</v>
      </c>
      <c r="Z31" s="2541"/>
    </row>
    <row r="32" spans="2:36" x14ac:dyDescent="0.15">
      <c r="B32" s="2128">
        <f t="shared" si="11"/>
        <v>0</v>
      </c>
      <c r="C32" s="2128" t="e">
        <f t="shared" si="11"/>
        <v>#DIV/0!</v>
      </c>
      <c r="D32" s="2130" t="s">
        <v>763</v>
      </c>
      <c r="E32" s="2138">
        <f>(I35-I36)/((I30/MONTH(I$5))*12)</f>
        <v>0</v>
      </c>
      <c r="F32" s="2139">
        <f>(J35-J36)/((J30/MONTH(J$5))*12)</f>
        <v>0</v>
      </c>
      <c r="G32" s="2130" t="s">
        <v>461</v>
      </c>
      <c r="H32" s="2133">
        <f>IF(General!$D$24="SI",'Resumen EEFF'!C55,'Resumen EEFF'!B55)</f>
        <v>0</v>
      </c>
      <c r="I32" s="2134">
        <f ca="1">IF(General!$D$24="SI",'Resumen EEFF'!D55,'Resumen EEFF'!C55)</f>
        <v>0</v>
      </c>
      <c r="J32" s="2133">
        <f ca="1">IF(General!$D$24="SI",'Resumen EEFF'!V55,'Resumen EEFF'!D55)</f>
        <v>0</v>
      </c>
      <c r="Z32" s="2541"/>
    </row>
    <row r="33" spans="2:10" x14ac:dyDescent="0.15">
      <c r="B33" s="2113" t="str">
        <f>IF(Cuadros!B62="","","Otros")</f>
        <v/>
      </c>
      <c r="C33" s="2135" t="str">
        <f>IF(Cuadros!B62="","",1-SUM(C29:C32))</f>
        <v/>
      </c>
      <c r="D33" s="2130" t="s">
        <v>764</v>
      </c>
      <c r="E33" s="2138" t="e">
        <f>(I35-I36)/((I33/MONTH(I$5))*12)</f>
        <v>#DIV/0!</v>
      </c>
      <c r="F33" s="2139" t="e">
        <f>(J35-J36)/((J33/MONTH(J$5))*12)</f>
        <v>#DIV/0!</v>
      </c>
      <c r="G33" s="2130" t="s">
        <v>1086</v>
      </c>
      <c r="H33" s="2133">
        <f>IF(General!$D$24="SI",'Resumen EEFF'!C80,'Resumen EEFF'!B80)</f>
        <v>0</v>
      </c>
      <c r="I33" s="2134">
        <f>IF(General!$D$24="SI",'Resumen EEFF'!D80,'Resumen EEFF'!C80)</f>
        <v>0</v>
      </c>
      <c r="J33" s="2133">
        <f>IF(General!$D$24="SI",'Resumen EEFF'!V80,'Resumen EEFF'!D80)</f>
        <v>0</v>
      </c>
    </row>
    <row r="34" spans="2:10" x14ac:dyDescent="0.15">
      <c r="B34" s="2122"/>
      <c r="C34" s="2140"/>
      <c r="D34" s="2130" t="s">
        <v>765</v>
      </c>
      <c r="E34" s="2138" t="e">
        <f>I30/-IF(General!D46="SI",'Resumen EEFF'!D46,'Resumen EEFF'!C46)</f>
        <v>#DIV/0!</v>
      </c>
      <c r="F34" s="2139" t="e">
        <f>J30/-IF(General!E46="SI",'Resumen EEFF'!V46,'Resumen EEFF'!D46)</f>
        <v>#DIV/0!</v>
      </c>
      <c r="G34" s="2130" t="s">
        <v>1088</v>
      </c>
      <c r="H34" s="2133">
        <f>IF(General!$D$24="SI",'Resumen EEFF'!C106,'Resumen EEFF'!B106)</f>
        <v>42735</v>
      </c>
      <c r="I34" s="2134">
        <f>IF(General!$D$24="SI",'Resumen EEFF'!D106,'Resumen EEFF'!C106)</f>
        <v>43100</v>
      </c>
      <c r="J34" s="2133">
        <f>IF(General!$D$24="SI",'Resumen EEFF'!V106,'Resumen EEFF'!D106)</f>
        <v>43465</v>
      </c>
    </row>
    <row r="35" spans="2:10" x14ac:dyDescent="0.15">
      <c r="B35" s="2146" t="s">
        <v>1097</v>
      </c>
      <c r="C35" s="2136" t="str">
        <f>+C12</f>
        <v>No</v>
      </c>
      <c r="D35" s="2130" t="s">
        <v>454</v>
      </c>
      <c r="E35" s="2138" t="e">
        <f>(I34-I37)/I37</f>
        <v>#DIV/0!</v>
      </c>
      <c r="F35" s="2139" t="e">
        <f>(J34-J37)/J37</f>
        <v>#DIV/0!</v>
      </c>
      <c r="G35" s="2130" t="s">
        <v>1090</v>
      </c>
      <c r="H35" s="2133">
        <f>IF(General!$D$24="SI",'Resumen EEFF'!C130,'Resumen EEFF'!B130)</f>
        <v>0</v>
      </c>
      <c r="I35" s="2134">
        <f>IF(General!$D$24="SI",'Resumen EEFF'!D130,'Resumen EEFF'!C130)</f>
        <v>0</v>
      </c>
      <c r="J35" s="2133">
        <f>IF(General!$D$24="SI",'Resumen EEFF'!V130,'Resumen EEFF'!D130)</f>
        <v>0</v>
      </c>
    </row>
    <row r="36" spans="2:10" x14ac:dyDescent="0.15">
      <c r="B36" s="2121" t="s">
        <v>157</v>
      </c>
      <c r="C36" s="2140">
        <f>+C13</f>
        <v>0</v>
      </c>
      <c r="D36" s="2130" t="s">
        <v>449</v>
      </c>
      <c r="E36" s="2147">
        <f>(I34-I37)/I34</f>
        <v>1</v>
      </c>
      <c r="F36" s="2135">
        <f>(J34-J37)/J34</f>
        <v>1</v>
      </c>
      <c r="G36" s="2130" t="s">
        <v>1092</v>
      </c>
      <c r="H36" s="2133">
        <f>IF(General!$D$24="SI",'Resumen EEFF'!C97,'Resumen EEFF'!B97)</f>
        <v>0</v>
      </c>
      <c r="I36" s="2134">
        <f>IF(General!$D$24="SI",'Resumen EEFF'!D97,'Resumen EEFF'!C97)</f>
        <v>0</v>
      </c>
      <c r="J36" s="2133">
        <f>IF(General!$D$24="SI",'Resumen EEFF'!V97,'Resumen EEFF'!D97)</f>
        <v>0</v>
      </c>
    </row>
    <row r="37" spans="2:10" x14ac:dyDescent="0.15">
      <c r="B37" s="2121" t="s">
        <v>158</v>
      </c>
      <c r="C37" s="2140">
        <f>+C14</f>
        <v>0</v>
      </c>
      <c r="D37" s="2130"/>
      <c r="E37" s="2122"/>
      <c r="F37" s="2140"/>
      <c r="G37" s="2130" t="s">
        <v>464</v>
      </c>
      <c r="H37" s="2133">
        <f>IF(General!$D$24="SI",'Resumen EEFF'!C123,'Resumen EEFF'!B123)</f>
        <v>0</v>
      </c>
      <c r="I37" s="2134">
        <f>IF(General!$D$24="SI",'Resumen EEFF'!D123,'Resumen EEFF'!C123)</f>
        <v>0</v>
      </c>
      <c r="J37" s="2133">
        <f>IF(General!$D$24="SI",'Resumen EEFF'!V123,'Resumen EEFF'!D123)</f>
        <v>0</v>
      </c>
    </row>
    <row r="38" spans="2:10" x14ac:dyDescent="0.15">
      <c r="B38" s="2121" t="s">
        <v>766</v>
      </c>
      <c r="C38" s="2152">
        <f>+C15</f>
        <v>40908</v>
      </c>
      <c r="D38" s="2123" t="s">
        <v>425</v>
      </c>
      <c r="E38" s="2153" t="s">
        <v>426</v>
      </c>
      <c r="F38" s="2154" t="s">
        <v>421</v>
      </c>
      <c r="G38" s="2130"/>
      <c r="H38" s="2122"/>
      <c r="I38" s="2122"/>
      <c r="J38" s="2122"/>
    </row>
    <row r="39" spans="2:10" x14ac:dyDescent="0.15">
      <c r="B39" s="2171">
        <f>Cuadros!B26</f>
        <v>0</v>
      </c>
      <c r="C39" s="2158">
        <f>Cuadros!G26</f>
        <v>0</v>
      </c>
      <c r="D39" s="2159">
        <f t="shared" ref="D39:F42" si="12">+D16</f>
        <v>0</v>
      </c>
      <c r="E39" s="2159">
        <f t="shared" si="12"/>
        <v>0</v>
      </c>
      <c r="F39" s="2159">
        <f t="shared" si="12"/>
        <v>0</v>
      </c>
      <c r="G39" s="2123" t="s">
        <v>379</v>
      </c>
      <c r="H39" s="2122"/>
      <c r="I39" s="2122"/>
      <c r="J39" s="2122"/>
    </row>
    <row r="40" spans="2:10" x14ac:dyDescent="0.15">
      <c r="B40" s="2171">
        <f>Cuadros!B27</f>
        <v>0</v>
      </c>
      <c r="C40" s="2158">
        <f>Cuadros!G27</f>
        <v>0</v>
      </c>
      <c r="D40" s="2159">
        <f t="shared" si="12"/>
        <v>0</v>
      </c>
      <c r="E40" s="2159">
        <f t="shared" si="12"/>
        <v>0</v>
      </c>
      <c r="F40" s="2159">
        <f t="shared" si="12"/>
        <v>0</v>
      </c>
      <c r="G40" s="2130" t="s">
        <v>767</v>
      </c>
      <c r="H40" s="2164">
        <f>IF(General!$D$24="SI",Indicadores!E55,Indicadores!D55)</f>
        <v>0</v>
      </c>
      <c r="I40" s="2165">
        <f>IF(General!$D$24="SI",Indicadores!F55,Indicadores!E55)</f>
        <v>0</v>
      </c>
      <c r="J40" s="2164">
        <f>IF(General!$D$24="SI",Indicadores!H55,Indicadores!F55)</f>
        <v>0</v>
      </c>
    </row>
    <row r="41" spans="2:10" x14ac:dyDescent="0.15">
      <c r="B41" s="2113" t="s">
        <v>768</v>
      </c>
      <c r="C41" s="2158">
        <f>SUM(Cuadros!G26:G40)-C39-C40</f>
        <v>0</v>
      </c>
      <c r="D41" s="2159">
        <f t="shared" si="12"/>
        <v>0</v>
      </c>
      <c r="E41" s="2159">
        <f t="shared" si="12"/>
        <v>0</v>
      </c>
      <c r="F41" s="2159">
        <f t="shared" si="12"/>
        <v>0</v>
      </c>
      <c r="G41" s="2130" t="s">
        <v>769</v>
      </c>
      <c r="H41" s="2164">
        <f>IF(General!$D$24="SI",Indicadores!E56,Indicadores!D56)</f>
        <v>0</v>
      </c>
      <c r="I41" s="2165">
        <f>IF(General!$D$24="SI",Indicadores!F56,Indicadores!E56)</f>
        <v>0</v>
      </c>
      <c r="J41" s="2164">
        <f>IF(General!$D$24="SI",Indicadores!H56,Indicadores!F56)</f>
        <v>0</v>
      </c>
    </row>
    <row r="42" spans="2:10" x14ac:dyDescent="0.15">
      <c r="B42" s="2113" t="s">
        <v>770</v>
      </c>
      <c r="C42" s="2158">
        <f>SUM(Cuadros!G41:G49)</f>
        <v>0</v>
      </c>
      <c r="D42" s="2159">
        <f t="shared" si="12"/>
        <v>0</v>
      </c>
      <c r="E42" s="2159">
        <f t="shared" si="12"/>
        <v>0</v>
      </c>
      <c r="F42" s="2159">
        <f t="shared" si="12"/>
        <v>0</v>
      </c>
      <c r="G42" s="2130" t="s">
        <v>771</v>
      </c>
      <c r="H42" s="2164">
        <f>IF(General!$D$24="SI",Indicadores!E57,Indicadores!D57)</f>
        <v>0</v>
      </c>
      <c r="I42" s="2165">
        <f>IF(General!$D$24="SI",Indicadores!F57,Indicadores!E57)</f>
        <v>0</v>
      </c>
      <c r="J42" s="2164">
        <f>IF(General!$D$24="SI",Indicadores!H57,Indicadores!F57)</f>
        <v>0</v>
      </c>
    </row>
    <row r="43" spans="2:10" x14ac:dyDescent="0.15">
      <c r="B43" s="3513" t="s">
        <v>772</v>
      </c>
      <c r="C43" s="3513"/>
      <c r="D43" s="3513"/>
      <c r="E43" s="3513"/>
      <c r="F43" s="3513"/>
      <c r="G43" s="3513"/>
      <c r="H43" s="3513"/>
      <c r="I43" s="3513"/>
      <c r="J43" s="3513"/>
    </row>
  </sheetData>
  <mergeCells count="11">
    <mergeCell ref="B25:J25"/>
    <mergeCell ref="B43:J43"/>
    <mergeCell ref="B3:J3"/>
    <mergeCell ref="B20:J20"/>
    <mergeCell ref="AG17:AJ17"/>
    <mergeCell ref="AE3:AE17"/>
    <mergeCell ref="AF3:AF17"/>
    <mergeCell ref="L3:S3"/>
    <mergeCell ref="L14:S14"/>
    <mergeCell ref="U19:AC19"/>
    <mergeCell ref="U3:AC3"/>
  </mergeCells>
  <phoneticPr fontId="0" type="noConversion"/>
  <dataValidations count="1">
    <dataValidation type="list" allowBlank="1" showInputMessage="1" showErrorMessage="1" sqref="X6:Y11">
      <formula1>$Z$23:$Z$27</formula1>
    </dataValidation>
  </dataValidations>
  <pageMargins left="0.75" right="0.75" top="1" bottom="1" header="0" footer="0"/>
  <pageSetup orientation="portrait"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dimension ref="B1:U92"/>
  <sheetViews>
    <sheetView workbookViewId="0">
      <selection activeCell="H29" sqref="H29"/>
    </sheetView>
  </sheetViews>
  <sheetFormatPr baseColWidth="10" defaultRowHeight="10.5" x14ac:dyDescent="0.15"/>
  <cols>
    <col min="1" max="1" width="9.5703125" style="622" customWidth="1"/>
    <col min="2" max="2" width="11.42578125" style="622"/>
    <col min="3" max="3" width="15.85546875" style="622" bestFit="1" customWidth="1"/>
    <col min="4" max="7" width="11.42578125" style="622"/>
    <col min="8" max="8" width="11.85546875" style="622" bestFit="1" customWidth="1"/>
    <col min="9" max="9" width="2" style="622" customWidth="1"/>
    <col min="10" max="11" width="11.42578125" style="622"/>
    <col min="12" max="12" width="13.28515625" style="622" customWidth="1"/>
    <col min="13" max="16384" width="11.42578125" style="622"/>
  </cols>
  <sheetData>
    <row r="1" spans="2:12" ht="7.5" customHeight="1" x14ac:dyDescent="0.15"/>
    <row r="2" spans="2:12" ht="12.75" x14ac:dyDescent="0.2">
      <c r="C2" s="674" t="str">
        <f>+General!C6</f>
        <v>EMPRESA:</v>
      </c>
      <c r="D2" s="622">
        <f>+General!D6</f>
        <v>0</v>
      </c>
    </row>
    <row r="3" spans="2:12" ht="12.75" x14ac:dyDescent="0.2">
      <c r="C3" s="674" t="str">
        <f>+General!C7</f>
        <v>GRUPO:</v>
      </c>
      <c r="D3" s="622">
        <f>+General!D7</f>
        <v>0</v>
      </c>
    </row>
    <row r="4" spans="2:12" ht="12.75" x14ac:dyDescent="0.2">
      <c r="C4" s="674" t="str">
        <f>+General!C9</f>
        <v>NIT:</v>
      </c>
      <c r="D4" s="622">
        <f>+General!D9</f>
        <v>0</v>
      </c>
    </row>
    <row r="5" spans="2:12" ht="6.75" customHeight="1" x14ac:dyDescent="0.15"/>
    <row r="6" spans="2:12" ht="6" customHeight="1" thickBot="1" x14ac:dyDescent="0.2"/>
    <row r="7" spans="2:12" ht="11.25" thickBot="1" x14ac:dyDescent="0.2">
      <c r="C7" s="633" t="s">
        <v>1340</v>
      </c>
      <c r="D7" s="634" t="s">
        <v>1321</v>
      </c>
      <c r="E7" s="635" t="s">
        <v>1337</v>
      </c>
      <c r="F7" s="634" t="s">
        <v>1338</v>
      </c>
      <c r="G7" s="636" t="s">
        <v>1339</v>
      </c>
    </row>
    <row r="8" spans="2:12" ht="11.25" thickBot="1" x14ac:dyDescent="0.2">
      <c r="B8" s="637" t="s">
        <v>1341</v>
      </c>
      <c r="C8" s="632"/>
      <c r="D8" s="630" t="s">
        <v>1322</v>
      </c>
      <c r="E8" s="631" t="s">
        <v>861</v>
      </c>
      <c r="F8" s="673">
        <v>10</v>
      </c>
      <c r="G8" s="663"/>
    </row>
    <row r="9" spans="2:12" ht="11.25" thickBot="1" x14ac:dyDescent="0.2">
      <c r="B9" s="624"/>
      <c r="C9" s="626"/>
      <c r="E9" s="623"/>
      <c r="F9" s="623"/>
      <c r="G9" s="627"/>
    </row>
    <row r="10" spans="2:12" ht="11.25" thickBot="1" x14ac:dyDescent="0.2">
      <c r="B10" s="637" t="s">
        <v>1336</v>
      </c>
      <c r="C10" s="664" t="e">
        <f>+L31/K31</f>
        <v>#DIV/0!</v>
      </c>
      <c r="D10" s="629" t="s">
        <v>1324</v>
      </c>
    </row>
    <row r="11" spans="2:12" ht="11.25" thickBot="1" x14ac:dyDescent="0.2"/>
    <row r="12" spans="2:12" ht="11.25" thickBot="1" x14ac:dyDescent="0.2">
      <c r="B12" s="3516" t="s">
        <v>1331</v>
      </c>
      <c r="C12" s="3517"/>
      <c r="D12" s="3517"/>
      <c r="E12" s="3517"/>
      <c r="F12" s="3517"/>
      <c r="G12" s="3517"/>
      <c r="H12" s="3518"/>
      <c r="J12" s="3516" t="s">
        <v>1335</v>
      </c>
      <c r="K12" s="3517"/>
      <c r="L12" s="3518"/>
    </row>
    <row r="13" spans="2:12" s="625" customFormat="1" ht="27.75" thickBot="1" x14ac:dyDescent="0.2">
      <c r="B13" s="638" t="s">
        <v>1325</v>
      </c>
      <c r="C13" s="642" t="s">
        <v>1326</v>
      </c>
      <c r="D13" s="672" t="s">
        <v>1327</v>
      </c>
      <c r="E13" s="642" t="s">
        <v>1328</v>
      </c>
      <c r="F13" s="646" t="s">
        <v>1329</v>
      </c>
      <c r="G13" s="642" t="s">
        <v>203</v>
      </c>
      <c r="H13" s="654" t="s">
        <v>1330</v>
      </c>
      <c r="J13" s="638" t="s">
        <v>1332</v>
      </c>
      <c r="K13" s="642" t="s">
        <v>1333</v>
      </c>
      <c r="L13" s="654" t="s">
        <v>1334</v>
      </c>
    </row>
    <row r="14" spans="2:12" x14ac:dyDescent="0.15">
      <c r="B14" s="639">
        <v>0</v>
      </c>
      <c r="C14" s="643">
        <f>+Facilidad</f>
        <v>0</v>
      </c>
      <c r="D14" s="647"/>
      <c r="E14" s="667">
        <f>+D14</f>
        <v>0</v>
      </c>
      <c r="F14" s="668">
        <f>+C14*Precio</f>
        <v>0</v>
      </c>
      <c r="G14" s="669">
        <f>+($C$14*D14)+F14</f>
        <v>0</v>
      </c>
      <c r="H14" s="670">
        <f t="shared" ref="H14:H29" si="0">Facilidad-(Facilidad*E14)</f>
        <v>0</v>
      </c>
      <c r="J14" s="671">
        <f t="shared" ref="J14:J29" si="1">1/(1+Precio)^B14</f>
        <v>1</v>
      </c>
      <c r="K14" s="669">
        <f>+G14*J14</f>
        <v>0</v>
      </c>
      <c r="L14" s="670">
        <f>+G14*J14*B14</f>
        <v>0</v>
      </c>
    </row>
    <row r="15" spans="2:12" x14ac:dyDescent="0.15">
      <c r="B15" s="640">
        <v>1</v>
      </c>
      <c r="C15" s="644">
        <f>+H14</f>
        <v>0</v>
      </c>
      <c r="D15" s="648"/>
      <c r="E15" s="650">
        <f>+D15+E14</f>
        <v>0</v>
      </c>
      <c r="F15" s="652">
        <f t="shared" ref="F15:F29" si="2">+C15*$G$8</f>
        <v>0</v>
      </c>
      <c r="G15" s="644">
        <f t="shared" ref="G15:G29" si="3">+(Facilidad*D15)+F15</f>
        <v>0</v>
      </c>
      <c r="H15" s="655">
        <f t="shared" si="0"/>
        <v>0</v>
      </c>
      <c r="J15" s="657">
        <f t="shared" si="1"/>
        <v>1</v>
      </c>
      <c r="K15" s="644">
        <f t="shared" ref="K15:K29" si="4">+G15*J15</f>
        <v>0</v>
      </c>
      <c r="L15" s="655">
        <f t="shared" ref="L15:L29" si="5">+G15*J15*B15</f>
        <v>0</v>
      </c>
    </row>
    <row r="16" spans="2:12" x14ac:dyDescent="0.15">
      <c r="B16" s="640">
        <v>2</v>
      </c>
      <c r="C16" s="644">
        <f t="shared" ref="C16:C28" si="6">+H15</f>
        <v>0</v>
      </c>
      <c r="D16" s="648"/>
      <c r="E16" s="650">
        <f t="shared" ref="E16:E29" si="7">+D16+E15</f>
        <v>0</v>
      </c>
      <c r="F16" s="652">
        <f t="shared" si="2"/>
        <v>0</v>
      </c>
      <c r="G16" s="644">
        <f t="shared" si="3"/>
        <v>0</v>
      </c>
      <c r="H16" s="655">
        <f t="shared" si="0"/>
        <v>0</v>
      </c>
      <c r="J16" s="657">
        <f t="shared" si="1"/>
        <v>1</v>
      </c>
      <c r="K16" s="644">
        <f t="shared" si="4"/>
        <v>0</v>
      </c>
      <c r="L16" s="655">
        <f t="shared" si="5"/>
        <v>0</v>
      </c>
    </row>
    <row r="17" spans="2:21" x14ac:dyDescent="0.15">
      <c r="B17" s="640">
        <v>3</v>
      </c>
      <c r="C17" s="644">
        <f t="shared" si="6"/>
        <v>0</v>
      </c>
      <c r="D17" s="648"/>
      <c r="E17" s="650">
        <f t="shared" si="7"/>
        <v>0</v>
      </c>
      <c r="F17" s="652">
        <f t="shared" si="2"/>
        <v>0</v>
      </c>
      <c r="G17" s="644">
        <f t="shared" si="3"/>
        <v>0</v>
      </c>
      <c r="H17" s="655">
        <f t="shared" si="0"/>
        <v>0</v>
      </c>
      <c r="J17" s="657">
        <f t="shared" si="1"/>
        <v>1</v>
      </c>
      <c r="K17" s="644">
        <f t="shared" si="4"/>
        <v>0</v>
      </c>
      <c r="L17" s="655">
        <f t="shared" si="5"/>
        <v>0</v>
      </c>
    </row>
    <row r="18" spans="2:21" x14ac:dyDescent="0.15">
      <c r="B18" s="640">
        <v>4</v>
      </c>
      <c r="C18" s="644">
        <f t="shared" si="6"/>
        <v>0</v>
      </c>
      <c r="D18" s="648"/>
      <c r="E18" s="650">
        <f t="shared" si="7"/>
        <v>0</v>
      </c>
      <c r="F18" s="652">
        <f t="shared" si="2"/>
        <v>0</v>
      </c>
      <c r="G18" s="644">
        <f t="shared" si="3"/>
        <v>0</v>
      </c>
      <c r="H18" s="655">
        <f t="shared" si="0"/>
        <v>0</v>
      </c>
      <c r="J18" s="657">
        <f t="shared" si="1"/>
        <v>1</v>
      </c>
      <c r="K18" s="644">
        <f t="shared" si="4"/>
        <v>0</v>
      </c>
      <c r="L18" s="655">
        <f t="shared" si="5"/>
        <v>0</v>
      </c>
    </row>
    <row r="19" spans="2:21" x14ac:dyDescent="0.15">
      <c r="B19" s="640">
        <v>5</v>
      </c>
      <c r="C19" s="644">
        <f t="shared" si="6"/>
        <v>0</v>
      </c>
      <c r="D19" s="648"/>
      <c r="E19" s="650">
        <f t="shared" si="7"/>
        <v>0</v>
      </c>
      <c r="F19" s="652">
        <f t="shared" si="2"/>
        <v>0</v>
      </c>
      <c r="G19" s="644">
        <f t="shared" si="3"/>
        <v>0</v>
      </c>
      <c r="H19" s="655">
        <f t="shared" si="0"/>
        <v>0</v>
      </c>
      <c r="J19" s="657">
        <f t="shared" si="1"/>
        <v>1</v>
      </c>
      <c r="K19" s="644">
        <f t="shared" si="4"/>
        <v>0</v>
      </c>
      <c r="L19" s="655">
        <f t="shared" si="5"/>
        <v>0</v>
      </c>
    </row>
    <row r="20" spans="2:21" x14ac:dyDescent="0.15">
      <c r="B20" s="640">
        <v>6</v>
      </c>
      <c r="C20" s="644">
        <f t="shared" si="6"/>
        <v>0</v>
      </c>
      <c r="D20" s="648"/>
      <c r="E20" s="650">
        <f t="shared" si="7"/>
        <v>0</v>
      </c>
      <c r="F20" s="652">
        <f t="shared" si="2"/>
        <v>0</v>
      </c>
      <c r="G20" s="644">
        <f t="shared" si="3"/>
        <v>0</v>
      </c>
      <c r="H20" s="655">
        <f t="shared" si="0"/>
        <v>0</v>
      </c>
      <c r="J20" s="657">
        <f t="shared" si="1"/>
        <v>1</v>
      </c>
      <c r="K20" s="644">
        <f t="shared" si="4"/>
        <v>0</v>
      </c>
      <c r="L20" s="655">
        <f t="shared" si="5"/>
        <v>0</v>
      </c>
    </row>
    <row r="21" spans="2:21" x14ac:dyDescent="0.15">
      <c r="B21" s="640">
        <v>7</v>
      </c>
      <c r="C21" s="644">
        <f t="shared" si="6"/>
        <v>0</v>
      </c>
      <c r="D21" s="648"/>
      <c r="E21" s="650">
        <f t="shared" si="7"/>
        <v>0</v>
      </c>
      <c r="F21" s="652">
        <f t="shared" si="2"/>
        <v>0</v>
      </c>
      <c r="G21" s="644">
        <f t="shared" si="3"/>
        <v>0</v>
      </c>
      <c r="H21" s="655">
        <f t="shared" si="0"/>
        <v>0</v>
      </c>
      <c r="J21" s="657">
        <f t="shared" si="1"/>
        <v>1</v>
      </c>
      <c r="K21" s="644">
        <f t="shared" si="4"/>
        <v>0</v>
      </c>
      <c r="L21" s="655">
        <f t="shared" si="5"/>
        <v>0</v>
      </c>
    </row>
    <row r="22" spans="2:21" x14ac:dyDescent="0.15">
      <c r="B22" s="640">
        <v>8</v>
      </c>
      <c r="C22" s="644">
        <f t="shared" si="6"/>
        <v>0</v>
      </c>
      <c r="D22" s="648"/>
      <c r="E22" s="650">
        <f t="shared" si="7"/>
        <v>0</v>
      </c>
      <c r="F22" s="652">
        <f t="shared" si="2"/>
        <v>0</v>
      </c>
      <c r="G22" s="644">
        <f t="shared" si="3"/>
        <v>0</v>
      </c>
      <c r="H22" s="655">
        <f t="shared" si="0"/>
        <v>0</v>
      </c>
      <c r="J22" s="657">
        <f t="shared" si="1"/>
        <v>1</v>
      </c>
      <c r="K22" s="644">
        <f t="shared" si="4"/>
        <v>0</v>
      </c>
      <c r="L22" s="655">
        <f t="shared" si="5"/>
        <v>0</v>
      </c>
    </row>
    <row r="23" spans="2:21" x14ac:dyDescent="0.15">
      <c r="B23" s="640">
        <v>9</v>
      </c>
      <c r="C23" s="644">
        <f t="shared" si="6"/>
        <v>0</v>
      </c>
      <c r="D23" s="648"/>
      <c r="E23" s="650">
        <f t="shared" si="7"/>
        <v>0</v>
      </c>
      <c r="F23" s="652">
        <f t="shared" si="2"/>
        <v>0</v>
      </c>
      <c r="G23" s="644">
        <f t="shared" si="3"/>
        <v>0</v>
      </c>
      <c r="H23" s="655">
        <f t="shared" si="0"/>
        <v>0</v>
      </c>
      <c r="J23" s="657">
        <f t="shared" si="1"/>
        <v>1</v>
      </c>
      <c r="K23" s="644">
        <f t="shared" si="4"/>
        <v>0</v>
      </c>
      <c r="L23" s="655">
        <f t="shared" si="5"/>
        <v>0</v>
      </c>
    </row>
    <row r="24" spans="2:21" x14ac:dyDescent="0.15">
      <c r="B24" s="640">
        <v>10</v>
      </c>
      <c r="C24" s="644">
        <f t="shared" si="6"/>
        <v>0</v>
      </c>
      <c r="D24" s="648"/>
      <c r="E24" s="650">
        <f t="shared" si="7"/>
        <v>0</v>
      </c>
      <c r="F24" s="652">
        <f t="shared" si="2"/>
        <v>0</v>
      </c>
      <c r="G24" s="644">
        <f t="shared" si="3"/>
        <v>0</v>
      </c>
      <c r="H24" s="655">
        <f t="shared" si="0"/>
        <v>0</v>
      </c>
      <c r="J24" s="657">
        <f t="shared" si="1"/>
        <v>1</v>
      </c>
      <c r="K24" s="644">
        <f t="shared" si="4"/>
        <v>0</v>
      </c>
      <c r="L24" s="655">
        <f t="shared" si="5"/>
        <v>0</v>
      </c>
    </row>
    <row r="25" spans="2:21" x14ac:dyDescent="0.15">
      <c r="B25" s="640">
        <v>11</v>
      </c>
      <c r="C25" s="644">
        <f t="shared" si="6"/>
        <v>0</v>
      </c>
      <c r="D25" s="648"/>
      <c r="E25" s="650">
        <f t="shared" si="7"/>
        <v>0</v>
      </c>
      <c r="F25" s="652">
        <f t="shared" si="2"/>
        <v>0</v>
      </c>
      <c r="G25" s="644">
        <f t="shared" si="3"/>
        <v>0</v>
      </c>
      <c r="H25" s="655">
        <f t="shared" si="0"/>
        <v>0</v>
      </c>
      <c r="J25" s="657">
        <f t="shared" si="1"/>
        <v>1</v>
      </c>
      <c r="K25" s="644">
        <f t="shared" si="4"/>
        <v>0</v>
      </c>
      <c r="L25" s="655">
        <f t="shared" si="5"/>
        <v>0</v>
      </c>
    </row>
    <row r="26" spans="2:21" x14ac:dyDescent="0.15">
      <c r="B26" s="640">
        <v>12</v>
      </c>
      <c r="C26" s="644">
        <f t="shared" si="6"/>
        <v>0</v>
      </c>
      <c r="D26" s="648"/>
      <c r="E26" s="650">
        <f t="shared" si="7"/>
        <v>0</v>
      </c>
      <c r="F26" s="652">
        <f t="shared" si="2"/>
        <v>0</v>
      </c>
      <c r="G26" s="644">
        <f t="shared" si="3"/>
        <v>0</v>
      </c>
      <c r="H26" s="655">
        <f t="shared" si="0"/>
        <v>0</v>
      </c>
      <c r="J26" s="657">
        <f t="shared" si="1"/>
        <v>1</v>
      </c>
      <c r="K26" s="644">
        <f t="shared" si="4"/>
        <v>0</v>
      </c>
      <c r="L26" s="655">
        <f t="shared" si="5"/>
        <v>0</v>
      </c>
      <c r="T26" s="622" t="s">
        <v>1322</v>
      </c>
      <c r="U26" s="622" t="s">
        <v>861</v>
      </c>
    </row>
    <row r="27" spans="2:21" x14ac:dyDescent="0.15">
      <c r="B27" s="640">
        <v>13</v>
      </c>
      <c r="C27" s="644">
        <f t="shared" si="6"/>
        <v>0</v>
      </c>
      <c r="D27" s="648"/>
      <c r="E27" s="650">
        <f t="shared" si="7"/>
        <v>0</v>
      </c>
      <c r="F27" s="652">
        <f t="shared" si="2"/>
        <v>0</v>
      </c>
      <c r="G27" s="644">
        <f t="shared" si="3"/>
        <v>0</v>
      </c>
      <c r="H27" s="655">
        <f t="shared" si="0"/>
        <v>0</v>
      </c>
      <c r="J27" s="657">
        <f t="shared" si="1"/>
        <v>1</v>
      </c>
      <c r="K27" s="644">
        <f t="shared" si="4"/>
        <v>0</v>
      </c>
      <c r="L27" s="655">
        <f t="shared" si="5"/>
        <v>0</v>
      </c>
      <c r="T27" s="622" t="s">
        <v>848</v>
      </c>
      <c r="U27" s="622" t="s">
        <v>1323</v>
      </c>
    </row>
    <row r="28" spans="2:21" x14ac:dyDescent="0.15">
      <c r="B28" s="665">
        <v>14</v>
      </c>
      <c r="C28" s="644">
        <f t="shared" si="6"/>
        <v>0</v>
      </c>
      <c r="D28" s="666"/>
      <c r="E28" s="650">
        <f t="shared" si="7"/>
        <v>0</v>
      </c>
      <c r="F28" s="652">
        <f t="shared" si="2"/>
        <v>0</v>
      </c>
      <c r="G28" s="644">
        <f t="shared" si="3"/>
        <v>0</v>
      </c>
      <c r="H28" s="655">
        <f t="shared" si="0"/>
        <v>0</v>
      </c>
      <c r="J28" s="657">
        <f t="shared" si="1"/>
        <v>1</v>
      </c>
      <c r="K28" s="644">
        <f t="shared" si="4"/>
        <v>0</v>
      </c>
      <c r="L28" s="655">
        <f t="shared" si="5"/>
        <v>0</v>
      </c>
    </row>
    <row r="29" spans="2:21" ht="11.25" thickBot="1" x14ac:dyDescent="0.2">
      <c r="B29" s="641">
        <v>15</v>
      </c>
      <c r="C29" s="645">
        <f>+H27</f>
        <v>0</v>
      </c>
      <c r="D29" s="649"/>
      <c r="E29" s="651">
        <f t="shared" si="7"/>
        <v>0</v>
      </c>
      <c r="F29" s="653">
        <f t="shared" si="2"/>
        <v>0</v>
      </c>
      <c r="G29" s="645">
        <f t="shared" si="3"/>
        <v>0</v>
      </c>
      <c r="H29" s="656">
        <f t="shared" si="0"/>
        <v>0</v>
      </c>
      <c r="J29" s="658">
        <f t="shared" si="1"/>
        <v>1</v>
      </c>
      <c r="K29" s="645">
        <f t="shared" si="4"/>
        <v>0</v>
      </c>
      <c r="L29" s="656">
        <f t="shared" si="5"/>
        <v>0</v>
      </c>
      <c r="T29" s="622" t="s">
        <v>847</v>
      </c>
    </row>
    <row r="30" spans="2:21" ht="11.25" thickBot="1" x14ac:dyDescent="0.2">
      <c r="B30" s="623"/>
    </row>
    <row r="31" spans="2:21" ht="11.25" thickBot="1" x14ac:dyDescent="0.2">
      <c r="B31" s="660" t="s">
        <v>203</v>
      </c>
      <c r="D31" s="659">
        <f>SUM(D14:D29)</f>
        <v>0</v>
      </c>
      <c r="G31" s="628"/>
      <c r="H31" s="628"/>
      <c r="I31" s="628"/>
      <c r="J31" s="661" t="s">
        <v>203</v>
      </c>
      <c r="K31" s="662">
        <f>SUM(K14:K29)</f>
        <v>0</v>
      </c>
      <c r="L31" s="662">
        <f>SUM(L14:L29)</f>
        <v>0</v>
      </c>
    </row>
    <row r="32" spans="2:21" x14ac:dyDescent="0.15">
      <c r="B32" s="623"/>
    </row>
    <row r="33" spans="2:3" x14ac:dyDescent="0.15">
      <c r="B33" s="623"/>
    </row>
    <row r="34" spans="2:3" x14ac:dyDescent="0.15">
      <c r="B34" s="623"/>
    </row>
    <row r="35" spans="2:3" x14ac:dyDescent="0.15">
      <c r="B35" s="623"/>
    </row>
    <row r="39" spans="2:3" x14ac:dyDescent="0.15">
      <c r="C39" s="623"/>
    </row>
    <row r="92" spans="3:3" x14ac:dyDescent="0.15">
      <c r="C92" s="623"/>
    </row>
  </sheetData>
  <mergeCells count="2">
    <mergeCell ref="B12:H12"/>
    <mergeCell ref="J12:L12"/>
  </mergeCells>
  <dataValidations count="3">
    <dataValidation type="list" allowBlank="1" showInputMessage="1" showErrorMessage="1" sqref="E8:E9">
      <formula1>$U$26:$U$29</formula1>
    </dataValidation>
    <dataValidation type="list" allowBlank="1" showInputMessage="1" showErrorMessage="1" sqref="D8">
      <formula1>$T$26:$T$30</formula1>
    </dataValidation>
    <dataValidation type="list" allowBlank="1" showInputMessage="1" showErrorMessage="1" sqref="C39 C92">
      <formula1>$T$10:$T$11</formula1>
    </dataValidation>
  </dataValidations>
  <pageMargins left="0.7" right="0.7" top="0.75" bottom="0.75" header="0.3" footer="0.3"/>
  <pageSetup orientation="portrait" r:id="rId1"/>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U156"/>
  <sheetViews>
    <sheetView workbookViewId="0">
      <selection activeCell="A80" sqref="A80"/>
    </sheetView>
  </sheetViews>
  <sheetFormatPr baseColWidth="10" defaultRowHeight="12.75" x14ac:dyDescent="0.15"/>
  <cols>
    <col min="1" max="1" width="13.85546875" style="738" customWidth="1"/>
    <col min="2" max="2" width="11.7109375" style="738" customWidth="1"/>
    <col min="3" max="4" width="12.85546875" style="738" customWidth="1"/>
    <col min="5" max="5" width="14.28515625" style="738" customWidth="1"/>
    <col min="6" max="6" width="11.28515625" style="738" customWidth="1"/>
    <col min="7" max="7" width="10.7109375" style="738" customWidth="1"/>
    <col min="8" max="8" width="15.85546875" style="738" customWidth="1"/>
    <col min="9" max="9" width="12.28515625" style="738" bestFit="1" customWidth="1"/>
    <col min="10" max="10" width="13.28515625" style="738" customWidth="1"/>
    <col min="11" max="11" width="17.85546875" style="738" customWidth="1"/>
    <col min="12" max="12" width="14.5703125" style="738" customWidth="1"/>
    <col min="13" max="13" width="11.42578125" style="738"/>
    <col min="14" max="14" width="11.5703125" style="738" hidden="1" customWidth="1"/>
    <col min="15" max="15" width="11.42578125" style="738" hidden="1" customWidth="1"/>
    <col min="16" max="18" width="11.5703125" style="738" hidden="1" customWidth="1"/>
    <col min="19" max="19" width="11.42578125" style="738" hidden="1" customWidth="1"/>
    <col min="20" max="20" width="11.42578125" style="739" hidden="1" customWidth="1"/>
    <col min="21" max="16384" width="11.42578125" style="738"/>
  </cols>
  <sheetData>
    <row r="1" spans="1:21" x14ac:dyDescent="0.15">
      <c r="A1" s="735"/>
      <c r="B1" s="736"/>
      <c r="C1" s="736"/>
      <c r="D1" s="736"/>
      <c r="E1" s="736"/>
      <c r="F1" s="736"/>
      <c r="G1" s="736"/>
      <c r="H1" s="736"/>
      <c r="I1" s="736"/>
      <c r="J1" s="736"/>
      <c r="K1" s="736"/>
      <c r="L1" s="737"/>
    </row>
    <row r="2" spans="1:21" ht="12.75" customHeight="1" x14ac:dyDescent="0.15">
      <c r="A2" s="740"/>
      <c r="B2" s="741"/>
      <c r="C2" s="742" t="s">
        <v>113</v>
      </c>
      <c r="D2" s="743"/>
      <c r="E2" s="741"/>
      <c r="F2" s="741"/>
      <c r="G2" s="742" t="s">
        <v>114</v>
      </c>
      <c r="H2" s="743"/>
      <c r="I2" s="741"/>
      <c r="J2" s="741"/>
      <c r="K2" s="744" t="s">
        <v>627</v>
      </c>
      <c r="L2" s="745" t="s">
        <v>103</v>
      </c>
      <c r="O2" s="738" t="s">
        <v>103</v>
      </c>
    </row>
    <row r="3" spans="1:21" ht="12.75" customHeight="1" x14ac:dyDescent="0.15">
      <c r="A3" s="746"/>
      <c r="B3" s="743"/>
      <c r="C3" s="742" t="s">
        <v>162</v>
      </c>
      <c r="D3" s="747"/>
      <c r="E3" s="743"/>
      <c r="F3" s="748"/>
      <c r="G3" s="748" t="s">
        <v>115</v>
      </c>
      <c r="H3" s="749" t="s">
        <v>522</v>
      </c>
      <c r="I3" s="743"/>
      <c r="J3" s="741"/>
      <c r="K3" s="741"/>
      <c r="L3" s="750"/>
      <c r="O3" s="738" t="s">
        <v>104</v>
      </c>
      <c r="P3" s="751" t="s">
        <v>1098</v>
      </c>
    </row>
    <row r="4" spans="1:21" ht="12.75" customHeight="1" x14ac:dyDescent="0.15">
      <c r="A4" s="752"/>
      <c r="B4" s="753"/>
      <c r="C4" s="754" t="s">
        <v>220</v>
      </c>
      <c r="D4" s="754"/>
      <c r="E4" s="755" t="str">
        <f>IF(CodCIIU="","",VLOOKUP(CodCIIU,CIIU,2,0))</f>
        <v/>
      </c>
      <c r="F4" s="754"/>
      <c r="G4" s="753"/>
      <c r="H4" s="754"/>
      <c r="I4" s="756"/>
      <c r="J4" s="757"/>
      <c r="K4" s="758" t="s">
        <v>116</v>
      </c>
      <c r="L4" s="750"/>
      <c r="P4" s="751" t="s">
        <v>484</v>
      </c>
    </row>
    <row r="5" spans="1:21" x14ac:dyDescent="0.15">
      <c r="A5" s="759" t="s">
        <v>154</v>
      </c>
      <c r="B5" s="760">
        <f>General!D6</f>
        <v>0</v>
      </c>
      <c r="C5" s="743"/>
      <c r="D5" s="748"/>
      <c r="E5" s="743"/>
      <c r="F5" s="742" t="s">
        <v>159</v>
      </c>
      <c r="G5" s="743"/>
      <c r="H5" s="761">
        <f>+General!D7</f>
        <v>0</v>
      </c>
      <c r="I5" s="748"/>
      <c r="J5" s="762"/>
      <c r="K5" s="3549" t="s">
        <v>160</v>
      </c>
      <c r="L5" s="3550"/>
      <c r="P5" s="751" t="s">
        <v>1095</v>
      </c>
    </row>
    <row r="6" spans="1:21" x14ac:dyDescent="0.15">
      <c r="A6" s="759" t="s">
        <v>107</v>
      </c>
      <c r="B6" s="760">
        <f>General!D9</f>
        <v>0</v>
      </c>
      <c r="C6" s="743"/>
      <c r="D6" s="748"/>
      <c r="E6" s="743"/>
      <c r="F6" s="748" t="s">
        <v>993</v>
      </c>
      <c r="G6" s="763"/>
      <c r="H6" s="764"/>
      <c r="I6" s="765"/>
      <c r="J6" s="766"/>
      <c r="K6" s="765"/>
      <c r="L6" s="767" t="s">
        <v>161</v>
      </c>
      <c r="N6" s="738">
        <f>CIIU!A2:A447</f>
        <v>113</v>
      </c>
      <c r="P6" s="751" t="s">
        <v>483</v>
      </c>
    </row>
    <row r="7" spans="1:21" x14ac:dyDescent="0.15">
      <c r="A7" s="759" t="s">
        <v>989</v>
      </c>
      <c r="B7" s="760"/>
      <c r="C7" s="743"/>
      <c r="D7" s="748"/>
      <c r="E7" s="743"/>
      <c r="F7" s="748" t="s">
        <v>1037</v>
      </c>
      <c r="G7" s="768"/>
      <c r="H7" s="769" t="s">
        <v>950</v>
      </c>
      <c r="I7" s="770"/>
      <c r="J7" s="766"/>
      <c r="K7" s="766" t="s">
        <v>636</v>
      </c>
      <c r="L7" s="771">
        <f ca="1">TODAY()</f>
        <v>43776</v>
      </c>
      <c r="P7" s="751" t="s">
        <v>1096</v>
      </c>
    </row>
    <row r="8" spans="1:21" x14ac:dyDescent="0.15">
      <c r="A8" s="772" t="s">
        <v>990</v>
      </c>
      <c r="B8" s="773"/>
      <c r="C8" s="774"/>
      <c r="D8" s="774"/>
      <c r="E8" s="774"/>
      <c r="F8" s="774"/>
      <c r="G8" s="774"/>
      <c r="H8" s="774"/>
      <c r="I8" s="774"/>
      <c r="J8" s="774"/>
      <c r="K8" s="766" t="s">
        <v>1040</v>
      </c>
      <c r="L8" s="775" t="str">
        <f>+L69</f>
        <v>digitar rating combinado</v>
      </c>
      <c r="O8" s="738" t="s">
        <v>1042</v>
      </c>
      <c r="P8" s="738">
        <v>9.3000000000000007</v>
      </c>
      <c r="Q8" s="738">
        <v>-2</v>
      </c>
      <c r="R8" s="776">
        <v>0</v>
      </c>
      <c r="S8" s="738" t="s">
        <v>953</v>
      </c>
    </row>
    <row r="9" spans="1:21" x14ac:dyDescent="0.15">
      <c r="A9" s="759" t="s">
        <v>991</v>
      </c>
      <c r="B9" s="773"/>
      <c r="C9" s="743"/>
      <c r="D9" s="743"/>
      <c r="E9" s="743"/>
      <c r="F9" s="743"/>
      <c r="G9" s="743"/>
      <c r="H9" s="748"/>
      <c r="I9" s="766"/>
      <c r="J9" s="777"/>
      <c r="K9" s="766" t="s">
        <v>1041</v>
      </c>
      <c r="L9" s="775" t="e">
        <f>+L72</f>
        <v>#VALUE!</v>
      </c>
      <c r="O9" s="738" t="s">
        <v>1043</v>
      </c>
      <c r="P9" s="738">
        <v>9</v>
      </c>
      <c r="Q9" s="738">
        <v>-1</v>
      </c>
      <c r="R9" s="776">
        <v>0.25</v>
      </c>
      <c r="S9" s="738" t="s">
        <v>954</v>
      </c>
    </row>
    <row r="10" spans="1:21" x14ac:dyDescent="0.15">
      <c r="A10" s="759" t="s">
        <v>992</v>
      </c>
      <c r="B10" s="778"/>
      <c r="C10" s="742" t="s">
        <v>163</v>
      </c>
      <c r="D10" s="779"/>
      <c r="E10" s="743"/>
      <c r="F10" s="780" t="s">
        <v>155</v>
      </c>
      <c r="G10" s="781"/>
      <c r="H10" s="780" t="s">
        <v>156</v>
      </c>
      <c r="I10" s="781"/>
      <c r="J10" s="777"/>
      <c r="K10" s="782" t="str">
        <f>+IF(L2="SI",O9,O8)</f>
        <v>RENT/CER :</v>
      </c>
      <c r="L10" s="783">
        <f>+L150</f>
        <v>0</v>
      </c>
      <c r="N10" s="766"/>
      <c r="O10" s="738" t="s">
        <v>1044</v>
      </c>
      <c r="P10" s="738">
        <v>8.5</v>
      </c>
      <c r="Q10" s="738">
        <v>0</v>
      </c>
      <c r="R10" s="776">
        <v>0.5</v>
      </c>
      <c r="S10" s="738" t="s">
        <v>952</v>
      </c>
    </row>
    <row r="11" spans="1:21" x14ac:dyDescent="0.15">
      <c r="A11" s="784" t="s">
        <v>164</v>
      </c>
      <c r="B11" s="743"/>
      <c r="C11" s="785"/>
      <c r="D11" s="743"/>
      <c r="E11" s="761" t="s">
        <v>165</v>
      </c>
      <c r="F11" s="785"/>
      <c r="G11" s="761" t="s">
        <v>166</v>
      </c>
      <c r="H11" s="785"/>
      <c r="J11" s="786"/>
      <c r="K11" s="766" t="str">
        <f>IF(L2="SI",O11,O10)</f>
        <v>RENT/CER CON COMP:</v>
      </c>
      <c r="L11" s="787">
        <f>+L151</f>
        <v>0</v>
      </c>
      <c r="O11" s="738" t="s">
        <v>1045</v>
      </c>
      <c r="P11" s="738">
        <v>8</v>
      </c>
      <c r="R11" s="776">
        <v>0.75</v>
      </c>
      <c r="S11" s="738" t="s">
        <v>951</v>
      </c>
      <c r="U11" s="788"/>
    </row>
    <row r="12" spans="1:21" x14ac:dyDescent="0.15">
      <c r="A12" s="789"/>
      <c r="B12" s="790" t="s">
        <v>167</v>
      </c>
      <c r="C12" s="791"/>
      <c r="D12" s="791"/>
      <c r="E12" s="791"/>
      <c r="F12" s="790" t="s">
        <v>168</v>
      </c>
      <c r="G12" s="791"/>
      <c r="H12" s="791"/>
      <c r="I12" s="791"/>
      <c r="J12" s="792"/>
      <c r="K12" s="792"/>
      <c r="L12" s="793"/>
      <c r="P12" s="738">
        <v>7.5</v>
      </c>
      <c r="R12" s="776">
        <v>1</v>
      </c>
      <c r="S12" s="738" t="s">
        <v>510</v>
      </c>
    </row>
    <row r="13" spans="1:21" x14ac:dyDescent="0.15">
      <c r="A13" s="794"/>
      <c r="B13" s="795"/>
      <c r="C13" s="795" t="s">
        <v>169</v>
      </c>
      <c r="D13" s="795" t="s">
        <v>170</v>
      </c>
      <c r="E13" s="742"/>
      <c r="F13" s="760"/>
      <c r="G13" s="760"/>
      <c r="H13" s="796">
        <f>IF(General!$D$24="NO",'Info Entrada'!D1,'Info Entrada'!E1)</f>
        <v>43100</v>
      </c>
      <c r="I13" s="796">
        <f>IF(General!$D$24="NO",'Info Entrada'!E1,'Info Entrada'!G1)</f>
        <v>43465</v>
      </c>
      <c r="J13" s="797"/>
      <c r="K13" s="797"/>
      <c r="L13" s="798">
        <f>I13</f>
        <v>43465</v>
      </c>
      <c r="O13" s="738" t="s">
        <v>150</v>
      </c>
      <c r="P13" s="738">
        <v>7</v>
      </c>
      <c r="S13" s="738" t="s">
        <v>511</v>
      </c>
    </row>
    <row r="14" spans="1:21" x14ac:dyDescent="0.15">
      <c r="A14" s="794" t="s">
        <v>171</v>
      </c>
      <c r="B14" s="760"/>
      <c r="C14" s="799">
        <f>+Posiciones!F72</f>
        <v>0</v>
      </c>
      <c r="D14" s="799">
        <f>+Posiciones!G72</f>
        <v>0</v>
      </c>
      <c r="E14" s="800"/>
      <c r="F14" s="742" t="s">
        <v>172</v>
      </c>
      <c r="G14" s="760"/>
      <c r="H14" s="801">
        <f>IF(General!$D$24="NO",'Info Entrada'!D210,'Info Entrada'!E210)</f>
        <v>0</v>
      </c>
      <c r="I14" s="801">
        <f>IF(General!$D$24="NO",'Info Entrada'!E210,'Info Entrada'!G210)</f>
        <v>0</v>
      </c>
      <c r="J14" s="802"/>
      <c r="K14" s="803" t="s">
        <v>173</v>
      </c>
      <c r="L14" s="804" t="e">
        <f>(I19+I18)/I17</f>
        <v>#DIV/0!</v>
      </c>
      <c r="O14" s="738" t="s">
        <v>151</v>
      </c>
      <c r="P14" s="738">
        <v>6.5</v>
      </c>
      <c r="S14" s="805" t="s">
        <v>1342</v>
      </c>
    </row>
    <row r="15" spans="1:21" x14ac:dyDescent="0.15">
      <c r="A15" s="794" t="s">
        <v>174</v>
      </c>
      <c r="B15" s="760"/>
      <c r="C15" s="799">
        <f>+Posiciones!F71</f>
        <v>0</v>
      </c>
      <c r="D15" s="799">
        <f>+Posiciones!G71</f>
        <v>0</v>
      </c>
      <c r="E15" s="800"/>
      <c r="F15" s="742" t="s">
        <v>175</v>
      </c>
      <c r="G15" s="760"/>
      <c r="H15" s="801">
        <f>IF(General!$D$24="NO",'Info Entrada'!D193,'Info Entrada'!E193)</f>
        <v>0</v>
      </c>
      <c r="I15" s="801">
        <f>IF(General!$D$24="NO",'Info Entrada'!E193,'Info Entrada'!G193)</f>
        <v>0</v>
      </c>
      <c r="J15" s="802"/>
      <c r="K15" s="803" t="s">
        <v>176</v>
      </c>
      <c r="L15" s="804" t="e">
        <f>I15/I19</f>
        <v>#DIV/0!</v>
      </c>
      <c r="N15" s="742"/>
      <c r="O15" s="738" t="s">
        <v>152</v>
      </c>
      <c r="P15" s="738">
        <v>6</v>
      </c>
      <c r="S15" s="805" t="s">
        <v>1343</v>
      </c>
    </row>
    <row r="16" spans="1:21" x14ac:dyDescent="0.15">
      <c r="A16" s="794" t="s">
        <v>177</v>
      </c>
      <c r="B16" s="760"/>
      <c r="C16" s="799">
        <f>+Posiciones!F73</f>
        <v>0</v>
      </c>
      <c r="D16" s="799">
        <f>+Posiciones!G73</f>
        <v>0</v>
      </c>
      <c r="E16" s="800"/>
      <c r="F16" s="742" t="s">
        <v>178</v>
      </c>
      <c r="G16" s="760"/>
      <c r="H16" s="801">
        <f>H14+H15</f>
        <v>0</v>
      </c>
      <c r="I16" s="801">
        <f>I14+I15</f>
        <v>0</v>
      </c>
      <c r="J16" s="802"/>
      <c r="K16" s="803" t="s">
        <v>179</v>
      </c>
      <c r="L16" s="806" t="e">
        <f>I23/I21</f>
        <v>#DIV/0!</v>
      </c>
      <c r="O16" s="738" t="s">
        <v>153</v>
      </c>
      <c r="P16" s="738">
        <v>5.5</v>
      </c>
    </row>
    <row r="17" spans="1:18" x14ac:dyDescent="0.15">
      <c r="A17" s="759" t="s">
        <v>180</v>
      </c>
      <c r="B17" s="760"/>
      <c r="C17" s="799">
        <f>SUM(C14:C16)</f>
        <v>0</v>
      </c>
      <c r="D17" s="799">
        <f>SUM(D14:D16)</f>
        <v>0</v>
      </c>
      <c r="E17" s="800"/>
      <c r="F17" s="742" t="s">
        <v>181</v>
      </c>
      <c r="G17" s="760"/>
      <c r="H17" s="801">
        <f>H16-H18-H19</f>
        <v>0</v>
      </c>
      <c r="I17" s="801">
        <f>I16-I18-I19</f>
        <v>0</v>
      </c>
      <c r="J17" s="802"/>
      <c r="K17" s="803" t="s">
        <v>182</v>
      </c>
      <c r="L17" s="806" t="e">
        <f>((I23/MONTH(L13))*12)/I16</f>
        <v>#DIV/0!</v>
      </c>
      <c r="P17" s="738">
        <v>5</v>
      </c>
    </row>
    <row r="18" spans="1:18" x14ac:dyDescent="0.15">
      <c r="A18" s="794" t="s">
        <v>183</v>
      </c>
      <c r="B18" s="760"/>
      <c r="C18" s="799">
        <f>+Posiciones!F112-Posiciones!F74</f>
        <v>0</v>
      </c>
      <c r="D18" s="799">
        <f>+Posiciones!G112-Posiciones!G74</f>
        <v>0</v>
      </c>
      <c r="E18" s="800"/>
      <c r="F18" s="742" t="s">
        <v>184</v>
      </c>
      <c r="G18" s="760"/>
      <c r="H18" s="801">
        <f>IF(General!$D$24="NO",'Info Entrada'!D236,'Info Entrada'!E236)</f>
        <v>0</v>
      </c>
      <c r="I18" s="801">
        <f>IF(General!$D$24="NO",'Info Entrada'!E236,'Info Entrada'!G236)</f>
        <v>0</v>
      </c>
      <c r="J18" s="802"/>
      <c r="K18" s="803" t="s">
        <v>185</v>
      </c>
      <c r="L18" s="806" t="e">
        <f>((I23/MONTH(L13))*12)/I17</f>
        <v>#DIV/0!</v>
      </c>
      <c r="P18" s="738">
        <v>4.5</v>
      </c>
    </row>
    <row r="19" spans="1:18" x14ac:dyDescent="0.15">
      <c r="A19" s="759" t="s">
        <v>186</v>
      </c>
      <c r="B19" s="760"/>
      <c r="C19" s="799">
        <f>+C18+C17</f>
        <v>0</v>
      </c>
      <c r="D19" s="799">
        <f>+D18+D17</f>
        <v>0</v>
      </c>
      <c r="E19" s="800"/>
      <c r="F19" s="742" t="s">
        <v>187</v>
      </c>
      <c r="G19" s="760"/>
      <c r="H19" s="801">
        <f>IF(General!$D$24="NO",'Info Entrada'!D227,'Info Entrada'!E227)</f>
        <v>0</v>
      </c>
      <c r="I19" s="801">
        <f>IF(General!$D$24="NO",'Info Entrada'!E227,'Info Entrada'!G227)</f>
        <v>0</v>
      </c>
      <c r="J19" s="802"/>
      <c r="K19" s="803" t="s">
        <v>188</v>
      </c>
      <c r="L19" s="807">
        <f>IF(General!$D$24="NO",'Info Entrada'!E113,'Info Entrada'!G113)</f>
        <v>0</v>
      </c>
      <c r="P19" s="738">
        <v>4</v>
      </c>
    </row>
    <row r="20" spans="1:18" x14ac:dyDescent="0.15">
      <c r="A20" s="808"/>
      <c r="B20" s="790" t="s">
        <v>189</v>
      </c>
      <c r="C20" s="809"/>
      <c r="D20" s="809"/>
      <c r="E20" s="809"/>
      <c r="F20" s="742" t="s">
        <v>190</v>
      </c>
      <c r="G20" s="760"/>
      <c r="H20" s="801">
        <f>H15-H19</f>
        <v>0</v>
      </c>
      <c r="I20" s="801">
        <f>I15-I19</f>
        <v>0</v>
      </c>
      <c r="J20" s="802"/>
      <c r="K20" s="803" t="s">
        <v>191</v>
      </c>
      <c r="L20" s="807">
        <f>IF(General!$D$24="NO",'Info Entrada'!E124,'Info Entrada'!G124)</f>
        <v>0</v>
      </c>
      <c r="P20" s="738">
        <v>3.5</v>
      </c>
    </row>
    <row r="21" spans="1:18" x14ac:dyDescent="0.15">
      <c r="A21" s="759" t="s">
        <v>192</v>
      </c>
      <c r="B21" s="810"/>
      <c r="C21" s="763" t="s">
        <v>1345</v>
      </c>
      <c r="D21" s="763"/>
      <c r="E21" s="763"/>
      <c r="F21" s="742" t="s">
        <v>193</v>
      </c>
      <c r="G21" s="760"/>
      <c r="H21" s="801">
        <f>IF(General!$D$24="NO",'Info Entrada'!D77,'Info Entrada'!E77)</f>
        <v>0</v>
      </c>
      <c r="I21" s="801">
        <f>IF(General!$D$24="NO",'Info Entrada'!E77,'Info Entrada'!G77)</f>
        <v>0</v>
      </c>
      <c r="J21" s="802"/>
      <c r="K21" s="803" t="s">
        <v>194</v>
      </c>
      <c r="L21" s="804" t="e">
        <f>L19/L20</f>
        <v>#DIV/0!</v>
      </c>
      <c r="P21" s="738">
        <v>3</v>
      </c>
    </row>
    <row r="22" spans="1:18" x14ac:dyDescent="0.15">
      <c r="A22" s="811" t="s">
        <v>195</v>
      </c>
      <c r="B22" s="812" t="s">
        <v>421</v>
      </c>
      <c r="C22" s="812" t="s">
        <v>196</v>
      </c>
      <c r="D22" s="813" t="s">
        <v>425</v>
      </c>
      <c r="E22" s="813" t="s">
        <v>590</v>
      </c>
      <c r="F22" s="742" t="s">
        <v>197</v>
      </c>
      <c r="G22" s="760"/>
      <c r="H22" s="801">
        <f>IF(General!$D$24="NO",'Info Entrada'!D119,'Info Entrada'!E119)</f>
        <v>0</v>
      </c>
      <c r="I22" s="801">
        <f>IF(General!$D$24="NO",'Info Entrada'!E119,'Info Entrada'!G119)</f>
        <v>0</v>
      </c>
      <c r="J22" s="802"/>
      <c r="K22" s="803" t="s">
        <v>198</v>
      </c>
      <c r="L22" s="814" t="e">
        <f>IF(General!$D$24="NO",Indicadores!F47,Indicadores!H47)</f>
        <v>#DIV/0!</v>
      </c>
      <c r="P22" s="738">
        <v>2.5</v>
      </c>
    </row>
    <row r="23" spans="1:18" x14ac:dyDescent="0.15">
      <c r="A23" s="815">
        <f>+Cuadros!B4</f>
        <v>0</v>
      </c>
      <c r="B23" s="816">
        <f>Cuadros!C4</f>
        <v>0</v>
      </c>
      <c r="C23" s="816">
        <f>Cuadros!G4</f>
        <v>0</v>
      </c>
      <c r="D23" s="816">
        <f>+Cuadros!I4</f>
        <v>0</v>
      </c>
      <c r="E23" s="816">
        <f>+Cuadros!J4</f>
        <v>0</v>
      </c>
      <c r="F23" s="742" t="s">
        <v>199</v>
      </c>
      <c r="G23" s="760"/>
      <c r="H23" s="801">
        <f>IF(General!$D$24="NO",'Info Entrada'!D165,'Info Entrada'!E165)</f>
        <v>0</v>
      </c>
      <c r="I23" s="801">
        <f>IF(General!$D$24="NO",'Info Entrada'!E165,'Info Entrada'!G165)</f>
        <v>0</v>
      </c>
      <c r="J23" s="802"/>
      <c r="K23" s="803" t="s">
        <v>957</v>
      </c>
      <c r="L23" s="814" t="e">
        <f>IF(General!$D$24="NO",('Info Entrada'!E215+'Info Entrada'!E216+'Info Entrada'!E217+'Info Entrada'!E228+'Info Entrada'!E229+'Info Entrada'!E235)/((I21/MONTH(L13))*12),('Info Entrada'!G215+'Info Entrada'!G216+'Info Entrada'!G217+'Info Entrada'!G228+'Info Entrada'!G229+'Info Entrada'!G235)/((I21/MONTH(L13))*12))</f>
        <v>#DIV/0!</v>
      </c>
      <c r="P23" s="738">
        <v>2</v>
      </c>
    </row>
    <row r="24" spans="1:18" x14ac:dyDescent="0.15">
      <c r="A24" s="815">
        <f>+Cuadros!B5</f>
        <v>0</v>
      </c>
      <c r="B24" s="816">
        <f>Cuadros!C5</f>
        <v>0</v>
      </c>
      <c r="C24" s="816">
        <f>Cuadros!G5</f>
        <v>0</v>
      </c>
      <c r="D24" s="816">
        <f>+Cuadros!I5</f>
        <v>0</v>
      </c>
      <c r="E24" s="816">
        <f>+Cuadros!J5</f>
        <v>0</v>
      </c>
      <c r="F24" s="742" t="s">
        <v>200</v>
      </c>
      <c r="G24" s="760"/>
      <c r="H24" s="801">
        <f ca="1">IF(General!$D$24="NO",Cuadros!N34,Cuadros!O34)</f>
        <v>0</v>
      </c>
      <c r="I24" s="801">
        <f ca="1">IF(General!$D$24="NO",Cuadros!O34,Cuadros!AH34)</f>
        <v>0</v>
      </c>
      <c r="J24" s="802"/>
      <c r="K24" s="803"/>
      <c r="L24" s="817"/>
      <c r="P24" s="738">
        <v>1.5</v>
      </c>
    </row>
    <row r="25" spans="1:18" x14ac:dyDescent="0.15">
      <c r="A25" s="815">
        <f>+Cuadros!B6</f>
        <v>0</v>
      </c>
      <c r="B25" s="816">
        <f>Cuadros!C6</f>
        <v>0</v>
      </c>
      <c r="C25" s="816">
        <f>Cuadros!G6</f>
        <v>0</v>
      </c>
      <c r="D25" s="816">
        <f>+Cuadros!I6</f>
        <v>0</v>
      </c>
      <c r="E25" s="816">
        <f>+Cuadros!J6</f>
        <v>0</v>
      </c>
      <c r="F25" s="742" t="s">
        <v>201</v>
      </c>
      <c r="G25" s="760"/>
      <c r="H25" s="801">
        <f ca="1">IF(General!$D$24="NO",'Resumen EEFF'!C60*'Resumen EEFF'!$A$8,'Resumen EEFF'!D60*'Resumen EEFF'!$A$8)</f>
        <v>0</v>
      </c>
      <c r="I25" s="801">
        <f ca="1">IF(General!$D$24="NO",'Resumen EEFF'!D60*'Resumen EEFF'!$A$8,'Resumen EEFF'!V60*'Resumen EEFF'!$A$8)</f>
        <v>0</v>
      </c>
      <c r="J25" s="802"/>
      <c r="K25" s="803"/>
      <c r="L25" s="818"/>
      <c r="P25" s="738">
        <v>1</v>
      </c>
    </row>
    <row r="26" spans="1:18" x14ac:dyDescent="0.15">
      <c r="A26" s="815">
        <f>+Cuadros!B7</f>
        <v>0</v>
      </c>
      <c r="B26" s="816">
        <f>Cuadros!C7</f>
        <v>0</v>
      </c>
      <c r="C26" s="816">
        <f>Cuadros!G7</f>
        <v>0</v>
      </c>
      <c r="D26" s="816">
        <f>+Cuadros!I7</f>
        <v>0</v>
      </c>
      <c r="E26" s="816">
        <f>+Cuadros!J7</f>
        <v>0</v>
      </c>
      <c r="F26" s="809"/>
      <c r="G26" s="790" t="s">
        <v>628</v>
      </c>
      <c r="H26" s="809"/>
      <c r="I26" s="809"/>
      <c r="J26" s="809"/>
      <c r="K26" s="819"/>
      <c r="L26" s="820"/>
    </row>
    <row r="27" spans="1:18" x14ac:dyDescent="0.15">
      <c r="A27" s="815">
        <f>+Cuadros!B8</f>
        <v>0</v>
      </c>
      <c r="B27" s="816">
        <f>Cuadros!C8</f>
        <v>0</v>
      </c>
      <c r="C27" s="816">
        <f>Cuadros!G8</f>
        <v>0</v>
      </c>
      <c r="D27" s="816">
        <f>+Cuadros!I8</f>
        <v>0</v>
      </c>
      <c r="E27" s="816">
        <f>+Cuadros!J8</f>
        <v>0</v>
      </c>
      <c r="F27" s="760" t="s">
        <v>202</v>
      </c>
      <c r="G27" s="821">
        <v>40148</v>
      </c>
      <c r="H27" s="821" t="s">
        <v>631</v>
      </c>
      <c r="I27" s="763"/>
      <c r="J27" s="760"/>
      <c r="K27" s="821">
        <f>G27</f>
        <v>40148</v>
      </c>
      <c r="L27" s="822" t="str">
        <f>H27</f>
        <v>Año actual</v>
      </c>
      <c r="P27" s="738" t="s">
        <v>597</v>
      </c>
    </row>
    <row r="28" spans="1:18" x14ac:dyDescent="0.15">
      <c r="A28" s="815">
        <f>+Cuadros!B9</f>
        <v>0</v>
      </c>
      <c r="B28" s="816">
        <f>Cuadros!C9</f>
        <v>0</v>
      </c>
      <c r="C28" s="816">
        <f>Cuadros!G9</f>
        <v>0</v>
      </c>
      <c r="D28" s="816">
        <f>+Cuadros!I9</f>
        <v>0</v>
      </c>
      <c r="E28" s="816">
        <f>+Cuadros!J9</f>
        <v>0</v>
      </c>
      <c r="F28" s="760" t="s">
        <v>629</v>
      </c>
      <c r="G28" s="823">
        <v>0</v>
      </c>
      <c r="H28" s="823">
        <v>0</v>
      </c>
      <c r="I28" s="816"/>
      <c r="J28" s="760" t="s">
        <v>632</v>
      </c>
      <c r="K28" s="823">
        <v>0</v>
      </c>
      <c r="L28" s="824">
        <v>0</v>
      </c>
      <c r="P28" s="738" t="s">
        <v>741</v>
      </c>
    </row>
    <row r="29" spans="1:18" x14ac:dyDescent="0.15">
      <c r="A29" s="815">
        <f>+Cuadros!B10</f>
        <v>0</v>
      </c>
      <c r="B29" s="816">
        <f>Cuadros!C10</f>
        <v>0</v>
      </c>
      <c r="C29" s="816">
        <f>Cuadros!G10</f>
        <v>0</v>
      </c>
      <c r="D29" s="816">
        <f>+Cuadros!I10</f>
        <v>0</v>
      </c>
      <c r="E29" s="816">
        <f>+Cuadros!J10</f>
        <v>0</v>
      </c>
      <c r="F29" s="760" t="s">
        <v>562</v>
      </c>
      <c r="G29" s="823">
        <v>0</v>
      </c>
      <c r="H29" s="823">
        <v>0</v>
      </c>
      <c r="I29" s="816"/>
      <c r="J29" s="760" t="s">
        <v>633</v>
      </c>
      <c r="K29" s="823">
        <v>0</v>
      </c>
      <c r="L29" s="824">
        <v>0</v>
      </c>
    </row>
    <row r="30" spans="1:18" x14ac:dyDescent="0.15">
      <c r="A30" s="815">
        <f>+Cuadros!B11</f>
        <v>0</v>
      </c>
      <c r="B30" s="816">
        <f>Cuadros!C11</f>
        <v>0</v>
      </c>
      <c r="C30" s="816">
        <f>Cuadros!G11</f>
        <v>0</v>
      </c>
      <c r="D30" s="816">
        <f>+Cuadros!I11</f>
        <v>0</v>
      </c>
      <c r="E30" s="816">
        <f>+Cuadros!J11</f>
        <v>0</v>
      </c>
      <c r="F30" s="760" t="s">
        <v>630</v>
      </c>
      <c r="G30" s="823">
        <v>0</v>
      </c>
      <c r="H30" s="823">
        <v>0</v>
      </c>
      <c r="I30" s="816"/>
      <c r="J30" s="760" t="s">
        <v>203</v>
      </c>
      <c r="K30" s="823">
        <f>SUM(G28:G30)+K28+K29</f>
        <v>0</v>
      </c>
      <c r="L30" s="824">
        <f>SUM(H28:H30)+L28+L29</f>
        <v>0</v>
      </c>
    </row>
    <row r="31" spans="1:18" x14ac:dyDescent="0.15">
      <c r="A31" s="759" t="s">
        <v>204</v>
      </c>
      <c r="B31" s="825">
        <f>SUM(B23:B30)</f>
        <v>0</v>
      </c>
      <c r="C31" s="825">
        <f>SUM(C23:C30)</f>
        <v>0</v>
      </c>
      <c r="D31" s="826"/>
      <c r="E31" s="826"/>
      <c r="F31" s="743"/>
      <c r="G31" s="816"/>
      <c r="H31" s="816"/>
      <c r="I31" s="816"/>
      <c r="J31" s="827"/>
      <c r="K31" s="828"/>
      <c r="L31" s="829"/>
      <c r="O31" s="738" t="s">
        <v>515</v>
      </c>
      <c r="R31" s="738" t="s">
        <v>521</v>
      </c>
    </row>
    <row r="32" spans="1:18" x14ac:dyDescent="0.15">
      <c r="A32" s="808"/>
      <c r="B32" s="809"/>
      <c r="C32" s="809"/>
      <c r="D32" s="790" t="s">
        <v>205</v>
      </c>
      <c r="E32" s="809"/>
      <c r="F32" s="809"/>
      <c r="G32" s="809"/>
      <c r="H32" s="809"/>
      <c r="I32" s="809"/>
      <c r="J32" s="819"/>
      <c r="K32" s="819"/>
      <c r="L32" s="820"/>
      <c r="O32" s="805" t="s">
        <v>1344</v>
      </c>
      <c r="R32" s="738" t="s">
        <v>522</v>
      </c>
    </row>
    <row r="33" spans="1:19" x14ac:dyDescent="0.15">
      <c r="A33" s="794"/>
      <c r="B33" s="795" t="s">
        <v>206</v>
      </c>
      <c r="C33" s="795"/>
      <c r="D33" s="795" t="s">
        <v>207</v>
      </c>
      <c r="E33" s="795" t="s">
        <v>208</v>
      </c>
      <c r="F33" s="795" t="s">
        <v>209</v>
      </c>
      <c r="G33" s="795"/>
      <c r="H33" s="795"/>
      <c r="I33" s="795" t="s">
        <v>210</v>
      </c>
      <c r="J33" s="802"/>
      <c r="K33" s="802"/>
      <c r="L33" s="830"/>
      <c r="O33" s="738" t="s">
        <v>516</v>
      </c>
    </row>
    <row r="34" spans="1:19" x14ac:dyDescent="0.15">
      <c r="A34" s="831" t="s">
        <v>211</v>
      </c>
      <c r="B34" s="760" t="s">
        <v>212</v>
      </c>
      <c r="C34" s="743"/>
      <c r="D34" s="826"/>
      <c r="E34" s="826"/>
      <c r="F34" s="826"/>
      <c r="G34" s="832"/>
      <c r="H34" s="3551"/>
      <c r="I34" s="3551"/>
      <c r="J34" s="3551"/>
      <c r="K34" s="3551"/>
      <c r="L34" s="3552"/>
      <c r="O34" s="738" t="s">
        <v>517</v>
      </c>
    </row>
    <row r="35" spans="1:19" x14ac:dyDescent="0.15">
      <c r="A35" s="831" t="s">
        <v>213</v>
      </c>
      <c r="B35" s="760" t="s">
        <v>214</v>
      </c>
      <c r="C35" s="743"/>
      <c r="D35" s="826"/>
      <c r="E35" s="826"/>
      <c r="F35" s="826"/>
      <c r="G35" s="832"/>
      <c r="H35" s="3551"/>
      <c r="I35" s="3551"/>
      <c r="J35" s="3551"/>
      <c r="K35" s="3551"/>
      <c r="L35" s="3552"/>
      <c r="O35" s="738" t="s">
        <v>518</v>
      </c>
      <c r="R35" s="738" t="s">
        <v>523</v>
      </c>
    </row>
    <row r="36" spans="1:19" x14ac:dyDescent="0.15">
      <c r="A36" s="831" t="s">
        <v>215</v>
      </c>
      <c r="B36" s="760" t="s">
        <v>216</v>
      </c>
      <c r="C36" s="743"/>
      <c r="D36" s="826"/>
      <c r="E36" s="826"/>
      <c r="F36" s="826"/>
      <c r="G36" s="832"/>
      <c r="H36" s="3551"/>
      <c r="I36" s="3551"/>
      <c r="J36" s="3551"/>
      <c r="K36" s="3551"/>
      <c r="L36" s="3552"/>
      <c r="O36" s="738" t="s">
        <v>519</v>
      </c>
      <c r="R36" s="738" t="s">
        <v>524</v>
      </c>
    </row>
    <row r="37" spans="1:19" x14ac:dyDescent="0.15">
      <c r="A37" s="831" t="s">
        <v>217</v>
      </c>
      <c r="B37" s="760" t="s">
        <v>218</v>
      </c>
      <c r="C37" s="743"/>
      <c r="D37" s="826"/>
      <c r="E37" s="826"/>
      <c r="F37" s="826"/>
      <c r="G37" s="832"/>
      <c r="H37" s="3551"/>
      <c r="I37" s="3551"/>
      <c r="J37" s="3551"/>
      <c r="K37" s="3551"/>
      <c r="L37" s="3552"/>
      <c r="O37" s="738" t="s">
        <v>520</v>
      </c>
      <c r="R37" s="738" t="s">
        <v>525</v>
      </c>
    </row>
    <row r="38" spans="1:19" x14ac:dyDescent="0.15">
      <c r="A38" s="833" t="s">
        <v>219</v>
      </c>
      <c r="B38" s="834"/>
      <c r="C38" s="835">
        <f>+Posiciones!F25+Posiciones!F31+Posiciones!F37+Posiciones!F43+Posiciones!F49+Posiciones!F55+Posiciones!F61</f>
        <v>0</v>
      </c>
      <c r="D38" s="836" t="s">
        <v>221</v>
      </c>
      <c r="E38" s="837"/>
      <c r="F38" s="836" t="s">
        <v>222</v>
      </c>
      <c r="G38" s="835">
        <f>+Posiciones!G25+Posiciones!G31+Posiciones!G37+Posiciones!G43+Posiciones!G49+Posiciones!G55+Posiciones!G61</f>
        <v>0</v>
      </c>
      <c r="H38" s="834"/>
      <c r="I38" s="838" t="s">
        <v>223</v>
      </c>
      <c r="J38" s="834"/>
      <c r="K38" s="839">
        <v>0</v>
      </c>
      <c r="L38" s="840"/>
    </row>
    <row r="39" spans="1:19" x14ac:dyDescent="0.15">
      <c r="A39" s="833" t="s">
        <v>224</v>
      </c>
      <c r="B39" s="834"/>
      <c r="C39" s="835">
        <f>+Posiciones!F18</f>
        <v>0</v>
      </c>
      <c r="D39" s="836" t="s">
        <v>221</v>
      </c>
      <c r="E39" s="837">
        <f>+Posiciones!C10</f>
        <v>0</v>
      </c>
      <c r="F39" s="836" t="s">
        <v>222</v>
      </c>
      <c r="G39" s="835">
        <f>+Posiciones!G18</f>
        <v>0</v>
      </c>
      <c r="H39" s="834"/>
      <c r="I39" s="838" t="s">
        <v>225</v>
      </c>
      <c r="J39" s="834"/>
      <c r="K39" s="839">
        <v>0</v>
      </c>
      <c r="L39" s="840"/>
    </row>
    <row r="40" spans="1:19" x14ac:dyDescent="0.15">
      <c r="A40" s="841" t="s">
        <v>497</v>
      </c>
      <c r="B40" s="834"/>
      <c r="C40" s="842">
        <f>+C38+C39</f>
        <v>0</v>
      </c>
      <c r="D40" s="836"/>
      <c r="E40" s="843"/>
      <c r="F40" s="836"/>
      <c r="G40" s="842">
        <f>+G39+G38</f>
        <v>0</v>
      </c>
      <c r="H40" s="834"/>
      <c r="I40" s="834"/>
      <c r="J40" s="834"/>
      <c r="K40" s="834"/>
      <c r="L40" s="840"/>
    </row>
    <row r="41" spans="1:19" ht="18" x14ac:dyDescent="0.15">
      <c r="A41" s="844"/>
      <c r="B41" s="743"/>
      <c r="C41" s="845"/>
      <c r="D41" s="846"/>
      <c r="E41" s="743"/>
      <c r="F41" s="743"/>
      <c r="G41" s="743"/>
      <c r="H41" s="743"/>
      <c r="I41" s="847"/>
      <c r="J41" s="743"/>
      <c r="K41" s="847"/>
      <c r="L41" s="848"/>
      <c r="M41" s="849"/>
      <c r="N41" s="849"/>
    </row>
    <row r="42" spans="1:19" ht="18" x14ac:dyDescent="0.15">
      <c r="A42" s="844"/>
      <c r="B42" s="743"/>
      <c r="C42" s="845"/>
      <c r="D42" s="846"/>
      <c r="E42" s="743"/>
      <c r="F42" s="743"/>
      <c r="G42" s="743"/>
      <c r="H42" s="743"/>
      <c r="I42" s="847"/>
      <c r="J42" s="743"/>
      <c r="K42" s="847"/>
      <c r="L42" s="848"/>
      <c r="M42" s="849"/>
      <c r="N42" s="849"/>
    </row>
    <row r="43" spans="1:19" ht="18" x14ac:dyDescent="0.15">
      <c r="A43" s="844"/>
      <c r="B43" s="743"/>
      <c r="C43" s="845"/>
      <c r="D43" s="846" t="s">
        <v>1356</v>
      </c>
      <c r="E43" s="743"/>
      <c r="F43" s="743"/>
      <c r="G43" s="743"/>
      <c r="H43" s="743"/>
      <c r="I43" s="847"/>
      <c r="J43" s="743"/>
      <c r="K43" s="847"/>
      <c r="L43" s="848"/>
      <c r="M43" s="849"/>
      <c r="N43" s="849"/>
    </row>
    <row r="44" spans="1:19" x14ac:dyDescent="0.15">
      <c r="A44" s="853" t="s">
        <v>242</v>
      </c>
      <c r="B44" s="834"/>
      <c r="C44" s="854">
        <f>SUM(C46:C52)</f>
        <v>0</v>
      </c>
      <c r="D44" s="836" t="s">
        <v>634</v>
      </c>
      <c r="E44" s="834" t="s">
        <v>977</v>
      </c>
      <c r="F44" s="834"/>
      <c r="G44" s="855" t="s">
        <v>635</v>
      </c>
      <c r="H44" s="834"/>
      <c r="I44" s="792"/>
      <c r="J44" s="792"/>
      <c r="K44" s="792"/>
      <c r="L44" s="793"/>
    </row>
    <row r="45" spans="1:19" x14ac:dyDescent="0.15">
      <c r="A45" s="856"/>
      <c r="B45" s="795"/>
      <c r="C45" s="795" t="s">
        <v>227</v>
      </c>
      <c r="D45" s="795" t="s">
        <v>228</v>
      </c>
      <c r="E45" s="795" t="s">
        <v>229</v>
      </c>
      <c r="F45" s="795" t="s">
        <v>232</v>
      </c>
      <c r="G45" s="795" t="s">
        <v>233</v>
      </c>
      <c r="H45" s="795" t="s">
        <v>234</v>
      </c>
      <c r="I45" s="795" t="s">
        <v>235</v>
      </c>
      <c r="J45" s="795" t="s">
        <v>243</v>
      </c>
      <c r="K45" s="795" t="s">
        <v>244</v>
      </c>
      <c r="L45" s="830"/>
    </row>
    <row r="46" spans="1:19" x14ac:dyDescent="0.15">
      <c r="A46" s="850" t="s">
        <v>974</v>
      </c>
      <c r="B46" s="743"/>
      <c r="C46" s="816"/>
      <c r="D46" s="826"/>
      <c r="E46" s="826"/>
      <c r="F46" s="826"/>
      <c r="G46" s="851"/>
      <c r="H46" s="826"/>
      <c r="I46" s="851"/>
      <c r="J46" s="826"/>
      <c r="K46" s="785"/>
      <c r="L46" s="852"/>
      <c r="O46" s="738" t="s">
        <v>526</v>
      </c>
      <c r="Q46" s="738" t="s">
        <v>532</v>
      </c>
      <c r="S46" s="738" t="s">
        <v>536</v>
      </c>
    </row>
    <row r="47" spans="1:19" x14ac:dyDescent="0.15">
      <c r="A47" s="850" t="s">
        <v>975</v>
      </c>
      <c r="B47" s="743"/>
      <c r="C47" s="816"/>
      <c r="D47" s="826"/>
      <c r="E47" s="826"/>
      <c r="F47" s="826"/>
      <c r="G47" s="851"/>
      <c r="H47" s="826"/>
      <c r="I47" s="851"/>
      <c r="J47" s="857"/>
      <c r="K47" s="785"/>
      <c r="L47" s="852"/>
      <c r="O47" s="738" t="s">
        <v>527</v>
      </c>
      <c r="Q47" s="738" t="s">
        <v>533</v>
      </c>
      <c r="S47" s="738">
        <v>1</v>
      </c>
    </row>
    <row r="48" spans="1:19" x14ac:dyDescent="0.15">
      <c r="A48" s="850" t="s">
        <v>976</v>
      </c>
      <c r="B48" s="743"/>
      <c r="C48" s="816"/>
      <c r="D48" s="826"/>
      <c r="E48" s="826"/>
      <c r="F48" s="826"/>
      <c r="G48" s="851"/>
      <c r="H48" s="851"/>
      <c r="I48" s="858"/>
      <c r="J48" s="857"/>
      <c r="K48" s="785"/>
      <c r="L48" s="852"/>
      <c r="O48" s="738" t="s">
        <v>977</v>
      </c>
      <c r="Q48" s="738" t="s">
        <v>850</v>
      </c>
      <c r="S48" s="738">
        <v>2</v>
      </c>
    </row>
    <row r="49" spans="1:19" x14ac:dyDescent="0.15">
      <c r="A49" s="850" t="s">
        <v>237</v>
      </c>
      <c r="B49" s="743"/>
      <c r="C49" s="816"/>
      <c r="D49" s="826"/>
      <c r="E49" s="826"/>
      <c r="F49" s="826"/>
      <c r="G49" s="851"/>
      <c r="H49" s="826"/>
      <c r="I49" s="858"/>
      <c r="J49" s="857"/>
      <c r="K49" s="785"/>
      <c r="L49" s="852"/>
      <c r="O49" s="738" t="s">
        <v>528</v>
      </c>
      <c r="Q49" s="738" t="s">
        <v>851</v>
      </c>
      <c r="S49" s="738">
        <v>3</v>
      </c>
    </row>
    <row r="50" spans="1:19" x14ac:dyDescent="0.15">
      <c r="A50" s="850" t="s">
        <v>239</v>
      </c>
      <c r="B50" s="743"/>
      <c r="C50" s="816"/>
      <c r="D50" s="826"/>
      <c r="E50" s="826"/>
      <c r="F50" s="826"/>
      <c r="G50" s="851"/>
      <c r="H50" s="826"/>
      <c r="I50" s="851"/>
      <c r="J50" s="857"/>
      <c r="K50" s="785"/>
      <c r="L50" s="852"/>
      <c r="O50" s="738" t="s">
        <v>529</v>
      </c>
      <c r="Q50" s="738" t="s">
        <v>534</v>
      </c>
      <c r="S50" s="738">
        <v>4</v>
      </c>
    </row>
    <row r="51" spans="1:19" x14ac:dyDescent="0.15">
      <c r="A51" s="850" t="s">
        <v>240</v>
      </c>
      <c r="B51" s="743"/>
      <c r="C51" s="816"/>
      <c r="D51" s="826"/>
      <c r="E51" s="826"/>
      <c r="F51" s="826"/>
      <c r="G51" s="851"/>
      <c r="H51" s="826"/>
      <c r="I51" s="851"/>
      <c r="J51" s="826"/>
      <c r="K51" s="785"/>
      <c r="L51" s="852"/>
      <c r="O51" s="738" t="s">
        <v>530</v>
      </c>
      <c r="Q51" s="738" t="s">
        <v>535</v>
      </c>
    </row>
    <row r="52" spans="1:19" x14ac:dyDescent="0.15">
      <c r="A52" s="850" t="s">
        <v>238</v>
      </c>
      <c r="B52" s="743"/>
      <c r="C52" s="816"/>
      <c r="D52" s="826"/>
      <c r="E52" s="826"/>
      <c r="F52" s="826"/>
      <c r="G52" s="851"/>
      <c r="H52" s="826"/>
      <c r="I52" s="851"/>
      <c r="J52" s="826"/>
      <c r="K52" s="785"/>
      <c r="L52" s="852"/>
      <c r="O52" s="738" t="s">
        <v>531</v>
      </c>
      <c r="Q52" s="738" t="s">
        <v>849</v>
      </c>
    </row>
    <row r="53" spans="1:19" x14ac:dyDescent="0.15">
      <c r="A53" s="850"/>
      <c r="B53" s="743"/>
      <c r="C53" s="816"/>
      <c r="D53" s="826"/>
      <c r="E53" s="826"/>
      <c r="F53" s="826"/>
      <c r="G53" s="851"/>
      <c r="H53" s="826"/>
      <c r="I53" s="851"/>
      <c r="J53" s="826"/>
      <c r="K53" s="785"/>
      <c r="L53" s="852"/>
    </row>
    <row r="54" spans="1:19" x14ac:dyDescent="0.15">
      <c r="A54" s="850"/>
      <c r="B54" s="743"/>
      <c r="C54" s="816"/>
      <c r="D54" s="826"/>
      <c r="E54" s="826"/>
      <c r="F54" s="826"/>
      <c r="G54" s="851"/>
      <c r="H54" s="826"/>
      <c r="I54" s="851"/>
      <c r="J54" s="826"/>
      <c r="K54" s="785"/>
      <c r="L54" s="852"/>
    </row>
    <row r="55" spans="1:19" x14ac:dyDescent="0.15">
      <c r="A55" s="850"/>
      <c r="B55" s="743"/>
      <c r="C55" s="816"/>
      <c r="D55" s="826"/>
      <c r="E55" s="826"/>
      <c r="F55" s="826"/>
      <c r="G55" s="851"/>
      <c r="H55" s="826"/>
      <c r="I55" s="851"/>
      <c r="J55" s="826"/>
      <c r="K55" s="785"/>
      <c r="L55" s="852"/>
    </row>
    <row r="56" spans="1:19" x14ac:dyDescent="0.15">
      <c r="A56" s="850"/>
      <c r="B56" s="743"/>
      <c r="C56" s="816"/>
      <c r="D56" s="826"/>
      <c r="E56" s="826"/>
      <c r="F56" s="826"/>
      <c r="G56" s="851"/>
      <c r="H56" s="826"/>
      <c r="I56" s="851"/>
      <c r="J56" s="826"/>
      <c r="K56" s="785"/>
      <c r="L56" s="852"/>
    </row>
    <row r="57" spans="1:19" x14ac:dyDescent="0.15">
      <c r="A57" s="859"/>
      <c r="B57" s="743"/>
      <c r="C57" s="816"/>
      <c r="D57" s="826"/>
      <c r="E57" s="826"/>
      <c r="F57" s="826"/>
      <c r="G57" s="851"/>
      <c r="H57" s="826"/>
      <c r="I57" s="851"/>
      <c r="J57" s="826"/>
      <c r="K57" s="785"/>
      <c r="L57" s="852"/>
    </row>
    <row r="58" spans="1:19" x14ac:dyDescent="0.15">
      <c r="A58" s="3547" t="s">
        <v>597</v>
      </c>
      <c r="B58" s="3548"/>
      <c r="C58" s="3548"/>
      <c r="D58" s="860"/>
      <c r="E58" s="860"/>
      <c r="F58" s="860"/>
      <c r="G58" s="860"/>
      <c r="H58" s="860"/>
      <c r="I58" s="860"/>
      <c r="J58" s="861"/>
      <c r="K58" s="861"/>
      <c r="L58" s="862"/>
    </row>
    <row r="59" spans="1:19" x14ac:dyDescent="0.15">
      <c r="A59" s="794" t="s">
        <v>589</v>
      </c>
      <c r="B59" s="760"/>
      <c r="C59" s="760"/>
      <c r="D59" s="760"/>
      <c r="E59" s="760"/>
      <c r="F59" s="760"/>
      <c r="G59" s="760"/>
      <c r="H59" s="760"/>
      <c r="I59" s="760"/>
      <c r="J59" s="802"/>
      <c r="K59" s="802"/>
      <c r="L59" s="830"/>
    </row>
    <row r="60" spans="1:19" x14ac:dyDescent="0.15">
      <c r="A60" s="794"/>
      <c r="B60" s="760"/>
      <c r="C60" s="760"/>
      <c r="D60" s="760"/>
      <c r="E60" s="760"/>
      <c r="F60" s="760"/>
      <c r="G60" s="760"/>
      <c r="H60" s="760"/>
      <c r="I60" s="760"/>
      <c r="J60" s="802"/>
      <c r="K60" s="802"/>
      <c r="L60" s="830"/>
    </row>
    <row r="61" spans="1:19" x14ac:dyDescent="0.15">
      <c r="A61" s="794"/>
      <c r="B61" s="760"/>
      <c r="C61" s="760"/>
      <c r="D61" s="760"/>
      <c r="E61" s="760"/>
      <c r="F61" s="760"/>
      <c r="G61" s="760"/>
      <c r="H61" s="760"/>
      <c r="I61" s="760"/>
      <c r="J61" s="802"/>
      <c r="K61" s="802"/>
      <c r="L61" s="830"/>
    </row>
    <row r="62" spans="1:19" x14ac:dyDescent="0.15">
      <c r="A62" s="794"/>
      <c r="B62" s="760"/>
      <c r="C62" s="760"/>
      <c r="D62" s="760"/>
      <c r="E62" s="760"/>
      <c r="F62" s="760"/>
      <c r="G62" s="760"/>
      <c r="H62" s="760"/>
      <c r="I62" s="760"/>
      <c r="J62" s="802"/>
      <c r="K62" s="802"/>
      <c r="L62" s="830"/>
    </row>
    <row r="63" spans="1:19" x14ac:dyDescent="0.15">
      <c r="A63" s="794"/>
      <c r="B63" s="760"/>
      <c r="C63" s="760"/>
      <c r="D63" s="760"/>
      <c r="E63" s="760"/>
      <c r="F63" s="760"/>
      <c r="G63" s="760"/>
      <c r="H63" s="760"/>
      <c r="I63" s="760"/>
      <c r="J63" s="802"/>
      <c r="K63" s="802"/>
      <c r="L63" s="830"/>
    </row>
    <row r="64" spans="1:19" x14ac:dyDescent="0.15">
      <c r="A64" s="863"/>
      <c r="B64" s="802"/>
      <c r="C64" s="802"/>
      <c r="D64" s="802"/>
      <c r="E64" s="802"/>
      <c r="F64" s="802"/>
      <c r="G64" s="802"/>
      <c r="H64" s="802"/>
      <c r="I64" s="802"/>
      <c r="J64" s="802"/>
      <c r="K64" s="802"/>
      <c r="L64" s="830"/>
    </row>
    <row r="65" spans="1:17" x14ac:dyDescent="0.15">
      <c r="A65" s="864">
        <f>IF(A58="RESOLUCION COMITÉ EJECUTIVO DE FECHA :",Cuadros!C97,Cuadros!C96)</f>
        <v>0</v>
      </c>
      <c r="B65" s="802"/>
      <c r="C65" s="802"/>
      <c r="D65" s="802"/>
      <c r="E65" s="802"/>
      <c r="F65" s="802"/>
      <c r="G65" s="802"/>
      <c r="H65" s="802"/>
      <c r="I65" s="802"/>
      <c r="J65" s="802"/>
      <c r="K65" s="802"/>
      <c r="L65" s="830"/>
    </row>
    <row r="66" spans="1:17" ht="13.5" thickBot="1" x14ac:dyDescent="0.2">
      <c r="A66" s="863"/>
      <c r="B66" s="802"/>
      <c r="C66" s="802"/>
      <c r="D66" s="802"/>
      <c r="E66" s="802"/>
      <c r="F66" s="802"/>
      <c r="G66" s="802"/>
      <c r="H66" s="802"/>
      <c r="I66" s="802"/>
      <c r="J66" s="802"/>
      <c r="K66" s="802"/>
      <c r="L66" s="830"/>
    </row>
    <row r="67" spans="1:17" ht="13.5" customHeight="1" thickBot="1" x14ac:dyDescent="0.2">
      <c r="A67" s="3540" t="str">
        <f>IF(L2="SI","Rating Automatizado","Valoración anterior")</f>
        <v>Rating Automatizado</v>
      </c>
      <c r="B67" s="3542" t="s">
        <v>248</v>
      </c>
      <c r="C67" s="3543"/>
      <c r="D67" s="3543"/>
      <c r="E67" s="3543"/>
      <c r="F67" s="3543"/>
      <c r="G67" s="3544"/>
      <c r="H67" s="3530" t="s">
        <v>1089</v>
      </c>
      <c r="I67" s="3530" t="s">
        <v>1091</v>
      </c>
      <c r="J67" s="3545" t="s">
        <v>1093</v>
      </c>
      <c r="K67" s="3530" t="s">
        <v>626</v>
      </c>
      <c r="L67" s="3530" t="s">
        <v>203</v>
      </c>
    </row>
    <row r="68" spans="1:17" ht="14.25" customHeight="1" thickBot="1" x14ac:dyDescent="0.2">
      <c r="A68" s="3541"/>
      <c r="B68" s="865" t="s">
        <v>250</v>
      </c>
      <c r="C68" s="866" t="s">
        <v>251</v>
      </c>
      <c r="D68" s="867" t="s">
        <v>252</v>
      </c>
      <c r="E68" s="866" t="s">
        <v>253</v>
      </c>
      <c r="F68" s="867" t="s">
        <v>254</v>
      </c>
      <c r="G68" s="866" t="s">
        <v>255</v>
      </c>
      <c r="H68" s="3539"/>
      <c r="I68" s="3539"/>
      <c r="J68" s="3546"/>
      <c r="K68" s="3539"/>
      <c r="L68" s="3531"/>
    </row>
    <row r="69" spans="1:17" ht="13.5" thickBot="1" x14ac:dyDescent="0.2">
      <c r="A69" s="868"/>
      <c r="B69" s="868"/>
      <c r="C69" s="869"/>
      <c r="D69" s="870"/>
      <c r="E69" s="869"/>
      <c r="F69" s="870"/>
      <c r="G69" s="871"/>
      <c r="H69" s="869" t="str">
        <f>IF(L2="NO",(B69*0.2)+(C69*0.15)+(D69*0.1)+(E69*0.15)+(F69*0.25)+(G69*0.15),"digitar rating combinado")</f>
        <v>digitar rating combinado</v>
      </c>
      <c r="I69" s="872">
        <v>0</v>
      </c>
      <c r="J69" s="870">
        <v>0</v>
      </c>
      <c r="K69" s="873">
        <v>0</v>
      </c>
      <c r="L69" s="869" t="str">
        <f>IF(H69&gt;J69,H69,((J69-H69)*I69)+H69)</f>
        <v>digitar rating combinado</v>
      </c>
    </row>
    <row r="70" spans="1:17" x14ac:dyDescent="0.15">
      <c r="A70" s="863"/>
      <c r="B70" s="802"/>
      <c r="C70" s="802"/>
      <c r="D70" s="802"/>
      <c r="E70" s="802"/>
      <c r="G70" s="802"/>
      <c r="I70" s="874"/>
      <c r="K70" s="875" t="s">
        <v>256</v>
      </c>
      <c r="L70" s="876">
        <v>0</v>
      </c>
      <c r="O70" s="877"/>
      <c r="P70" s="877"/>
      <c r="Q70" s="877"/>
    </row>
    <row r="71" spans="1:17" x14ac:dyDescent="0.15">
      <c r="A71" s="878"/>
      <c r="B71" s="802"/>
      <c r="C71" s="802"/>
      <c r="D71" s="802"/>
      <c r="E71" s="802"/>
      <c r="G71" s="802"/>
      <c r="I71" s="874"/>
      <c r="K71" s="879" t="s">
        <v>257</v>
      </c>
      <c r="L71" s="880">
        <v>0</v>
      </c>
      <c r="O71" s="877"/>
      <c r="P71" s="877"/>
      <c r="Q71" s="877"/>
    </row>
    <row r="72" spans="1:17" ht="13.5" thickBot="1" x14ac:dyDescent="0.2">
      <c r="A72" s="863"/>
      <c r="B72" s="802"/>
      <c r="C72" s="802"/>
      <c r="D72" s="802"/>
      <c r="E72" s="802"/>
      <c r="G72" s="802"/>
      <c r="I72" s="874"/>
      <c r="K72" s="881" t="s">
        <v>258</v>
      </c>
      <c r="L72" s="882" t="e">
        <f>+L69+L70-L71</f>
        <v>#VALUE!</v>
      </c>
      <c r="O72" s="877"/>
      <c r="P72" s="877"/>
      <c r="Q72" s="877"/>
    </row>
    <row r="73" spans="1:17" x14ac:dyDescent="0.15">
      <c r="A73" s="863"/>
      <c r="B73" s="802"/>
      <c r="C73" s="802"/>
      <c r="D73" s="802"/>
      <c r="E73" s="802"/>
      <c r="F73" s="802"/>
      <c r="G73" s="802"/>
      <c r="H73" s="802"/>
      <c r="I73" s="802"/>
      <c r="J73" s="802"/>
      <c r="K73" s="802"/>
      <c r="L73" s="830"/>
      <c r="O73" s="877"/>
      <c r="P73" s="877"/>
      <c r="Q73" s="877"/>
    </row>
    <row r="74" spans="1:17" x14ac:dyDescent="0.15">
      <c r="A74" s="863"/>
      <c r="B74" s="802"/>
      <c r="C74" s="802"/>
      <c r="D74" s="802"/>
      <c r="E74" s="802"/>
      <c r="F74" s="802"/>
      <c r="G74" s="802"/>
      <c r="H74" s="802"/>
      <c r="I74" s="802"/>
      <c r="J74" s="802"/>
      <c r="K74" s="802"/>
      <c r="L74" s="830"/>
      <c r="O74" s="877"/>
      <c r="P74" s="877"/>
      <c r="Q74" s="877"/>
    </row>
    <row r="75" spans="1:17" x14ac:dyDescent="0.15">
      <c r="A75" s="863"/>
      <c r="B75" s="802"/>
      <c r="C75" s="802"/>
      <c r="D75" s="802"/>
      <c r="E75" s="802"/>
      <c r="F75" s="802"/>
      <c r="G75" s="802"/>
      <c r="H75" s="802"/>
      <c r="I75" s="802"/>
      <c r="J75" s="802"/>
      <c r="K75" s="802"/>
      <c r="L75" s="830"/>
      <c r="O75" s="877"/>
      <c r="P75" s="877"/>
      <c r="Q75" s="877"/>
    </row>
    <row r="76" spans="1:17" x14ac:dyDescent="0.15">
      <c r="A76" s="863"/>
      <c r="B76" s="802"/>
      <c r="C76" s="802"/>
      <c r="D76" s="802"/>
      <c r="E76" s="802"/>
      <c r="F76" s="802"/>
      <c r="G76" s="802"/>
      <c r="H76" s="802"/>
      <c r="I76" s="802"/>
      <c r="J76" s="802"/>
      <c r="K76" s="802"/>
      <c r="L76" s="830"/>
    </row>
    <row r="77" spans="1:17" ht="13.5" thickBot="1" x14ac:dyDescent="0.2">
      <c r="A77" s="883"/>
      <c r="B77" s="884"/>
      <c r="C77" s="884"/>
      <c r="D77" s="884"/>
      <c r="E77" s="884"/>
      <c r="F77" s="884"/>
      <c r="G77" s="884"/>
      <c r="H77" s="884"/>
      <c r="I77" s="884"/>
      <c r="J77" s="884"/>
      <c r="K77" s="884"/>
      <c r="L77" s="885"/>
    </row>
    <row r="78" spans="1:17" x14ac:dyDescent="0.15">
      <c r="A78" s="741"/>
      <c r="B78" s="741"/>
      <c r="C78" s="741"/>
      <c r="D78" s="741"/>
      <c r="E78" s="741"/>
      <c r="F78" s="741"/>
      <c r="G78" s="741"/>
      <c r="H78" s="741"/>
      <c r="I78" s="741"/>
      <c r="J78" s="741"/>
      <c r="K78" s="741"/>
      <c r="L78" s="741"/>
    </row>
    <row r="79" spans="1:17" x14ac:dyDescent="0.15">
      <c r="A79" s="741"/>
      <c r="B79" s="741"/>
      <c r="C79" s="741"/>
      <c r="D79" s="741"/>
      <c r="E79" s="741"/>
      <c r="F79" s="741"/>
      <c r="G79" s="741"/>
      <c r="H79" s="741"/>
      <c r="I79" s="741"/>
      <c r="J79" s="741"/>
      <c r="K79" s="741"/>
      <c r="L79" s="741"/>
    </row>
    <row r="80" spans="1:17" ht="13.5" thickBot="1" x14ac:dyDescent="0.2"/>
    <row r="81" spans="1:12" ht="13.5" thickBot="1" x14ac:dyDescent="0.2">
      <c r="A81" s="886" t="s">
        <v>259</v>
      </c>
      <c r="B81" s="887"/>
      <c r="C81" s="887"/>
      <c r="D81" s="887"/>
      <c r="E81" s="887"/>
      <c r="F81" s="887"/>
      <c r="G81" s="887"/>
      <c r="H81" s="887"/>
      <c r="I81" s="887"/>
      <c r="J81" s="887"/>
      <c r="K81" s="887"/>
      <c r="L81" s="888"/>
    </row>
    <row r="82" spans="1:12" x14ac:dyDescent="0.15">
      <c r="A82" s="740"/>
      <c r="B82" s="741"/>
      <c r="C82" s="741"/>
      <c r="D82" s="741"/>
      <c r="E82" s="741"/>
      <c r="F82" s="741"/>
      <c r="G82" s="741"/>
      <c r="H82" s="741"/>
      <c r="I82" s="741"/>
      <c r="J82" s="741"/>
      <c r="K82" s="741"/>
      <c r="L82" s="750"/>
    </row>
    <row r="83" spans="1:12" x14ac:dyDescent="0.15">
      <c r="A83" s="740"/>
      <c r="B83" s="741"/>
      <c r="C83" s="741"/>
      <c r="D83" s="741"/>
      <c r="E83" s="741"/>
      <c r="F83" s="741"/>
      <c r="G83" s="741"/>
      <c r="H83" s="741"/>
      <c r="I83" s="741"/>
      <c r="J83" s="741"/>
      <c r="K83" s="741"/>
      <c r="L83" s="750"/>
    </row>
    <row r="84" spans="1:12" x14ac:dyDescent="0.15">
      <c r="A84" s="740"/>
      <c r="B84" s="741"/>
      <c r="C84" s="741"/>
      <c r="D84" s="741"/>
      <c r="E84" s="741"/>
      <c r="F84" s="741"/>
      <c r="G84" s="741"/>
      <c r="H84" s="741"/>
      <c r="I84" s="741"/>
      <c r="J84" s="741"/>
      <c r="K84" s="741"/>
      <c r="L84" s="750"/>
    </row>
    <row r="85" spans="1:12" x14ac:dyDescent="0.15">
      <c r="A85" s="740"/>
      <c r="B85" s="741"/>
      <c r="C85" s="741"/>
      <c r="D85" s="741"/>
      <c r="E85" s="741"/>
      <c r="F85" s="741"/>
      <c r="G85" s="741"/>
      <c r="H85" s="741"/>
      <c r="I85" s="741"/>
      <c r="J85" s="741"/>
      <c r="K85" s="741"/>
      <c r="L85" s="750"/>
    </row>
    <row r="86" spans="1:12" x14ac:dyDescent="0.15">
      <c r="A86" s="740"/>
      <c r="B86" s="741"/>
      <c r="C86" s="741"/>
      <c r="D86" s="741"/>
      <c r="E86" s="741"/>
      <c r="F86" s="741"/>
      <c r="G86" s="741"/>
      <c r="H86" s="741"/>
      <c r="I86" s="741"/>
      <c r="J86" s="741"/>
      <c r="K86" s="741"/>
      <c r="L86" s="750"/>
    </row>
    <row r="87" spans="1:12" x14ac:dyDescent="0.15">
      <c r="A87" s="740"/>
      <c r="B87" s="741"/>
      <c r="C87" s="741"/>
      <c r="D87" s="741"/>
      <c r="E87" s="741"/>
      <c r="F87" s="741"/>
      <c r="G87" s="741"/>
      <c r="H87" s="741"/>
      <c r="I87" s="741"/>
      <c r="J87" s="741"/>
      <c r="K87" s="741"/>
      <c r="L87" s="750"/>
    </row>
    <row r="88" spans="1:12" x14ac:dyDescent="0.15">
      <c r="A88" s="740"/>
      <c r="B88" s="741"/>
      <c r="C88" s="741"/>
      <c r="D88" s="741"/>
      <c r="E88" s="741"/>
      <c r="F88" s="741"/>
      <c r="G88" s="741"/>
      <c r="H88" s="741"/>
      <c r="I88" s="741"/>
      <c r="J88" s="741"/>
      <c r="K88" s="741"/>
      <c r="L88" s="750"/>
    </row>
    <row r="89" spans="1:12" x14ac:dyDescent="0.15">
      <c r="A89" s="740"/>
      <c r="B89" s="741"/>
      <c r="C89" s="741"/>
      <c r="D89" s="741"/>
      <c r="E89" s="741"/>
      <c r="F89" s="741"/>
      <c r="G89" s="741"/>
      <c r="H89" s="741"/>
      <c r="I89" s="741"/>
      <c r="J89" s="741"/>
      <c r="K89" s="741"/>
      <c r="L89" s="750"/>
    </row>
    <row r="90" spans="1:12" x14ac:dyDescent="0.15">
      <c r="A90" s="740"/>
      <c r="B90" s="741"/>
      <c r="C90" s="741"/>
      <c r="D90" s="741"/>
      <c r="E90" s="741"/>
      <c r="F90" s="741"/>
      <c r="G90" s="741"/>
      <c r="H90" s="741"/>
      <c r="I90" s="741"/>
      <c r="J90" s="741"/>
      <c r="K90" s="741"/>
      <c r="L90" s="750"/>
    </row>
    <row r="91" spans="1:12" x14ac:dyDescent="0.15">
      <c r="A91" s="740"/>
      <c r="B91" s="741"/>
      <c r="C91" s="741"/>
      <c r="D91" s="741"/>
      <c r="E91" s="741"/>
      <c r="F91" s="741"/>
      <c r="G91" s="741"/>
      <c r="H91" s="741"/>
      <c r="I91" s="741"/>
      <c r="J91" s="741"/>
      <c r="K91" s="741"/>
      <c r="L91" s="750"/>
    </row>
    <row r="92" spans="1:12" x14ac:dyDescent="0.15">
      <c r="A92" s="740"/>
      <c r="B92" s="741"/>
      <c r="C92" s="741"/>
      <c r="D92" s="741"/>
      <c r="E92" s="741"/>
      <c r="F92" s="741"/>
      <c r="G92" s="741"/>
      <c r="H92" s="741"/>
      <c r="I92" s="741"/>
      <c r="J92" s="741"/>
      <c r="K92" s="741"/>
      <c r="L92" s="750"/>
    </row>
    <row r="93" spans="1:12" x14ac:dyDescent="0.15">
      <c r="A93" s="740"/>
      <c r="B93" s="741"/>
      <c r="C93" s="741"/>
      <c r="D93" s="741"/>
      <c r="E93" s="741"/>
      <c r="F93" s="741"/>
      <c r="G93" s="741"/>
      <c r="H93" s="741"/>
      <c r="I93" s="741"/>
      <c r="J93" s="741"/>
      <c r="K93" s="741"/>
      <c r="L93" s="750"/>
    </row>
    <row r="94" spans="1:12" x14ac:dyDescent="0.15">
      <c r="A94" s="740"/>
      <c r="B94" s="741"/>
      <c r="C94" s="741"/>
      <c r="D94" s="741"/>
      <c r="E94" s="741"/>
      <c r="F94" s="741"/>
      <c r="G94" s="741"/>
      <c r="H94" s="741"/>
      <c r="I94" s="741"/>
      <c r="J94" s="741"/>
      <c r="K94" s="741"/>
      <c r="L94" s="750"/>
    </row>
    <row r="95" spans="1:12" x14ac:dyDescent="0.15">
      <c r="A95" s="740"/>
      <c r="B95" s="741"/>
      <c r="C95" s="741"/>
      <c r="D95" s="741"/>
      <c r="E95" s="741"/>
      <c r="F95" s="741"/>
      <c r="G95" s="741"/>
      <c r="H95" s="741"/>
      <c r="I95" s="741"/>
      <c r="J95" s="741"/>
      <c r="K95" s="741"/>
      <c r="L95" s="750"/>
    </row>
    <row r="96" spans="1:12" x14ac:dyDescent="0.15">
      <c r="A96" s="740"/>
      <c r="B96" s="741"/>
      <c r="C96" s="741"/>
      <c r="D96" s="741"/>
      <c r="E96" s="741"/>
      <c r="F96" s="741"/>
      <c r="G96" s="741"/>
      <c r="H96" s="741"/>
      <c r="I96" s="741"/>
      <c r="J96" s="741"/>
      <c r="K96" s="741"/>
      <c r="L96" s="750"/>
    </row>
    <row r="97" spans="1:12" x14ac:dyDescent="0.15">
      <c r="A97" s="740"/>
      <c r="B97" s="741"/>
      <c r="C97" s="741"/>
      <c r="D97" s="741"/>
      <c r="E97" s="741"/>
      <c r="F97" s="741"/>
      <c r="G97" s="741"/>
      <c r="H97" s="741"/>
      <c r="I97" s="741"/>
      <c r="J97" s="741"/>
      <c r="K97" s="741"/>
      <c r="L97" s="750"/>
    </row>
    <row r="98" spans="1:12" x14ac:dyDescent="0.15">
      <c r="A98" s="740"/>
      <c r="B98" s="741"/>
      <c r="C98" s="741"/>
      <c r="D98" s="741"/>
      <c r="E98" s="741"/>
      <c r="F98" s="741"/>
      <c r="G98" s="741"/>
      <c r="H98" s="741"/>
      <c r="I98" s="741"/>
      <c r="J98" s="741"/>
      <c r="K98" s="741"/>
      <c r="L98" s="750"/>
    </row>
    <row r="99" spans="1:12" x14ac:dyDescent="0.15">
      <c r="A99" s="740"/>
      <c r="B99" s="741"/>
      <c r="C99" s="741"/>
      <c r="D99" s="741"/>
      <c r="E99" s="741"/>
      <c r="F99" s="741"/>
      <c r="G99" s="741"/>
      <c r="H99" s="741"/>
      <c r="I99" s="741"/>
      <c r="J99" s="741"/>
      <c r="K99" s="741"/>
      <c r="L99" s="750"/>
    </row>
    <row r="100" spans="1:12" x14ac:dyDescent="0.15">
      <c r="A100" s="740"/>
      <c r="B100" s="741"/>
      <c r="C100" s="741"/>
      <c r="D100" s="741"/>
      <c r="E100" s="741"/>
      <c r="F100" s="741"/>
      <c r="G100" s="741"/>
      <c r="H100" s="741"/>
      <c r="I100" s="741"/>
      <c r="J100" s="741"/>
      <c r="K100" s="741"/>
      <c r="L100" s="750"/>
    </row>
    <row r="101" spans="1:12" x14ac:dyDescent="0.15">
      <c r="A101" s="740"/>
      <c r="B101" s="741"/>
      <c r="C101" s="741"/>
      <c r="D101" s="741"/>
      <c r="E101" s="741"/>
      <c r="F101" s="741"/>
      <c r="G101" s="741"/>
      <c r="H101" s="741"/>
      <c r="I101" s="741"/>
      <c r="J101" s="741"/>
      <c r="K101" s="741"/>
      <c r="L101" s="750"/>
    </row>
    <row r="102" spans="1:12" ht="13.5" thickBot="1" x14ac:dyDescent="0.2">
      <c r="A102" s="740"/>
      <c r="B102" s="741"/>
      <c r="C102" s="741"/>
      <c r="D102" s="741"/>
      <c r="E102" s="741"/>
      <c r="F102" s="741"/>
      <c r="G102" s="741"/>
      <c r="H102" s="741"/>
      <c r="I102" s="741"/>
      <c r="J102" s="741"/>
      <c r="K102" s="741"/>
      <c r="L102" s="750"/>
    </row>
    <row r="103" spans="1:12" ht="13.5" thickBot="1" x14ac:dyDescent="0.2">
      <c r="A103" s="886" t="s">
        <v>260</v>
      </c>
      <c r="B103" s="887"/>
      <c r="C103" s="887"/>
      <c r="D103" s="887"/>
      <c r="E103" s="887"/>
      <c r="F103" s="887"/>
      <c r="G103" s="887"/>
      <c r="H103" s="887"/>
      <c r="I103" s="887"/>
      <c r="J103" s="887"/>
      <c r="K103" s="887"/>
      <c r="L103" s="888"/>
    </row>
    <row r="104" spans="1:12" x14ac:dyDescent="0.15">
      <c r="A104" s="740"/>
      <c r="B104" s="741"/>
      <c r="C104" s="741"/>
      <c r="D104" s="741"/>
      <c r="E104" s="741"/>
      <c r="F104" s="741"/>
      <c r="G104" s="741"/>
      <c r="H104" s="741"/>
      <c r="I104" s="741"/>
      <c r="J104" s="741"/>
      <c r="K104" s="741"/>
      <c r="L104" s="750"/>
    </row>
    <row r="105" spans="1:12" x14ac:dyDescent="0.15">
      <c r="A105" s="740"/>
      <c r="B105" s="741"/>
      <c r="C105" s="741"/>
      <c r="D105" s="741"/>
      <c r="E105" s="741"/>
      <c r="F105" s="741"/>
      <c r="G105" s="741"/>
      <c r="H105" s="741"/>
      <c r="I105" s="741"/>
      <c r="J105" s="741"/>
      <c r="K105" s="741"/>
      <c r="L105" s="750"/>
    </row>
    <row r="106" spans="1:12" x14ac:dyDescent="0.15">
      <c r="A106" s="740"/>
      <c r="B106" s="741"/>
      <c r="C106" s="741"/>
      <c r="D106" s="741"/>
      <c r="E106" s="741"/>
      <c r="F106" s="741"/>
      <c r="G106" s="741"/>
      <c r="H106" s="741"/>
      <c r="I106" s="741"/>
      <c r="J106" s="741"/>
      <c r="K106" s="741"/>
      <c r="L106" s="750"/>
    </row>
    <row r="107" spans="1:12" x14ac:dyDescent="0.15">
      <c r="A107" s="740"/>
      <c r="B107" s="741"/>
      <c r="C107" s="741"/>
      <c r="D107" s="741"/>
      <c r="E107" s="741"/>
      <c r="F107" s="741"/>
      <c r="G107" s="741"/>
      <c r="H107" s="741"/>
      <c r="I107" s="741"/>
      <c r="J107" s="741"/>
      <c r="K107" s="741"/>
      <c r="L107" s="750"/>
    </row>
    <row r="108" spans="1:12" x14ac:dyDescent="0.15">
      <c r="A108" s="740"/>
      <c r="B108" s="741"/>
      <c r="C108" s="741"/>
      <c r="D108" s="741"/>
      <c r="E108" s="741"/>
      <c r="F108" s="741"/>
      <c r="G108" s="741"/>
      <c r="H108" s="741"/>
      <c r="I108" s="741"/>
      <c r="J108" s="741"/>
      <c r="K108" s="741"/>
      <c r="L108" s="750"/>
    </row>
    <row r="109" spans="1:12" x14ac:dyDescent="0.15">
      <c r="A109" s="740"/>
      <c r="B109" s="741"/>
      <c r="C109" s="741"/>
      <c r="D109" s="741"/>
      <c r="E109" s="741"/>
      <c r="F109" s="741"/>
      <c r="G109" s="741"/>
      <c r="H109" s="741"/>
      <c r="I109" s="741"/>
      <c r="J109" s="741"/>
      <c r="K109" s="741"/>
      <c r="L109" s="750"/>
    </row>
    <row r="110" spans="1:12" x14ac:dyDescent="0.15">
      <c r="A110" s="740"/>
      <c r="B110" s="741"/>
      <c r="C110" s="741"/>
      <c r="D110" s="741"/>
      <c r="E110" s="741"/>
      <c r="F110" s="741"/>
      <c r="G110" s="741"/>
      <c r="H110" s="741"/>
      <c r="I110" s="741"/>
      <c r="J110" s="741"/>
      <c r="K110" s="741"/>
      <c r="L110" s="750"/>
    </row>
    <row r="111" spans="1:12" x14ac:dyDescent="0.15">
      <c r="A111" s="740"/>
      <c r="B111" s="741"/>
      <c r="C111" s="741"/>
      <c r="D111" s="741"/>
      <c r="E111" s="741"/>
      <c r="F111" s="741"/>
      <c r="G111" s="741"/>
      <c r="H111" s="741"/>
      <c r="I111" s="741"/>
      <c r="J111" s="741"/>
      <c r="K111" s="741"/>
      <c r="L111" s="750"/>
    </row>
    <row r="112" spans="1:12" x14ac:dyDescent="0.15">
      <c r="A112" s="740"/>
      <c r="B112" s="741"/>
      <c r="C112" s="741"/>
      <c r="D112" s="741"/>
      <c r="E112" s="741"/>
      <c r="F112" s="741"/>
      <c r="G112" s="741"/>
      <c r="H112" s="741"/>
      <c r="I112" s="741"/>
      <c r="J112" s="741"/>
      <c r="K112" s="741"/>
      <c r="L112" s="750"/>
    </row>
    <row r="113" spans="1:12" x14ac:dyDescent="0.15">
      <c r="A113" s="740"/>
      <c r="B113" s="741"/>
      <c r="C113" s="741"/>
      <c r="D113" s="741"/>
      <c r="E113" s="741"/>
      <c r="F113" s="741"/>
      <c r="G113" s="741"/>
      <c r="H113" s="741"/>
      <c r="I113" s="741"/>
      <c r="J113" s="741"/>
      <c r="K113" s="741"/>
      <c r="L113" s="750"/>
    </row>
    <row r="114" spans="1:12" x14ac:dyDescent="0.15">
      <c r="A114" s="740"/>
      <c r="B114" s="741"/>
      <c r="C114" s="741"/>
      <c r="D114" s="741"/>
      <c r="E114" s="741"/>
      <c r="F114" s="741"/>
      <c r="G114" s="741"/>
      <c r="H114" s="741"/>
      <c r="I114" s="741"/>
      <c r="J114" s="741"/>
      <c r="K114" s="741"/>
      <c r="L114" s="750"/>
    </row>
    <row r="115" spans="1:12" x14ac:dyDescent="0.15">
      <c r="A115" s="740"/>
      <c r="B115" s="741"/>
      <c r="C115" s="741"/>
      <c r="D115" s="741"/>
      <c r="E115" s="741"/>
      <c r="F115" s="741"/>
      <c r="G115" s="741"/>
      <c r="H115" s="741"/>
      <c r="I115" s="741"/>
      <c r="J115" s="741"/>
      <c r="K115" s="741"/>
      <c r="L115" s="750"/>
    </row>
    <row r="116" spans="1:12" x14ac:dyDescent="0.15">
      <c r="A116" s="740"/>
      <c r="B116" s="741"/>
      <c r="C116" s="741"/>
      <c r="D116" s="741"/>
      <c r="E116" s="741"/>
      <c r="F116" s="741"/>
      <c r="G116" s="741"/>
      <c r="H116" s="741"/>
      <c r="I116" s="741"/>
      <c r="J116" s="741"/>
      <c r="K116" s="741"/>
      <c r="L116" s="750"/>
    </row>
    <row r="117" spans="1:12" x14ac:dyDescent="0.15">
      <c r="A117" s="740"/>
      <c r="B117" s="741"/>
      <c r="C117" s="741"/>
      <c r="D117" s="741"/>
      <c r="E117" s="741"/>
      <c r="F117" s="741"/>
      <c r="G117" s="741"/>
      <c r="H117" s="741"/>
      <c r="I117" s="741"/>
      <c r="J117" s="741"/>
      <c r="K117" s="741"/>
      <c r="L117" s="750"/>
    </row>
    <row r="118" spans="1:12" x14ac:dyDescent="0.15">
      <c r="A118" s="740"/>
      <c r="B118" s="741"/>
      <c r="C118" s="741"/>
      <c r="D118" s="741"/>
      <c r="E118" s="741"/>
      <c r="F118" s="741"/>
      <c r="G118" s="741"/>
      <c r="H118" s="741"/>
      <c r="I118" s="741"/>
      <c r="J118" s="741"/>
      <c r="K118" s="741"/>
      <c r="L118" s="750"/>
    </row>
    <row r="119" spans="1:12" x14ac:dyDescent="0.15">
      <c r="A119" s="740"/>
      <c r="B119" s="741"/>
      <c r="C119" s="741"/>
      <c r="D119" s="741"/>
      <c r="E119" s="741"/>
      <c r="F119" s="741"/>
      <c r="G119" s="741"/>
      <c r="H119" s="741"/>
      <c r="I119" s="741"/>
      <c r="J119" s="741"/>
      <c r="K119" s="741"/>
      <c r="L119" s="750"/>
    </row>
    <row r="120" spans="1:12" x14ac:dyDescent="0.15">
      <c r="A120" s="740"/>
      <c r="B120" s="741"/>
      <c r="C120" s="741"/>
      <c r="D120" s="741"/>
      <c r="E120" s="741"/>
      <c r="F120" s="741"/>
      <c r="G120" s="741"/>
      <c r="H120" s="741"/>
      <c r="I120" s="741"/>
      <c r="J120" s="741"/>
      <c r="K120" s="741"/>
      <c r="L120" s="750"/>
    </row>
    <row r="121" spans="1:12" x14ac:dyDescent="0.15">
      <c r="A121" s="740"/>
      <c r="B121" s="741"/>
      <c r="C121" s="741"/>
      <c r="D121" s="741"/>
      <c r="E121" s="741"/>
      <c r="F121" s="741"/>
      <c r="G121" s="741"/>
      <c r="H121" s="741"/>
      <c r="I121" s="741"/>
      <c r="J121" s="741"/>
      <c r="K121" s="741"/>
      <c r="L121" s="750"/>
    </row>
    <row r="122" spans="1:12" x14ac:dyDescent="0.15">
      <c r="A122" s="740"/>
      <c r="B122" s="741"/>
      <c r="C122" s="741"/>
      <c r="D122" s="741"/>
      <c r="E122" s="741"/>
      <c r="F122" s="741"/>
      <c r="G122" s="741"/>
      <c r="H122" s="741"/>
      <c r="I122" s="741"/>
      <c r="J122" s="741"/>
      <c r="K122" s="741"/>
      <c r="L122" s="750"/>
    </row>
    <row r="123" spans="1:12" x14ac:dyDescent="0.15">
      <c r="A123" s="740"/>
      <c r="B123" s="741"/>
      <c r="C123" s="741"/>
      <c r="D123" s="741"/>
      <c r="E123" s="741"/>
      <c r="F123" s="741"/>
      <c r="G123" s="741"/>
      <c r="H123" s="741"/>
      <c r="I123" s="741"/>
      <c r="J123" s="741"/>
      <c r="K123" s="741"/>
      <c r="L123" s="750"/>
    </row>
    <row r="124" spans="1:12" ht="13.5" thickBot="1" x14ac:dyDescent="0.2">
      <c r="A124" s="740"/>
      <c r="B124" s="741"/>
      <c r="C124" s="741"/>
      <c r="D124" s="741"/>
      <c r="E124" s="741"/>
      <c r="F124" s="741"/>
      <c r="G124" s="741"/>
      <c r="H124" s="741"/>
      <c r="I124" s="741"/>
      <c r="J124" s="741"/>
      <c r="K124" s="741"/>
      <c r="L124" s="750"/>
    </row>
    <row r="125" spans="1:12" ht="13.5" thickBot="1" x14ac:dyDescent="0.2">
      <c r="A125" s="886" t="s">
        <v>261</v>
      </c>
      <c r="B125" s="887"/>
      <c r="C125" s="887"/>
      <c r="D125" s="887"/>
      <c r="E125" s="887"/>
      <c r="F125" s="887"/>
      <c r="G125" s="887"/>
      <c r="H125" s="887"/>
      <c r="I125" s="887"/>
      <c r="J125" s="887"/>
      <c r="K125" s="887"/>
      <c r="L125" s="888"/>
    </row>
    <row r="126" spans="1:12" x14ac:dyDescent="0.15">
      <c r="A126" s="740"/>
      <c r="B126" s="741"/>
      <c r="C126" s="741"/>
      <c r="D126" s="741"/>
      <c r="E126" s="741"/>
      <c r="F126" s="741"/>
      <c r="G126" s="741"/>
      <c r="H126" s="741"/>
      <c r="I126" s="741"/>
      <c r="J126" s="741"/>
      <c r="K126" s="741"/>
      <c r="L126" s="750"/>
    </row>
    <row r="127" spans="1:12" x14ac:dyDescent="0.15">
      <c r="A127" s="740"/>
      <c r="B127" s="741"/>
      <c r="C127" s="741"/>
      <c r="D127" s="741"/>
      <c r="E127" s="741"/>
      <c r="F127" s="741"/>
      <c r="G127" s="741"/>
      <c r="H127" s="741"/>
      <c r="I127" s="741"/>
      <c r="J127" s="741"/>
      <c r="K127" s="741"/>
      <c r="L127" s="750"/>
    </row>
    <row r="128" spans="1:12" x14ac:dyDescent="0.15">
      <c r="A128" s="740"/>
      <c r="B128" s="741"/>
      <c r="C128" s="741"/>
      <c r="D128" s="741"/>
      <c r="E128" s="741"/>
      <c r="F128" s="741"/>
      <c r="G128" s="741"/>
      <c r="H128" s="741"/>
      <c r="I128" s="741"/>
      <c r="J128" s="741"/>
      <c r="K128" s="741"/>
      <c r="L128" s="750"/>
    </row>
    <row r="129" spans="1:20" x14ac:dyDescent="0.15">
      <c r="A129" s="740"/>
      <c r="B129" s="741"/>
      <c r="C129" s="741"/>
      <c r="D129" s="741"/>
      <c r="E129" s="741"/>
      <c r="F129" s="741"/>
      <c r="G129" s="741"/>
      <c r="H129" s="741"/>
      <c r="I129" s="741"/>
      <c r="J129" s="741"/>
      <c r="K129" s="741"/>
      <c r="L129" s="750"/>
    </row>
    <row r="130" spans="1:20" x14ac:dyDescent="0.15">
      <c r="A130" s="740"/>
      <c r="B130" s="741"/>
      <c r="C130" s="741"/>
      <c r="D130" s="741"/>
      <c r="E130" s="741"/>
      <c r="F130" s="741"/>
      <c r="G130" s="741"/>
      <c r="H130" s="741"/>
      <c r="I130" s="741"/>
      <c r="J130" s="741"/>
      <c r="K130" s="741"/>
      <c r="L130" s="750"/>
    </row>
    <row r="131" spans="1:20" x14ac:dyDescent="0.15">
      <c r="A131" s="740"/>
      <c r="B131" s="741"/>
      <c r="C131" s="741"/>
      <c r="D131" s="741"/>
      <c r="E131" s="741"/>
      <c r="F131" s="741"/>
      <c r="G131" s="741"/>
      <c r="H131" s="741"/>
      <c r="I131" s="741"/>
      <c r="J131" s="741"/>
      <c r="K131" s="741"/>
      <c r="L131" s="750"/>
    </row>
    <row r="132" spans="1:20" x14ac:dyDescent="0.15">
      <c r="A132" s="740"/>
      <c r="B132" s="741"/>
      <c r="C132" s="741"/>
      <c r="D132" s="741"/>
      <c r="E132" s="741"/>
      <c r="F132" s="741"/>
      <c r="G132" s="741"/>
      <c r="H132" s="741"/>
      <c r="I132" s="741"/>
      <c r="J132" s="741"/>
      <c r="K132" s="741"/>
      <c r="L132" s="750"/>
    </row>
    <row r="133" spans="1:20" x14ac:dyDescent="0.15">
      <c r="A133" s="740"/>
      <c r="B133" s="741"/>
      <c r="C133" s="741"/>
      <c r="D133" s="741"/>
      <c r="E133" s="741"/>
      <c r="F133" s="741"/>
      <c r="G133" s="741"/>
      <c r="H133" s="741"/>
      <c r="I133" s="741"/>
      <c r="J133" s="741"/>
      <c r="K133" s="741"/>
      <c r="L133" s="750"/>
    </row>
    <row r="134" spans="1:20" x14ac:dyDescent="0.15">
      <c r="A134" s="740"/>
      <c r="B134" s="741"/>
      <c r="C134" s="741"/>
      <c r="D134" s="741"/>
      <c r="E134" s="741"/>
      <c r="F134" s="741"/>
      <c r="G134" s="741"/>
      <c r="H134" s="741"/>
      <c r="I134" s="741"/>
      <c r="J134" s="741"/>
      <c r="K134" s="741"/>
      <c r="L134" s="750"/>
    </row>
    <row r="135" spans="1:20" x14ac:dyDescent="0.15">
      <c r="A135" s="740"/>
      <c r="B135" s="741"/>
      <c r="C135" s="741"/>
      <c r="D135" s="741"/>
      <c r="E135" s="741"/>
      <c r="F135" s="741"/>
      <c r="G135" s="741"/>
      <c r="H135" s="741"/>
      <c r="I135" s="741"/>
      <c r="J135" s="741"/>
      <c r="K135" s="741"/>
      <c r="L135" s="750"/>
    </row>
    <row r="136" spans="1:20" x14ac:dyDescent="0.15">
      <c r="A136" s="740"/>
      <c r="B136" s="741"/>
      <c r="C136" s="741"/>
      <c r="D136" s="741"/>
      <c r="E136" s="741"/>
      <c r="F136" s="741"/>
      <c r="G136" s="741"/>
      <c r="H136" s="741"/>
      <c r="I136" s="741"/>
      <c r="J136" s="741"/>
      <c r="K136" s="741"/>
      <c r="L136" s="750"/>
    </row>
    <row r="137" spans="1:20" x14ac:dyDescent="0.15">
      <c r="A137" s="740"/>
      <c r="B137" s="741"/>
      <c r="C137" s="741"/>
      <c r="D137" s="741"/>
      <c r="E137" s="741"/>
      <c r="F137" s="741"/>
      <c r="G137" s="741"/>
      <c r="H137" s="741"/>
      <c r="I137" s="741"/>
      <c r="J137" s="741"/>
      <c r="K137" s="741"/>
      <c r="L137" s="750"/>
    </row>
    <row r="138" spans="1:20" x14ac:dyDescent="0.15">
      <c r="A138" s="889"/>
      <c r="B138" s="890"/>
      <c r="C138" s="890"/>
      <c r="D138" s="890"/>
      <c r="E138" s="890"/>
      <c r="F138" s="890"/>
      <c r="G138" s="890"/>
      <c r="H138" s="890"/>
      <c r="I138" s="890"/>
      <c r="J138" s="890"/>
      <c r="K138" s="890"/>
      <c r="L138" s="891"/>
    </row>
    <row r="139" spans="1:20" x14ac:dyDescent="0.15">
      <c r="A139" s="892" t="s">
        <v>1351</v>
      </c>
      <c r="B139" s="893"/>
      <c r="C139" s="893"/>
      <c r="D139" s="893"/>
      <c r="E139" s="893"/>
      <c r="F139" s="893"/>
      <c r="G139" s="894"/>
      <c r="H139" s="894"/>
      <c r="I139" s="894"/>
      <c r="J139" s="894"/>
      <c r="K139" s="894"/>
      <c r="L139" s="895"/>
    </row>
    <row r="140" spans="1:20" s="849" customFormat="1" ht="11.25" thickBot="1" x14ac:dyDescent="0.2">
      <c r="A140" s="896"/>
      <c r="B140" s="897"/>
      <c r="C140" s="897"/>
      <c r="D140" s="897"/>
      <c r="E140" s="898"/>
      <c r="F140" s="899"/>
      <c r="G140" s="898"/>
      <c r="H140" s="898"/>
      <c r="I140" s="3532"/>
      <c r="J140" s="3532"/>
      <c r="K140" s="3532"/>
      <c r="L140" s="3533"/>
      <c r="T140" s="900"/>
    </row>
    <row r="141" spans="1:20" s="849" customFormat="1" ht="11.25" customHeight="1" thickBot="1" x14ac:dyDescent="0.2">
      <c r="A141" s="901" t="s">
        <v>1355</v>
      </c>
      <c r="B141" s="902" t="s">
        <v>513</v>
      </c>
      <c r="C141" s="903" t="s">
        <v>514</v>
      </c>
      <c r="D141" s="743"/>
      <c r="E141" s="3534"/>
      <c r="F141" s="3535"/>
      <c r="G141" s="3536"/>
      <c r="H141" s="3538" t="s">
        <v>1354</v>
      </c>
      <c r="I141" s="3538"/>
      <c r="J141" s="3538"/>
      <c r="K141" s="904"/>
      <c r="L141" s="905"/>
      <c r="T141" s="900"/>
    </row>
    <row r="142" spans="1:20" s="849" customFormat="1" ht="12" customHeight="1" thickBot="1" x14ac:dyDescent="0.2">
      <c r="A142" s="906" t="s">
        <v>846</v>
      </c>
      <c r="B142" s="907"/>
      <c r="C142" s="908"/>
      <c r="D142" s="743"/>
      <c r="E142" s="3534"/>
      <c r="F142" s="3535"/>
      <c r="G142" s="3537"/>
      <c r="H142" s="904"/>
      <c r="I142" s="904"/>
      <c r="J142" s="904"/>
      <c r="K142" s="904"/>
      <c r="L142" s="909"/>
      <c r="T142" s="900"/>
    </row>
    <row r="143" spans="1:20" s="849" customFormat="1" ht="11.25" thickBot="1" x14ac:dyDescent="0.2">
      <c r="A143" s="896" t="s">
        <v>512</v>
      </c>
      <c r="B143" s="910">
        <f>+B144-B142</f>
        <v>0</v>
      </c>
      <c r="C143" s="911"/>
      <c r="D143" s="743"/>
      <c r="E143" s="912"/>
      <c r="F143" s="913"/>
      <c r="G143" s="914"/>
      <c r="H143" s="915" t="s">
        <v>1352</v>
      </c>
      <c r="I143" s="916" t="s">
        <v>1353</v>
      </c>
      <c r="J143" s="914"/>
      <c r="K143" s="914"/>
      <c r="L143" s="917"/>
      <c r="T143" s="900"/>
    </row>
    <row r="144" spans="1:20" s="849" customFormat="1" ht="11.25" thickBot="1" x14ac:dyDescent="0.2">
      <c r="A144" s="918" t="s">
        <v>203</v>
      </c>
      <c r="B144" s="919"/>
      <c r="C144" s="920">
        <f>+C143+C142</f>
        <v>0</v>
      </c>
      <c r="D144" s="743"/>
      <c r="E144" s="912"/>
      <c r="F144" s="913"/>
      <c r="G144" s="914"/>
      <c r="H144" s="921">
        <v>3</v>
      </c>
      <c r="I144" s="922"/>
      <c r="J144" s="914"/>
      <c r="K144" s="914"/>
      <c r="L144" s="917"/>
      <c r="T144" s="900"/>
    </row>
    <row r="145" spans="1:20" s="849" customFormat="1" ht="10.5" x14ac:dyDescent="0.15">
      <c r="A145" s="746"/>
      <c r="B145" s="743"/>
      <c r="C145" s="743"/>
      <c r="D145" s="743"/>
      <c r="E145" s="760"/>
      <c r="F145" s="913"/>
      <c r="G145" s="914"/>
      <c r="H145" s="923">
        <v>6</v>
      </c>
      <c r="I145" s="924"/>
      <c r="J145" s="914"/>
      <c r="K145" s="914"/>
      <c r="L145" s="917"/>
      <c r="T145" s="900"/>
    </row>
    <row r="146" spans="1:20" s="849" customFormat="1" ht="11.25" thickBot="1" x14ac:dyDescent="0.2">
      <c r="A146" s="925" t="s">
        <v>1347</v>
      </c>
      <c r="B146" s="743"/>
      <c r="C146" s="743"/>
      <c r="D146" s="743"/>
      <c r="E146" s="760"/>
      <c r="F146" s="913"/>
      <c r="G146" s="914"/>
      <c r="H146" s="926">
        <v>9</v>
      </c>
      <c r="I146" s="927"/>
      <c r="J146" s="914"/>
      <c r="K146" s="914"/>
      <c r="L146" s="917"/>
      <c r="T146" s="900"/>
    </row>
    <row r="147" spans="1:20" s="849" customFormat="1" ht="11.25" thickBot="1" x14ac:dyDescent="0.2">
      <c r="A147" s="746"/>
      <c r="B147" s="743"/>
      <c r="C147" s="743"/>
      <c r="D147" s="743"/>
      <c r="E147" s="760"/>
      <c r="F147" s="913"/>
      <c r="G147" s="914"/>
      <c r="H147" s="914"/>
      <c r="I147" s="760"/>
      <c r="J147" s="914"/>
      <c r="K147" s="914"/>
      <c r="L147" s="917"/>
      <c r="T147" s="900"/>
    </row>
    <row r="148" spans="1:20" s="849" customFormat="1" ht="11.25" thickBot="1" x14ac:dyDescent="0.2">
      <c r="A148" s="918"/>
      <c r="B148" s="902" t="s">
        <v>590</v>
      </c>
      <c r="C148" s="3519" t="s">
        <v>1350</v>
      </c>
      <c r="D148" s="3520"/>
      <c r="E148" s="3521"/>
      <c r="F148" s="928"/>
      <c r="G148" s="929"/>
      <c r="H148" s="929"/>
      <c r="I148" s="930"/>
      <c r="J148" s="931"/>
      <c r="K148" s="931"/>
      <c r="L148" s="932"/>
      <c r="T148" s="900"/>
    </row>
    <row r="149" spans="1:20" s="849" customFormat="1" ht="10.5" x14ac:dyDescent="0.15">
      <c r="A149" s="906" t="s">
        <v>1348</v>
      </c>
      <c r="B149" s="933"/>
      <c r="C149" s="3522"/>
      <c r="D149" s="3523"/>
      <c r="E149" s="3524"/>
      <c r="F149" s="934"/>
      <c r="G149" s="813"/>
      <c r="H149" s="935"/>
      <c r="I149" s="936"/>
      <c r="J149" s="3525" t="str">
        <f>+K10</f>
        <v>RENT/CER :</v>
      </c>
      <c r="K149" s="3526"/>
      <c r="L149" s="937" t="s">
        <v>262</v>
      </c>
      <c r="T149" s="900"/>
    </row>
    <row r="150" spans="1:20" s="849" customFormat="1" ht="11.25" thickBot="1" x14ac:dyDescent="0.2">
      <c r="A150" s="938" t="s">
        <v>1349</v>
      </c>
      <c r="B150" s="939"/>
      <c r="C150" s="3527"/>
      <c r="D150" s="3528"/>
      <c r="E150" s="3529"/>
      <c r="F150" s="934"/>
      <c r="G150" s="940"/>
      <c r="H150" s="940"/>
      <c r="I150" s="941"/>
      <c r="J150" s="942" t="s">
        <v>263</v>
      </c>
      <c r="K150" s="942"/>
      <c r="L150" s="943"/>
      <c r="T150" s="900"/>
    </row>
    <row r="151" spans="1:20" s="849" customFormat="1" ht="10.5" x14ac:dyDescent="0.15">
      <c r="A151" s="746"/>
      <c r="B151" s="743"/>
      <c r="C151" s="743"/>
      <c r="D151" s="743"/>
      <c r="E151" s="743"/>
      <c r="F151" s="934"/>
      <c r="G151" s="940"/>
      <c r="H151" s="940"/>
      <c r="I151" s="941"/>
      <c r="J151" s="942" t="s">
        <v>264</v>
      </c>
      <c r="K151" s="942"/>
      <c r="L151" s="943"/>
      <c r="T151" s="900"/>
    </row>
    <row r="152" spans="1:20" s="849" customFormat="1" ht="10.5" x14ac:dyDescent="0.15">
      <c r="A152" s="746"/>
      <c r="B152" s="743"/>
      <c r="C152" s="743"/>
      <c r="D152" s="743"/>
      <c r="E152" s="743"/>
      <c r="F152" s="934"/>
      <c r="G152" s="940"/>
      <c r="H152" s="940"/>
      <c r="I152" s="941"/>
      <c r="J152" s="942" t="s">
        <v>265</v>
      </c>
      <c r="K152" s="942"/>
      <c r="L152" s="943"/>
      <c r="T152" s="900"/>
    </row>
    <row r="153" spans="1:20" ht="13.5" thickBot="1" x14ac:dyDescent="0.2">
      <c r="A153" s="740"/>
      <c r="B153" s="741"/>
      <c r="C153" s="741"/>
      <c r="D153" s="741"/>
      <c r="E153" s="743"/>
      <c r="F153" s="944"/>
      <c r="G153" s="945"/>
      <c r="H153" s="945"/>
      <c r="I153" s="946"/>
      <c r="J153" s="947" t="s">
        <v>266</v>
      </c>
      <c r="K153" s="947"/>
      <c r="L153" s="948"/>
    </row>
    <row r="154" spans="1:20" x14ac:dyDescent="0.15">
      <c r="A154" s="949" t="s">
        <v>271</v>
      </c>
      <c r="B154" s="950"/>
      <c r="C154" s="950"/>
      <c r="D154" s="950"/>
      <c r="E154" s="950"/>
      <c r="F154" s="950"/>
      <c r="G154" s="950"/>
      <c r="H154" s="950"/>
      <c r="I154" s="950"/>
      <c r="J154" s="950"/>
      <c r="K154" s="950"/>
      <c r="L154" s="951"/>
    </row>
    <row r="155" spans="1:20" x14ac:dyDescent="0.15">
      <c r="A155" s="952">
        <f>D2</f>
        <v>0</v>
      </c>
      <c r="B155" s="953"/>
      <c r="C155" s="953"/>
      <c r="D155" s="953"/>
      <c r="E155" s="953"/>
      <c r="F155" s="953"/>
      <c r="G155" s="953"/>
      <c r="H155" s="953"/>
      <c r="I155" s="953"/>
      <c r="J155" s="953"/>
      <c r="K155" s="953"/>
      <c r="L155" s="954"/>
    </row>
    <row r="156" spans="1:20" ht="13.5" thickBot="1" x14ac:dyDescent="0.2">
      <c r="A156" s="955">
        <f>+H2</f>
        <v>0</v>
      </c>
      <c r="B156" s="956"/>
      <c r="C156" s="956"/>
      <c r="D156" s="956"/>
      <c r="E156" s="956"/>
      <c r="F156" s="956"/>
      <c r="G156" s="956"/>
      <c r="H156" s="956"/>
      <c r="I156" s="956"/>
      <c r="J156" s="956"/>
      <c r="K156" s="956"/>
      <c r="L156" s="957"/>
    </row>
  </sheetData>
  <dataConsolidate/>
  <mergeCells count="22">
    <mergeCell ref="A58:C58"/>
    <mergeCell ref="K5:L5"/>
    <mergeCell ref="H34:L34"/>
    <mergeCell ref="H35:L35"/>
    <mergeCell ref="H36:L36"/>
    <mergeCell ref="H37:L37"/>
    <mergeCell ref="A67:A68"/>
    <mergeCell ref="B67:G67"/>
    <mergeCell ref="H67:H68"/>
    <mergeCell ref="I67:I68"/>
    <mergeCell ref="J67:J68"/>
    <mergeCell ref="C148:E148"/>
    <mergeCell ref="C149:E149"/>
    <mergeCell ref="J149:K149"/>
    <mergeCell ref="C150:E150"/>
    <mergeCell ref="L67:L68"/>
    <mergeCell ref="I140:L140"/>
    <mergeCell ref="E141:E142"/>
    <mergeCell ref="F141:F142"/>
    <mergeCell ref="G141:G142"/>
    <mergeCell ref="H141:J141"/>
    <mergeCell ref="K67:K68"/>
  </mergeCells>
  <dataValidations count="15">
    <dataValidation type="list" allowBlank="1" showInputMessage="1" showErrorMessage="1" sqref="I69">
      <formula1>$R$8:$R$12</formula1>
    </dataValidation>
    <dataValidation type="list" allowBlank="1" showInputMessage="1" showErrorMessage="1" sqref="K69">
      <formula1>$Q$8:$Q$10</formula1>
    </dataValidation>
    <dataValidation type="list" allowBlank="1" showInputMessage="1" showErrorMessage="1" sqref="A58">
      <formula1>$P$27:$P$28</formula1>
    </dataValidation>
    <dataValidation type="list" allowBlank="1" showInputMessage="1" showErrorMessage="1" sqref="B69:G69">
      <formula1>$P$3:$P$25</formula1>
    </dataValidation>
    <dataValidation type="list" allowBlank="1" showInputMessage="1" showErrorMessage="1" sqref="E46:E51">
      <formula1>$Q$47:$Q$57</formula1>
    </dataValidation>
    <dataValidation type="list" allowBlank="1" showInputMessage="1" showErrorMessage="1" sqref="F46:F51">
      <formula1>$S$47:$S$51</formula1>
    </dataValidation>
    <dataValidation type="list" showInputMessage="1" showErrorMessage="1" sqref="D46:D50">
      <formula1>$O$47:$O$57</formula1>
    </dataValidation>
    <dataValidation type="list" showInputMessage="1" showErrorMessage="1" sqref="H2">
      <formula1>$R$35:$R$38</formula1>
    </dataValidation>
    <dataValidation type="list" showInputMessage="1" showErrorMessage="1" sqref="H3">
      <formula1>$R$31:$R$33</formula1>
    </dataValidation>
    <dataValidation type="list" showInputMessage="1" showErrorMessage="1" sqref="D2">
      <formula1>$O$31:$O$38</formula1>
    </dataValidation>
    <dataValidation type="list" allowBlank="1" showInputMessage="1" showErrorMessage="1" sqref="I7">
      <formula1>$S$8:$S$17</formula1>
    </dataValidation>
    <dataValidation type="list" allowBlank="1" showInputMessage="1" showErrorMessage="1" sqref="L2 D11 I10 G10">
      <formula1>SiNo</formula1>
    </dataValidation>
    <dataValidation type="list" allowBlank="1" showInputMessage="1" showErrorMessage="1" sqref="G6">
      <formula1>NCiiu</formula1>
    </dataValidation>
    <dataValidation type="list" allowBlank="1" showInputMessage="1" showErrorMessage="1" sqref="N10">
      <formula1>rorac</formula1>
    </dataValidation>
    <dataValidation type="list" allowBlank="1" showInputMessage="1" showErrorMessage="1" sqref="U11">
      <formula1>FEVE</formula1>
    </dataValidation>
  </dataValidations>
  <pageMargins left="0.70866141732283472" right="0.70866141732283472" top="0.74803149606299213" bottom="0.74803149606299213" header="0.31496062992125984" footer="0.31496062992125984"/>
  <pageSetup scale="64" fitToHeight="2" orientation="portrait"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C2:T45"/>
  <sheetViews>
    <sheetView topLeftCell="A13" zoomScale="85" zoomScaleNormal="85" workbookViewId="0">
      <selection activeCell="C20" sqref="C20:J39"/>
    </sheetView>
  </sheetViews>
  <sheetFormatPr baseColWidth="10" defaultRowHeight="11.25" x14ac:dyDescent="0.2"/>
  <cols>
    <col min="1" max="2" width="3.28515625" style="958" customWidth="1"/>
    <col min="3" max="3" width="17.28515625" style="958" customWidth="1"/>
    <col min="4" max="4" width="7.42578125" style="958" customWidth="1"/>
    <col min="5" max="5" width="14.42578125" style="958" customWidth="1"/>
    <col min="6" max="6" width="9.140625" style="958" customWidth="1"/>
    <col min="7" max="8" width="9.28515625" style="958" customWidth="1"/>
    <col min="9" max="9" width="17.85546875" style="958" bestFit="1" customWidth="1"/>
    <col min="10" max="10" width="9" style="958" customWidth="1"/>
    <col min="11" max="11" width="3" style="958" customWidth="1"/>
    <col min="12" max="12" width="8.85546875" style="958" customWidth="1"/>
    <col min="13" max="13" width="7" style="958" customWidth="1"/>
    <col min="14" max="14" width="6.140625" style="958" customWidth="1"/>
    <col min="15" max="16" width="11.42578125" style="958"/>
    <col min="17" max="17" width="14.7109375" style="958" customWidth="1"/>
    <col min="18" max="18" width="8.42578125" style="2418" customWidth="1"/>
    <col min="19" max="19" width="11.42578125" style="958"/>
    <col min="20" max="20" width="0" style="958" hidden="1" customWidth="1"/>
    <col min="21" max="34" width="11.42578125" style="958"/>
    <col min="35" max="35" width="11.42578125" style="958" customWidth="1"/>
    <col min="36" max="16384" width="11.42578125" style="958"/>
  </cols>
  <sheetData>
    <row r="2" spans="3:20" ht="18" x14ac:dyDescent="0.25">
      <c r="C2" s="991" t="s">
        <v>1430</v>
      </c>
      <c r="F2" s="3145">
        <f>+AR!B5</f>
        <v>0</v>
      </c>
      <c r="G2" s="3145"/>
      <c r="H2" s="3145"/>
      <c r="I2" s="3145"/>
      <c r="J2" s="3145"/>
      <c r="K2" s="3145"/>
      <c r="L2" s="3145"/>
      <c r="N2" s="984"/>
      <c r="O2" s="1021">
        <f>'Datos relevantes'!$AJ$13</f>
        <v>3.9000000000000004</v>
      </c>
    </row>
    <row r="3" spans="3:20" ht="22.5" customHeight="1" x14ac:dyDescent="0.2">
      <c r="N3" s="985"/>
      <c r="O3" s="985" t="s">
        <v>1435</v>
      </c>
    </row>
    <row r="4" spans="3:20" x14ac:dyDescent="0.2">
      <c r="C4" s="3553" t="s">
        <v>1391</v>
      </c>
      <c r="D4" s="3553"/>
      <c r="E4" s="3553"/>
      <c r="F4" s="3553"/>
      <c r="G4" s="3553"/>
      <c r="H4" s="3553"/>
      <c r="I4" s="3553"/>
      <c r="J4" s="3553"/>
      <c r="M4" s="980" t="s">
        <v>1374</v>
      </c>
      <c r="N4" s="2417">
        <f>+'Info Entrada'!E1</f>
        <v>43465</v>
      </c>
    </row>
    <row r="5" spans="3:20" x14ac:dyDescent="0.2">
      <c r="M5" s="982" t="str">
        <f>'Resumen EEFF'!B10</f>
        <v>COP MM</v>
      </c>
      <c r="N5" s="983">
        <f>'Resumen EEFF'!D13</f>
        <v>0</v>
      </c>
      <c r="O5" s="982" t="s">
        <v>861</v>
      </c>
      <c r="P5" s="982"/>
      <c r="Q5" s="982"/>
      <c r="R5" s="2419"/>
      <c r="S5" s="982"/>
    </row>
    <row r="6" spans="3:20" x14ac:dyDescent="0.2">
      <c r="C6" s="959" t="s">
        <v>251</v>
      </c>
      <c r="D6" s="960"/>
      <c r="E6" s="961" t="s">
        <v>1379</v>
      </c>
      <c r="F6" s="962"/>
      <c r="G6" s="962"/>
      <c r="H6" s="962"/>
      <c r="I6" s="961" t="s">
        <v>145</v>
      </c>
      <c r="J6" s="979">
        <f>+AR!D3</f>
        <v>0</v>
      </c>
      <c r="Q6" s="1031" t="s">
        <v>1432</v>
      </c>
      <c r="R6" s="2420" t="s">
        <v>1433</v>
      </c>
    </row>
    <row r="7" spans="3:20" x14ac:dyDescent="0.2">
      <c r="C7" s="963">
        <f>+'Datos relevantes'!B6</f>
        <v>0</v>
      </c>
      <c r="D7" s="964" t="e">
        <f>+'Datos relevantes'!C6</f>
        <v>#DIV/0!</v>
      </c>
      <c r="E7" s="965" t="s">
        <v>1380</v>
      </c>
      <c r="F7" s="966"/>
      <c r="G7" s="966" t="s">
        <v>1429</v>
      </c>
      <c r="H7" s="966"/>
      <c r="I7" s="965" t="s">
        <v>1383</v>
      </c>
      <c r="J7" s="970">
        <f>+AR!B78</f>
        <v>3</v>
      </c>
      <c r="Q7" s="1030" t="s">
        <v>3047</v>
      </c>
      <c r="R7" s="2425">
        <v>0.05</v>
      </c>
      <c r="T7" s="958" t="s">
        <v>1392</v>
      </c>
    </row>
    <row r="8" spans="3:20" x14ac:dyDescent="0.2">
      <c r="C8" s="963">
        <f>+'Datos relevantes'!B7</f>
        <v>0</v>
      </c>
      <c r="D8" s="964" t="e">
        <f>+'Datos relevantes'!C7</f>
        <v>#DIV/0!</v>
      </c>
      <c r="E8" s="965" t="s">
        <v>1381</v>
      </c>
      <c r="F8" s="966"/>
      <c r="G8" s="966" t="s">
        <v>1429</v>
      </c>
      <c r="H8" s="966"/>
      <c r="I8" s="965" t="s">
        <v>1384</v>
      </c>
      <c r="J8" s="970">
        <f>+AR!C78</f>
        <v>9</v>
      </c>
      <c r="Q8" s="1030" t="s">
        <v>3048</v>
      </c>
      <c r="R8" s="2425">
        <v>0.94</v>
      </c>
      <c r="T8" s="958" t="s">
        <v>1393</v>
      </c>
    </row>
    <row r="9" spans="3:20" x14ac:dyDescent="0.2">
      <c r="C9" s="963">
        <f>+'Datos relevantes'!B8</f>
        <v>0</v>
      </c>
      <c r="D9" s="964" t="e">
        <f>+'Datos relevantes'!C8</f>
        <v>#DIV/0!</v>
      </c>
      <c r="E9" s="965"/>
      <c r="F9" s="966"/>
      <c r="G9" s="966"/>
      <c r="H9" s="966"/>
      <c r="I9" s="965" t="s">
        <v>127</v>
      </c>
      <c r="J9" s="970">
        <f>+AR!D78</f>
        <v>3</v>
      </c>
      <c r="Q9" s="1030" t="s">
        <v>3049</v>
      </c>
      <c r="R9" s="2425">
        <v>0.01</v>
      </c>
      <c r="T9" s="958" t="s">
        <v>1394</v>
      </c>
    </row>
    <row r="10" spans="3:20" x14ac:dyDescent="0.2">
      <c r="C10" s="963">
        <f>+'Datos relevantes'!B9</f>
        <v>0</v>
      </c>
      <c r="D10" s="964" t="e">
        <f>+'Datos relevantes'!C9</f>
        <v>#DIV/0!</v>
      </c>
      <c r="E10" s="965"/>
      <c r="F10" s="965"/>
      <c r="G10" s="965"/>
      <c r="H10" s="965"/>
      <c r="I10" s="965" t="s">
        <v>253</v>
      </c>
      <c r="J10" s="970">
        <f>+AR!E78</f>
        <v>3</v>
      </c>
      <c r="Q10" s="1030"/>
      <c r="R10" s="2424"/>
      <c r="T10" s="958" t="s">
        <v>1395</v>
      </c>
    </row>
    <row r="11" spans="3:20" x14ac:dyDescent="0.2">
      <c r="C11" s="963" t="str">
        <f>+'Datos relevantes'!B10</f>
        <v/>
      </c>
      <c r="D11" s="964" t="str">
        <f>+'Datos relevantes'!C10</f>
        <v/>
      </c>
      <c r="E11" s="961" t="s">
        <v>1388</v>
      </c>
      <c r="F11" s="979">
        <f>+AR!D21</f>
        <v>40908</v>
      </c>
      <c r="G11" s="968" t="s">
        <v>1389</v>
      </c>
      <c r="H11" s="968" t="s">
        <v>426</v>
      </c>
      <c r="I11" s="965" t="s">
        <v>128</v>
      </c>
      <c r="J11" s="970">
        <f>+AR!F78</f>
        <v>3</v>
      </c>
      <c r="Q11" s="958" t="s">
        <v>547</v>
      </c>
      <c r="R11" s="2418">
        <f>7912</f>
        <v>7912</v>
      </c>
      <c r="T11" s="958" t="s">
        <v>1396</v>
      </c>
    </row>
    <row r="12" spans="3:20" x14ac:dyDescent="0.2">
      <c r="C12" s="959" t="s">
        <v>1097</v>
      </c>
      <c r="D12" s="975">
        <f>+AR!I11</f>
        <v>0</v>
      </c>
      <c r="E12" s="972">
        <f>+Cuadros!B4</f>
        <v>0</v>
      </c>
      <c r="F12" s="977">
        <f>+Cuadros!G4</f>
        <v>0</v>
      </c>
      <c r="G12" s="976">
        <f>+Cuadros!I4</f>
        <v>0</v>
      </c>
      <c r="H12" s="966">
        <f>+Cuadros!J4</f>
        <v>0</v>
      </c>
      <c r="I12" s="965" t="s">
        <v>255</v>
      </c>
      <c r="J12" s="970">
        <f>+AR!G78</f>
        <v>3</v>
      </c>
      <c r="T12" s="958" t="s">
        <v>1397</v>
      </c>
    </row>
    <row r="13" spans="3:20" x14ac:dyDescent="0.2">
      <c r="C13" s="959"/>
      <c r="D13" s="964"/>
      <c r="E13" s="972">
        <f>+Cuadros!B5</f>
        <v>0</v>
      </c>
      <c r="F13" s="977">
        <f>+Cuadros!G5</f>
        <v>0</v>
      </c>
      <c r="G13" s="976">
        <f>+Cuadros!I5</f>
        <v>0</v>
      </c>
      <c r="H13" s="966">
        <f>+Cuadros!J5</f>
        <v>0</v>
      </c>
      <c r="I13" s="961" t="s">
        <v>1385</v>
      </c>
      <c r="J13" s="971">
        <f>+AR!H78</f>
        <v>3.9000000000000004</v>
      </c>
      <c r="T13" s="958" t="s">
        <v>1398</v>
      </c>
    </row>
    <row r="14" spans="3:20" ht="12" customHeight="1" x14ac:dyDescent="0.2">
      <c r="C14" s="959" t="s">
        <v>139</v>
      </c>
      <c r="D14" s="967"/>
      <c r="E14" s="972">
        <f>+Cuadros!B6</f>
        <v>0</v>
      </c>
      <c r="F14" s="977">
        <f>+Cuadros!G6</f>
        <v>0</v>
      </c>
      <c r="G14" s="976">
        <f>+Cuadros!I6</f>
        <v>0</v>
      </c>
      <c r="H14" s="966">
        <f>+Cuadros!J6</f>
        <v>0</v>
      </c>
      <c r="I14" s="965" t="s">
        <v>1386</v>
      </c>
      <c r="J14" s="969">
        <f>+AR!J78</f>
        <v>0</v>
      </c>
      <c r="T14" s="958" t="s">
        <v>1399</v>
      </c>
    </row>
    <row r="15" spans="3:20" ht="12" customHeight="1" x14ac:dyDescent="0.2">
      <c r="C15" s="963" t="s">
        <v>1382</v>
      </c>
      <c r="D15" s="967" t="s">
        <v>1087</v>
      </c>
      <c r="E15" s="972" t="s">
        <v>633</v>
      </c>
      <c r="F15" s="977">
        <f>+Cuadros!G20-Cuadros!G4-Cuadros!G5-Cuadros!G6</f>
        <v>0</v>
      </c>
      <c r="G15" s="976">
        <f>+Cuadros!I7</f>
        <v>0</v>
      </c>
      <c r="H15" s="966">
        <f>+Cuadros!J7</f>
        <v>0</v>
      </c>
      <c r="I15" s="965" t="s">
        <v>1387</v>
      </c>
      <c r="J15" s="970">
        <f>+AR!K78</f>
        <v>0</v>
      </c>
      <c r="T15" s="958" t="s">
        <v>1400</v>
      </c>
    </row>
    <row r="16" spans="3:20" ht="12" customHeight="1" x14ac:dyDescent="0.2">
      <c r="C16" s="963" t="s">
        <v>143</v>
      </c>
      <c r="D16" s="967" t="s">
        <v>1087</v>
      </c>
      <c r="E16" s="973" t="s">
        <v>1390</v>
      </c>
      <c r="F16" s="978">
        <f>SUM(F12:F15)</f>
        <v>0</v>
      </c>
      <c r="G16" s="974"/>
      <c r="H16" s="974"/>
      <c r="I16" s="961" t="s">
        <v>130</v>
      </c>
      <c r="J16" s="971">
        <f>+AR!M78</f>
        <v>3.9000000000000004</v>
      </c>
      <c r="T16" s="958" t="s">
        <v>1401</v>
      </c>
    </row>
    <row r="17" spans="3:20" x14ac:dyDescent="0.2">
      <c r="T17" s="958" t="s">
        <v>1402</v>
      </c>
    </row>
    <row r="18" spans="3:20" x14ac:dyDescent="0.2">
      <c r="C18" s="3553" t="s">
        <v>1522</v>
      </c>
      <c r="D18" s="3553"/>
      <c r="E18" s="3553"/>
      <c r="F18" s="3553"/>
      <c r="G18" s="3553"/>
      <c r="H18" s="3553"/>
      <c r="I18" s="3553"/>
      <c r="J18" s="3553"/>
      <c r="T18" s="958" t="s">
        <v>1403</v>
      </c>
    </row>
    <row r="19" spans="3:20" x14ac:dyDescent="0.2">
      <c r="T19" s="958" t="s">
        <v>1404</v>
      </c>
    </row>
    <row r="20" spans="3:20" x14ac:dyDescent="0.2">
      <c r="C20" s="3554" t="s">
        <v>1523</v>
      </c>
      <c r="D20" s="3555"/>
      <c r="E20" s="3555"/>
      <c r="F20" s="3555"/>
      <c r="G20" s="3555"/>
      <c r="H20" s="3555"/>
      <c r="I20" s="3555"/>
      <c r="J20" s="3556"/>
      <c r="T20" s="958" t="s">
        <v>1405</v>
      </c>
    </row>
    <row r="21" spans="3:20" x14ac:dyDescent="0.2">
      <c r="C21" s="3557"/>
      <c r="D21" s="3558"/>
      <c r="E21" s="3558"/>
      <c r="F21" s="3558"/>
      <c r="G21" s="3558"/>
      <c r="H21" s="3558"/>
      <c r="I21" s="3558"/>
      <c r="J21" s="3559"/>
      <c r="M21" s="980" t="s">
        <v>1434</v>
      </c>
      <c r="O21" s="981">
        <f>+N4</f>
        <v>43465</v>
      </c>
      <c r="T21" s="958" t="s">
        <v>1406</v>
      </c>
    </row>
    <row r="22" spans="3:20" x14ac:dyDescent="0.2">
      <c r="C22" s="3557"/>
      <c r="D22" s="3558"/>
      <c r="E22" s="3558"/>
      <c r="F22" s="3558"/>
      <c r="G22" s="3558"/>
      <c r="H22" s="3558"/>
      <c r="I22" s="3558"/>
      <c r="J22" s="3559"/>
      <c r="M22" s="982" t="s">
        <v>1431</v>
      </c>
      <c r="O22" s="982" t="s">
        <v>861</v>
      </c>
      <c r="T22" s="958" t="s">
        <v>1407</v>
      </c>
    </row>
    <row r="23" spans="3:20" x14ac:dyDescent="0.2">
      <c r="C23" s="3557"/>
      <c r="D23" s="3558"/>
      <c r="E23" s="3558"/>
      <c r="F23" s="3558"/>
      <c r="G23" s="3558"/>
      <c r="H23" s="3558"/>
      <c r="I23" s="3558"/>
      <c r="J23" s="3559"/>
      <c r="T23" s="958" t="s">
        <v>1408</v>
      </c>
    </row>
    <row r="24" spans="3:20" x14ac:dyDescent="0.2">
      <c r="C24" s="3557"/>
      <c r="D24" s="3558"/>
      <c r="E24" s="3558"/>
      <c r="F24" s="3558"/>
      <c r="G24" s="3558"/>
      <c r="H24" s="3558"/>
      <c r="I24" s="3558"/>
      <c r="J24" s="3559"/>
      <c r="Q24" s="1031" t="s">
        <v>1432</v>
      </c>
      <c r="R24" s="2420" t="s">
        <v>1433</v>
      </c>
      <c r="T24" s="958" t="s">
        <v>1409</v>
      </c>
    </row>
    <row r="25" spans="3:20" x14ac:dyDescent="0.2">
      <c r="C25" s="3557"/>
      <c r="D25" s="3558"/>
      <c r="E25" s="3558"/>
      <c r="F25" s="3558"/>
      <c r="G25" s="3558"/>
      <c r="H25" s="3558"/>
      <c r="I25" s="3558"/>
      <c r="J25" s="3559"/>
      <c r="Q25" s="1030" t="s">
        <v>3047</v>
      </c>
      <c r="R25" s="2425">
        <f>878/R29</f>
        <v>0.57801184990125087</v>
      </c>
      <c r="T25" s="958" t="s">
        <v>1409</v>
      </c>
    </row>
    <row r="26" spans="3:20" x14ac:dyDescent="0.2">
      <c r="C26" s="3557"/>
      <c r="D26" s="3558"/>
      <c r="E26" s="3558"/>
      <c r="F26" s="3558"/>
      <c r="G26" s="3558"/>
      <c r="H26" s="3558"/>
      <c r="I26" s="3558"/>
      <c r="J26" s="3559"/>
      <c r="Q26" s="1030" t="s">
        <v>3048</v>
      </c>
      <c r="R26" s="2425">
        <f>(459-122)/R29</f>
        <v>0.2218564845292956</v>
      </c>
      <c r="T26" s="958" t="s">
        <v>1410</v>
      </c>
    </row>
    <row r="27" spans="3:20" x14ac:dyDescent="0.2">
      <c r="C27" s="3557"/>
      <c r="D27" s="3558"/>
      <c r="E27" s="3558"/>
      <c r="F27" s="3558"/>
      <c r="G27" s="3558"/>
      <c r="H27" s="3558"/>
      <c r="I27" s="3558"/>
      <c r="J27" s="3559"/>
      <c r="Q27" s="1030" t="s">
        <v>3049</v>
      </c>
      <c r="R27" s="2425">
        <f>303/R29</f>
        <v>0.19947333772218565</v>
      </c>
      <c r="T27" s="958" t="s">
        <v>1411</v>
      </c>
    </row>
    <row r="28" spans="3:20" x14ac:dyDescent="0.2">
      <c r="C28" s="3557"/>
      <c r="D28" s="3558"/>
      <c r="E28" s="3558"/>
      <c r="F28" s="3558"/>
      <c r="G28" s="3558"/>
      <c r="H28" s="3558"/>
      <c r="I28" s="3558"/>
      <c r="J28" s="3559"/>
      <c r="Q28" s="1030"/>
      <c r="R28" s="2425"/>
      <c r="T28" s="958" t="s">
        <v>1412</v>
      </c>
    </row>
    <row r="29" spans="3:20" x14ac:dyDescent="0.2">
      <c r="C29" s="3557"/>
      <c r="D29" s="3558"/>
      <c r="E29" s="3558"/>
      <c r="F29" s="3558"/>
      <c r="G29" s="3558"/>
      <c r="H29" s="3558"/>
      <c r="I29" s="3558"/>
      <c r="J29" s="3559"/>
      <c r="Q29" s="958" t="s">
        <v>547</v>
      </c>
      <c r="R29" s="2418">
        <v>1519</v>
      </c>
      <c r="T29" s="958" t="s">
        <v>1413</v>
      </c>
    </row>
    <row r="30" spans="3:20" x14ac:dyDescent="0.2">
      <c r="C30" s="3557"/>
      <c r="D30" s="3558"/>
      <c r="E30" s="3558"/>
      <c r="F30" s="3558"/>
      <c r="G30" s="3558"/>
      <c r="H30" s="3558"/>
      <c r="I30" s="3558"/>
      <c r="J30" s="3559"/>
      <c r="T30" s="958" t="s">
        <v>1414</v>
      </c>
    </row>
    <row r="31" spans="3:20" x14ac:dyDescent="0.2">
      <c r="C31" s="3557"/>
      <c r="D31" s="3558"/>
      <c r="E31" s="3558"/>
      <c r="F31" s="3558"/>
      <c r="G31" s="3558"/>
      <c r="H31" s="3558"/>
      <c r="I31" s="3558"/>
      <c r="J31" s="3559"/>
      <c r="T31" s="958" t="s">
        <v>1415</v>
      </c>
    </row>
    <row r="32" spans="3:20" x14ac:dyDescent="0.2">
      <c r="C32" s="3557"/>
      <c r="D32" s="3558"/>
      <c r="E32" s="3558"/>
      <c r="F32" s="3558"/>
      <c r="G32" s="3558"/>
      <c r="H32" s="3558"/>
      <c r="I32" s="3558"/>
      <c r="J32" s="3559"/>
      <c r="T32" s="958" t="s">
        <v>1416</v>
      </c>
    </row>
    <row r="33" spans="3:20" x14ac:dyDescent="0.2">
      <c r="C33" s="3557"/>
      <c r="D33" s="3558"/>
      <c r="E33" s="3558"/>
      <c r="F33" s="3558"/>
      <c r="G33" s="3558"/>
      <c r="H33" s="3558"/>
      <c r="I33" s="3558"/>
      <c r="J33" s="3559"/>
      <c r="T33" s="958" t="s">
        <v>1417</v>
      </c>
    </row>
    <row r="34" spans="3:20" x14ac:dyDescent="0.2">
      <c r="C34" s="3557"/>
      <c r="D34" s="3558"/>
      <c r="E34" s="3558"/>
      <c r="F34" s="3558"/>
      <c r="G34" s="3558"/>
      <c r="H34" s="3558"/>
      <c r="I34" s="3558"/>
      <c r="J34" s="3559"/>
      <c r="T34" s="958" t="s">
        <v>1418</v>
      </c>
    </row>
    <row r="35" spans="3:20" x14ac:dyDescent="0.2">
      <c r="C35" s="3557"/>
      <c r="D35" s="3558"/>
      <c r="E35" s="3558"/>
      <c r="F35" s="3558"/>
      <c r="G35" s="3558"/>
      <c r="H35" s="3558"/>
      <c r="I35" s="3558"/>
      <c r="J35" s="3559"/>
      <c r="T35" s="958" t="s">
        <v>1419</v>
      </c>
    </row>
    <row r="36" spans="3:20" x14ac:dyDescent="0.2">
      <c r="C36" s="3557"/>
      <c r="D36" s="3558"/>
      <c r="E36" s="3558"/>
      <c r="F36" s="3558"/>
      <c r="G36" s="3558"/>
      <c r="H36" s="3558"/>
      <c r="I36" s="3558"/>
      <c r="J36" s="3559"/>
      <c r="T36" s="958" t="s">
        <v>1420</v>
      </c>
    </row>
    <row r="37" spans="3:20" x14ac:dyDescent="0.2">
      <c r="C37" s="3557"/>
      <c r="D37" s="3558"/>
      <c r="E37" s="3558"/>
      <c r="F37" s="3558"/>
      <c r="G37" s="3558"/>
      <c r="H37" s="3558"/>
      <c r="I37" s="3558"/>
      <c r="J37" s="3559"/>
      <c r="T37" s="958" t="s">
        <v>1421</v>
      </c>
    </row>
    <row r="38" spans="3:20" x14ac:dyDescent="0.2">
      <c r="C38" s="3557"/>
      <c r="D38" s="3558"/>
      <c r="E38" s="3558"/>
      <c r="F38" s="3558"/>
      <c r="G38" s="3558"/>
      <c r="H38" s="3558"/>
      <c r="I38" s="3558"/>
      <c r="J38" s="3559"/>
      <c r="T38" s="958" t="s">
        <v>1422</v>
      </c>
    </row>
    <row r="39" spans="3:20" x14ac:dyDescent="0.2">
      <c r="C39" s="3560"/>
      <c r="D39" s="3561"/>
      <c r="E39" s="3561"/>
      <c r="F39" s="3561"/>
      <c r="G39" s="3561"/>
      <c r="H39" s="3561"/>
      <c r="I39" s="3561"/>
      <c r="J39" s="3562"/>
      <c r="T39" s="958" t="s">
        <v>1423</v>
      </c>
    </row>
    <row r="40" spans="3:20" x14ac:dyDescent="0.2">
      <c r="T40" s="958" t="s">
        <v>1424</v>
      </c>
    </row>
    <row r="41" spans="3:20" x14ac:dyDescent="0.2">
      <c r="T41" s="958" t="s">
        <v>1425</v>
      </c>
    </row>
    <row r="42" spans="3:20" x14ac:dyDescent="0.2">
      <c r="T42" s="958" t="s">
        <v>1426</v>
      </c>
    </row>
    <row r="43" spans="3:20" x14ac:dyDescent="0.2">
      <c r="T43" s="958" t="s">
        <v>1427</v>
      </c>
    </row>
    <row r="44" spans="3:20" x14ac:dyDescent="0.2">
      <c r="T44" s="958" t="s">
        <v>1428</v>
      </c>
    </row>
    <row r="45" spans="3:20" x14ac:dyDescent="0.2">
      <c r="T45" s="958" t="s">
        <v>1429</v>
      </c>
    </row>
  </sheetData>
  <mergeCells count="4">
    <mergeCell ref="C4:J4"/>
    <mergeCell ref="C18:J18"/>
    <mergeCell ref="C20:J39"/>
    <mergeCell ref="F2:L2"/>
  </mergeCells>
  <dataValidations disablePrompts="1" count="1">
    <dataValidation type="list" allowBlank="1" showInputMessage="1" showErrorMessage="1" sqref="G7:G8">
      <formula1>$T$7:$T$45</formula1>
    </dataValidation>
  </dataValidations>
  <pageMargins left="0.70866141732283472" right="0.70866141732283472" top="0.74803149606299213" bottom="0.74803149606299213" header="0.31496062992125984" footer="0.31496062992125984"/>
  <pageSetup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C2:O59"/>
  <sheetViews>
    <sheetView workbookViewId="0">
      <selection activeCell="K28" sqref="K28"/>
    </sheetView>
  </sheetViews>
  <sheetFormatPr baseColWidth="10" defaultRowHeight="11.25" x14ac:dyDescent="0.2"/>
  <cols>
    <col min="1" max="2" width="3" style="987" customWidth="1"/>
    <col min="3" max="6" width="11.42578125" style="987"/>
    <col min="7" max="7" width="9.5703125" style="987" customWidth="1"/>
    <col min="8" max="8" width="8.7109375" style="987" customWidth="1"/>
    <col min="9" max="16384" width="11.42578125" style="987"/>
  </cols>
  <sheetData>
    <row r="2" spans="3:15" ht="18" x14ac:dyDescent="0.25">
      <c r="C2" s="991" t="s">
        <v>1436</v>
      </c>
      <c r="H2" s="3145">
        <f>+Descripción!F2</f>
        <v>0</v>
      </c>
      <c r="I2" s="3145"/>
      <c r="J2" s="3145"/>
      <c r="K2" s="3145"/>
      <c r="L2" s="3145"/>
      <c r="N2" s="1021" t="e">
        <f>+'Cash Flow'!#REF!</f>
        <v>#REF!</v>
      </c>
      <c r="O2" s="1021"/>
    </row>
    <row r="3" spans="3:15" x14ac:dyDescent="0.2">
      <c r="N3" s="985" t="s">
        <v>1435</v>
      </c>
      <c r="O3" s="985"/>
    </row>
    <row r="8" spans="3:15" x14ac:dyDescent="0.2">
      <c r="C8" s="1019" t="s">
        <v>1471</v>
      </c>
      <c r="I8" s="1019" t="s">
        <v>1472</v>
      </c>
    </row>
    <row r="49" spans="3:15" x14ac:dyDescent="0.2">
      <c r="C49" s="1037"/>
      <c r="D49" s="1038">
        <f>+'Info Entrada'!C1</f>
        <v>42735</v>
      </c>
      <c r="E49" s="1038">
        <f>+'Info Entrada'!D1</f>
        <v>43100</v>
      </c>
      <c r="F49" s="1038">
        <f>+'Info Entrada'!E1</f>
        <v>43465</v>
      </c>
      <c r="G49" s="1039">
        <f>+IF('Resumen EEFF'!$F$10="SI",'Resumen EEFF'!E12,"")</f>
        <v>43830</v>
      </c>
      <c r="H49" s="1039">
        <f>+IF('Resumen EEFF'!$F$10="SI",'Resumen EEFF'!F12,"")</f>
        <v>44196</v>
      </c>
      <c r="J49" s="1032"/>
      <c r="K49" s="1042">
        <f>+D49</f>
        <v>42735</v>
      </c>
      <c r="L49" s="1042">
        <f>+E49</f>
        <v>43100</v>
      </c>
      <c r="M49" s="1042">
        <f>+F49</f>
        <v>43465</v>
      </c>
      <c r="N49" s="1033">
        <f>+G49</f>
        <v>43830</v>
      </c>
      <c r="O49" s="1033">
        <f>+H49</f>
        <v>44196</v>
      </c>
    </row>
    <row r="50" spans="3:15" x14ac:dyDescent="0.2">
      <c r="C50" s="1037" t="s">
        <v>1374</v>
      </c>
      <c r="D50" s="1040">
        <f>+'Resumen EEFF'!B13</f>
        <v>0</v>
      </c>
      <c r="E50" s="1040">
        <f>+'Resumen EEFF'!C13</f>
        <v>0</v>
      </c>
      <c r="F50" s="1040">
        <f>+'Resumen EEFF'!D13</f>
        <v>0</v>
      </c>
      <c r="G50" s="1040">
        <f>+IF('Resumen EEFF'!$F$10="SI",'Resumen EEFF'!E13,"")</f>
        <v>0</v>
      </c>
      <c r="H50" s="1040">
        <f>+IF('Resumen EEFF'!$F$10="SI",'Resumen EEFF'!F13,"")</f>
        <v>0</v>
      </c>
      <c r="J50" s="1032" t="s">
        <v>188</v>
      </c>
      <c r="K50" s="1032">
        <f>+'Resumen EEFF'!B19</f>
        <v>0</v>
      </c>
      <c r="L50" s="1032">
        <f>+'Resumen EEFF'!C19</f>
        <v>0</v>
      </c>
      <c r="M50" s="1032">
        <f>+'Resumen EEFF'!D19</f>
        <v>0</v>
      </c>
      <c r="N50" s="1035">
        <f>+IF('Resumen EEFF'!$F$10="SI",'Resumen EEFF'!L19,"")</f>
        <v>0</v>
      </c>
      <c r="O50" s="1035">
        <f>+IF('Resumen EEFF'!$F$10="SI",'Resumen EEFF'!M19,"")</f>
        <v>0</v>
      </c>
    </row>
    <row r="51" spans="3:15" x14ac:dyDescent="0.2">
      <c r="C51" s="1037" t="s">
        <v>1375</v>
      </c>
      <c r="D51" s="1037"/>
      <c r="E51" s="1041" t="e">
        <f>+(E50/D50)-1</f>
        <v>#DIV/0!</v>
      </c>
      <c r="F51" s="1041" t="e">
        <f>+(F50/E50)-1</f>
        <v>#DIV/0!</v>
      </c>
      <c r="G51" s="1041" t="e">
        <f>IF('Resumen EEFF'!$F$10="SI",(G50/F50)-1,"")</f>
        <v>#DIV/0!</v>
      </c>
      <c r="H51" s="1041" t="e">
        <f>IF('Resumen EEFF'!$F$10="SI",(H50/G50)-1,"")</f>
        <v>#DIV/0!</v>
      </c>
      <c r="J51" s="1032" t="s">
        <v>1375</v>
      </c>
      <c r="K51" s="1032"/>
      <c r="L51" s="1036" t="e">
        <f>+(L50/K50)-1</f>
        <v>#DIV/0!</v>
      </c>
      <c r="M51" s="1036" t="e">
        <f>+(M50/L50)-1</f>
        <v>#DIV/0!</v>
      </c>
      <c r="N51" s="1036" t="e">
        <f>+(N50/M50)-1</f>
        <v>#DIV/0!</v>
      </c>
      <c r="O51" s="1036" t="e">
        <f>+(O50/N50)-1</f>
        <v>#DIV/0!</v>
      </c>
    </row>
    <row r="56" spans="3:15" x14ac:dyDescent="0.2">
      <c r="C56" s="1043" t="s">
        <v>1090</v>
      </c>
      <c r="D56" s="1042">
        <f>+D49</f>
        <v>42735</v>
      </c>
      <c r="E56" s="1042">
        <f>+E49</f>
        <v>43100</v>
      </c>
      <c r="F56" s="1042">
        <f>+F49</f>
        <v>43465</v>
      </c>
      <c r="G56" s="1033">
        <f>+IF('Resumen EEFF'!$F$10="SI",'Resumen EEFF'!E12,"")</f>
        <v>43830</v>
      </c>
      <c r="H56" s="1033">
        <f>+IF('Resumen EEFF'!$F$10="SI",'Resumen EEFF'!F12,"")</f>
        <v>44196</v>
      </c>
      <c r="J56" s="1043"/>
      <c r="K56" s="1042">
        <f>+K49</f>
        <v>42735</v>
      </c>
      <c r="L56" s="1042">
        <f>+L49</f>
        <v>43100</v>
      </c>
      <c r="M56" s="1042">
        <f>+M49</f>
        <v>43465</v>
      </c>
      <c r="N56" s="1033">
        <f>+IF('Resumen EEFF'!$F$10="SI",'Resumen EEFF'!E12,"")</f>
        <v>43830</v>
      </c>
      <c r="O56" s="1033">
        <f>+IF('Resumen EEFF'!$F$10="SI",'Resumen EEFF'!F12,"")</f>
        <v>44196</v>
      </c>
    </row>
    <row r="57" spans="3:15" x14ac:dyDescent="0.2">
      <c r="C57" s="1032" t="s">
        <v>1376</v>
      </c>
      <c r="D57" s="1034">
        <f>+'Resumen EEFF'!B75</f>
        <v>0</v>
      </c>
      <c r="E57" s="1034">
        <f>+'Resumen EEFF'!C75</f>
        <v>0</v>
      </c>
      <c r="F57" s="1034">
        <f>+'Resumen EEFF'!D75</f>
        <v>0</v>
      </c>
      <c r="G57" s="1034">
        <f ca="1">+IF('Resumen EEFF'!$F$10="SI",'Resumen EEFF'!E75,"")</f>
        <v>0</v>
      </c>
      <c r="H57" s="1034">
        <f ca="1">+IF('Resumen EEFF'!$F$10="SI",'Resumen EEFF'!F75,"")</f>
        <v>0</v>
      </c>
      <c r="J57" s="1032" t="s">
        <v>1377</v>
      </c>
      <c r="K57" s="1044" t="e">
        <f>+'Resumen EEFF'!B108/'Resumen EEFF'!B19</f>
        <v>#DIV/0!</v>
      </c>
      <c r="L57" s="1044" t="e">
        <f>+'Resumen EEFF'!C108/'Resumen EEFF'!C19</f>
        <v>#DIV/0!</v>
      </c>
      <c r="M57" s="1044" t="e">
        <f>+'Resumen EEFF'!D108/'Resumen EEFF'!D19</f>
        <v>#DIV/0!</v>
      </c>
      <c r="N57" s="1044" t="e">
        <f ca="1">+IF('Resumen EEFF'!$F$10="SI",'Resumen EEFF'!E108/'Resumen EEFF'!E19,"")</f>
        <v>#DIV/0!</v>
      </c>
      <c r="O57" s="1044" t="e">
        <f ca="1">+IF('Resumen EEFF'!$F$10="SI",'Resumen EEFF'!F108/'Resumen EEFF'!F19,"")</f>
        <v>#DIV/0!</v>
      </c>
    </row>
    <row r="58" spans="3:15" x14ac:dyDescent="0.2">
      <c r="C58" s="1032" t="s">
        <v>1377</v>
      </c>
      <c r="D58" s="1034">
        <f>+'Resumen EEFF'!B108</f>
        <v>0</v>
      </c>
      <c r="E58" s="1034">
        <f>+'Resumen EEFF'!C108</f>
        <v>0</v>
      </c>
      <c r="F58" s="1034">
        <f>+'Resumen EEFF'!D108</f>
        <v>0</v>
      </c>
      <c r="G58" s="1034">
        <f ca="1">+IF('Resumen EEFF'!$F$10="SI",'Resumen EEFF'!E108,"")</f>
        <v>0</v>
      </c>
      <c r="H58" s="1034">
        <f ca="1">+IF('Resumen EEFF'!$F$10="SI",'Resumen EEFF'!F108,"")</f>
        <v>0</v>
      </c>
      <c r="J58" s="1032" t="s">
        <v>1378</v>
      </c>
      <c r="K58" s="1044" t="e">
        <f>+'Resumen EEFF'!B107/'Resumen EEFF'!B19</f>
        <v>#DIV/0!</v>
      </c>
      <c r="L58" s="1044" t="e">
        <f>+'Resumen EEFF'!C107/'Resumen EEFF'!C19</f>
        <v>#DIV/0!</v>
      </c>
      <c r="M58" s="1044" t="e">
        <f>+'Resumen EEFF'!D107/'Resumen EEFF'!D19</f>
        <v>#DIV/0!</v>
      </c>
      <c r="N58" s="1044" t="e">
        <f ca="1">+IF('Resumen EEFF'!$F$10="SI",'Resumen EEFF'!E107/'Resumen EEFF'!E19,"")</f>
        <v>#DIV/0!</v>
      </c>
      <c r="O58" s="1044" t="e">
        <f ca="1">+IF('Resumen EEFF'!$F$10="SI",'Resumen EEFF'!F107/'Resumen EEFF'!F19,"")</f>
        <v>#DIV/0!</v>
      </c>
    </row>
    <row r="59" spans="3:15" x14ac:dyDescent="0.2">
      <c r="C59" s="1032" t="s">
        <v>1378</v>
      </c>
      <c r="D59" s="1034">
        <f>+'Resumen EEFF'!B107</f>
        <v>0</v>
      </c>
      <c r="E59" s="1034">
        <f>+'Resumen EEFF'!C107</f>
        <v>0</v>
      </c>
      <c r="F59" s="1034">
        <f>+'Resumen EEFF'!D107</f>
        <v>0</v>
      </c>
      <c r="G59" s="1034">
        <f ca="1">+G57+G58</f>
        <v>0</v>
      </c>
      <c r="H59" s="1034">
        <f ca="1">+H57+H58</f>
        <v>0</v>
      </c>
      <c r="K59" s="1020"/>
      <c r="L59" s="1020"/>
      <c r="M59" s="1020"/>
      <c r="N59" s="1020"/>
      <c r="O59" s="1020"/>
    </row>
  </sheetData>
  <mergeCells count="1">
    <mergeCell ref="H2:L2"/>
  </mergeCells>
  <pageMargins left="0.70866141732283472" right="0.70866141732283472" top="0.74803149606299213" bottom="0.74803149606299213" header="0.31496062992125984" footer="0.31496062992125984"/>
  <pageSetup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B2:N40"/>
  <sheetViews>
    <sheetView zoomScale="85" zoomScaleNormal="85" workbookViewId="0">
      <selection activeCell="D16" sqref="D16:L17"/>
    </sheetView>
  </sheetViews>
  <sheetFormatPr baseColWidth="10" defaultRowHeight="11.25" x14ac:dyDescent="0.2"/>
  <cols>
    <col min="1" max="1" width="11.42578125" style="987"/>
    <col min="2" max="2" width="6.140625" style="987" customWidth="1"/>
    <col min="3" max="3" width="2.7109375" style="987" customWidth="1"/>
    <col min="4" max="4" width="3.5703125" style="987" customWidth="1"/>
    <col min="5" max="16384" width="11.42578125" style="987"/>
  </cols>
  <sheetData>
    <row r="2" spans="2:14" ht="18" x14ac:dyDescent="0.25">
      <c r="B2" s="991" t="s">
        <v>145</v>
      </c>
      <c r="I2" s="3145">
        <f>+'Datos Financieros Consolidados'!H2</f>
        <v>0</v>
      </c>
      <c r="J2" s="3145"/>
      <c r="K2" s="3145"/>
      <c r="L2" s="3145"/>
      <c r="N2" s="984">
        <f>+'Datos Financieros Consolidados'!N2</f>
        <v>3.9000000000000004</v>
      </c>
    </row>
    <row r="3" spans="2:14" x14ac:dyDescent="0.2">
      <c r="N3" s="985" t="s">
        <v>1435</v>
      </c>
    </row>
    <row r="4" spans="2:14" ht="11.25" customHeight="1" x14ac:dyDescent="0.2">
      <c r="B4" s="3564">
        <f>+Descripción!J7</f>
        <v>3</v>
      </c>
      <c r="D4" s="3565" t="s">
        <v>1457</v>
      </c>
      <c r="E4" s="3565"/>
      <c r="F4" s="3565"/>
      <c r="G4" s="3565"/>
      <c r="H4" s="3565"/>
      <c r="I4" s="3565"/>
      <c r="J4" s="3565"/>
      <c r="K4" s="3565"/>
      <c r="L4" s="3565"/>
    </row>
    <row r="5" spans="2:14" ht="11.25" customHeight="1" x14ac:dyDescent="0.2">
      <c r="B5" s="3564"/>
      <c r="D5" s="3565"/>
      <c r="E5" s="3565"/>
      <c r="F5" s="3565"/>
      <c r="G5" s="3565"/>
      <c r="H5" s="3565"/>
      <c r="I5" s="3565"/>
      <c r="J5" s="3565"/>
      <c r="K5" s="3565"/>
      <c r="L5" s="3565"/>
    </row>
    <row r="6" spans="2:14" ht="11.25" customHeight="1" x14ac:dyDescent="0.25">
      <c r="B6" s="993"/>
      <c r="D6" s="994" t="s">
        <v>1458</v>
      </c>
      <c r="E6" s="3563"/>
      <c r="F6" s="3563"/>
      <c r="G6" s="3563"/>
      <c r="H6" s="3563"/>
      <c r="I6" s="3563"/>
      <c r="J6" s="3563"/>
      <c r="K6" s="3563"/>
      <c r="L6" s="3563"/>
    </row>
    <row r="7" spans="2:14" ht="11.25" customHeight="1" x14ac:dyDescent="0.25">
      <c r="B7" s="993"/>
      <c r="E7" s="3563"/>
      <c r="F7" s="3563"/>
      <c r="G7" s="3563"/>
      <c r="H7" s="3563"/>
      <c r="I7" s="3563"/>
      <c r="J7" s="3563"/>
      <c r="K7" s="3563"/>
      <c r="L7" s="3563"/>
    </row>
    <row r="8" spans="2:14" ht="11.25" customHeight="1" x14ac:dyDescent="0.25">
      <c r="B8" s="993"/>
      <c r="D8" s="994" t="s">
        <v>1458</v>
      </c>
      <c r="E8" s="3563"/>
      <c r="F8" s="3563"/>
      <c r="G8" s="3563"/>
      <c r="H8" s="3563"/>
      <c r="I8" s="3563"/>
      <c r="J8" s="3563"/>
      <c r="K8" s="3563"/>
      <c r="L8" s="3563"/>
    </row>
    <row r="9" spans="2:14" ht="11.25" customHeight="1" x14ac:dyDescent="0.25">
      <c r="B9" s="993"/>
      <c r="E9" s="3563"/>
      <c r="F9" s="3563"/>
      <c r="G9" s="3563"/>
      <c r="H9" s="3563"/>
      <c r="I9" s="3563"/>
      <c r="J9" s="3563"/>
      <c r="K9" s="3563"/>
      <c r="L9" s="3563"/>
    </row>
    <row r="10" spans="2:14" ht="11.25" customHeight="1" x14ac:dyDescent="0.2">
      <c r="B10" s="3564">
        <f>+Descripción!J8</f>
        <v>9</v>
      </c>
      <c r="D10" s="3565" t="s">
        <v>1459</v>
      </c>
      <c r="E10" s="3565"/>
      <c r="F10" s="3565"/>
      <c r="G10" s="3565"/>
      <c r="H10" s="3565"/>
      <c r="I10" s="3565"/>
      <c r="J10" s="3565"/>
      <c r="K10" s="3565"/>
      <c r="L10" s="3565"/>
    </row>
    <row r="11" spans="2:14" ht="11.25" customHeight="1" x14ac:dyDescent="0.2">
      <c r="B11" s="3564"/>
      <c r="D11" s="3565"/>
      <c r="E11" s="3565"/>
      <c r="F11" s="3565"/>
      <c r="G11" s="3565"/>
      <c r="H11" s="3565"/>
      <c r="I11" s="3565"/>
      <c r="J11" s="3565"/>
      <c r="K11" s="3565"/>
      <c r="L11" s="3565"/>
    </row>
    <row r="12" spans="2:14" ht="11.25" customHeight="1" x14ac:dyDescent="0.25">
      <c r="B12" s="993"/>
      <c r="D12" s="994" t="s">
        <v>1458</v>
      </c>
      <c r="E12" s="3563"/>
      <c r="F12" s="3563"/>
      <c r="G12" s="3563"/>
      <c r="H12" s="3563"/>
      <c r="I12" s="3563"/>
      <c r="J12" s="3563"/>
      <c r="K12" s="3563"/>
      <c r="L12" s="3563"/>
    </row>
    <row r="13" spans="2:14" ht="11.25" customHeight="1" x14ac:dyDescent="0.25">
      <c r="B13" s="993"/>
      <c r="E13" s="3563"/>
      <c r="F13" s="3563"/>
      <c r="G13" s="3563"/>
      <c r="H13" s="3563"/>
      <c r="I13" s="3563"/>
      <c r="J13" s="3563"/>
      <c r="K13" s="3563"/>
      <c r="L13" s="3563"/>
    </row>
    <row r="14" spans="2:14" ht="11.25" customHeight="1" x14ac:dyDescent="0.25">
      <c r="B14" s="993"/>
      <c r="D14" s="994" t="s">
        <v>1458</v>
      </c>
      <c r="E14" s="3563"/>
      <c r="F14" s="3563"/>
      <c r="G14" s="3563"/>
      <c r="H14" s="3563"/>
      <c r="I14" s="3563"/>
      <c r="J14" s="3563"/>
      <c r="K14" s="3563"/>
      <c r="L14" s="3563"/>
    </row>
    <row r="15" spans="2:14" ht="11.25" customHeight="1" x14ac:dyDescent="0.25">
      <c r="B15" s="993"/>
      <c r="D15" s="994"/>
      <c r="E15" s="3563"/>
      <c r="F15" s="3563"/>
      <c r="G15" s="3563"/>
      <c r="H15" s="3563"/>
      <c r="I15" s="3563"/>
      <c r="J15" s="3563"/>
      <c r="K15" s="3563"/>
      <c r="L15" s="3563"/>
    </row>
    <row r="16" spans="2:14" ht="11.25" customHeight="1" x14ac:dyDescent="0.2">
      <c r="B16" s="3564">
        <f>+Descripción!J9</f>
        <v>3</v>
      </c>
      <c r="D16" s="3565" t="s">
        <v>127</v>
      </c>
      <c r="E16" s="3565"/>
      <c r="F16" s="3565"/>
      <c r="G16" s="3565"/>
      <c r="H16" s="3565"/>
      <c r="I16" s="3565"/>
      <c r="J16" s="3565"/>
      <c r="K16" s="3565"/>
      <c r="L16" s="3565"/>
    </row>
    <row r="17" spans="2:12" ht="11.25" customHeight="1" x14ac:dyDescent="0.2">
      <c r="B17" s="3564"/>
      <c r="D17" s="3565"/>
      <c r="E17" s="3565"/>
      <c r="F17" s="3565"/>
      <c r="G17" s="3565"/>
      <c r="H17" s="3565"/>
      <c r="I17" s="3565"/>
      <c r="J17" s="3565"/>
      <c r="K17" s="3565"/>
      <c r="L17" s="3565"/>
    </row>
    <row r="18" spans="2:12" ht="11.25" customHeight="1" x14ac:dyDescent="0.25">
      <c r="B18" s="993"/>
      <c r="D18" s="994" t="s">
        <v>1458</v>
      </c>
      <c r="E18" s="3563"/>
      <c r="F18" s="3563"/>
      <c r="G18" s="3563"/>
      <c r="H18" s="3563"/>
      <c r="I18" s="3563"/>
      <c r="J18" s="3563"/>
      <c r="K18" s="3563"/>
      <c r="L18" s="3563"/>
    </row>
    <row r="19" spans="2:12" ht="11.25" customHeight="1" x14ac:dyDescent="0.25">
      <c r="B19" s="993"/>
      <c r="E19" s="3563"/>
      <c r="F19" s="3563"/>
      <c r="G19" s="3563"/>
      <c r="H19" s="3563"/>
      <c r="I19" s="3563"/>
      <c r="J19" s="3563"/>
      <c r="K19" s="3563"/>
      <c r="L19" s="3563"/>
    </row>
    <row r="20" spans="2:12" ht="11.25" customHeight="1" x14ac:dyDescent="0.25">
      <c r="B20" s="993"/>
      <c r="D20" s="994" t="s">
        <v>1458</v>
      </c>
      <c r="E20" s="3563"/>
      <c r="F20" s="3563"/>
      <c r="G20" s="3563"/>
      <c r="H20" s="3563"/>
      <c r="I20" s="3563"/>
      <c r="J20" s="3563"/>
      <c r="K20" s="3563"/>
      <c r="L20" s="3563"/>
    </row>
    <row r="21" spans="2:12" ht="11.25" customHeight="1" x14ac:dyDescent="0.25">
      <c r="B21" s="993"/>
      <c r="D21" s="994"/>
      <c r="E21" s="3563"/>
      <c r="F21" s="3563"/>
      <c r="G21" s="3563"/>
      <c r="H21" s="3563"/>
      <c r="I21" s="3563"/>
      <c r="J21" s="3563"/>
      <c r="K21" s="3563"/>
      <c r="L21" s="3563"/>
    </row>
    <row r="22" spans="2:12" ht="11.25" customHeight="1" x14ac:dyDescent="0.2">
      <c r="B22" s="3564">
        <f>+Descripción!J10</f>
        <v>3</v>
      </c>
      <c r="D22" s="3565" t="s">
        <v>1460</v>
      </c>
      <c r="E22" s="3565"/>
      <c r="F22" s="3565"/>
      <c r="G22" s="3565"/>
      <c r="H22" s="3565"/>
      <c r="I22" s="3565"/>
      <c r="J22" s="3565"/>
      <c r="K22" s="3565"/>
      <c r="L22" s="3565"/>
    </row>
    <row r="23" spans="2:12" ht="11.25" customHeight="1" x14ac:dyDescent="0.2">
      <c r="B23" s="3564"/>
      <c r="D23" s="3565"/>
      <c r="E23" s="3565"/>
      <c r="F23" s="3565"/>
      <c r="G23" s="3565"/>
      <c r="H23" s="3565"/>
      <c r="I23" s="3565"/>
      <c r="J23" s="3565"/>
      <c r="K23" s="3565"/>
      <c r="L23" s="3565"/>
    </row>
    <row r="24" spans="2:12" ht="11.25" customHeight="1" x14ac:dyDescent="0.25">
      <c r="B24" s="993"/>
      <c r="D24" s="994" t="s">
        <v>1458</v>
      </c>
      <c r="E24" s="3563"/>
      <c r="F24" s="3563"/>
      <c r="G24" s="3563"/>
      <c r="H24" s="3563"/>
      <c r="I24" s="3563"/>
      <c r="J24" s="3563"/>
      <c r="K24" s="3563"/>
      <c r="L24" s="3563"/>
    </row>
    <row r="25" spans="2:12" ht="11.25" customHeight="1" x14ac:dyDescent="0.25">
      <c r="B25" s="993"/>
      <c r="E25" s="3563"/>
      <c r="F25" s="3563"/>
      <c r="G25" s="3563"/>
      <c r="H25" s="3563"/>
      <c r="I25" s="3563"/>
      <c r="J25" s="3563"/>
      <c r="K25" s="3563"/>
      <c r="L25" s="3563"/>
    </row>
    <row r="26" spans="2:12" ht="11.25" customHeight="1" x14ac:dyDescent="0.25">
      <c r="B26" s="993"/>
      <c r="D26" s="994" t="s">
        <v>1458</v>
      </c>
      <c r="E26" s="3563"/>
      <c r="F26" s="3563"/>
      <c r="G26" s="3563"/>
      <c r="H26" s="3563"/>
      <c r="I26" s="3563"/>
      <c r="J26" s="3563"/>
      <c r="K26" s="3563"/>
      <c r="L26" s="3563"/>
    </row>
    <row r="27" spans="2:12" ht="11.25" customHeight="1" x14ac:dyDescent="0.25">
      <c r="B27" s="993"/>
      <c r="E27" s="3563"/>
      <c r="F27" s="3563"/>
      <c r="G27" s="3563"/>
      <c r="H27" s="3563"/>
      <c r="I27" s="3563"/>
      <c r="J27" s="3563"/>
      <c r="K27" s="3563"/>
      <c r="L27" s="3563"/>
    </row>
    <row r="28" spans="2:12" ht="11.25" customHeight="1" x14ac:dyDescent="0.2">
      <c r="B28" s="3564">
        <f>+Descripción!J11</f>
        <v>3</v>
      </c>
      <c r="D28" s="3565" t="s">
        <v>128</v>
      </c>
      <c r="E28" s="3565"/>
      <c r="F28" s="3565"/>
      <c r="G28" s="3565"/>
      <c r="H28" s="3565"/>
      <c r="I28" s="3565"/>
      <c r="J28" s="3565"/>
      <c r="K28" s="3565"/>
      <c r="L28" s="3565"/>
    </row>
    <row r="29" spans="2:12" ht="11.25" customHeight="1" x14ac:dyDescent="0.2">
      <c r="B29" s="3564"/>
      <c r="D29" s="3565"/>
      <c r="E29" s="3565"/>
      <c r="F29" s="3565"/>
      <c r="G29" s="3565"/>
      <c r="H29" s="3565"/>
      <c r="I29" s="3565"/>
      <c r="J29" s="3565"/>
      <c r="K29" s="3565"/>
      <c r="L29" s="3565"/>
    </row>
    <row r="30" spans="2:12" ht="11.25" customHeight="1" x14ac:dyDescent="0.25">
      <c r="B30" s="993"/>
      <c r="D30" s="994" t="s">
        <v>1458</v>
      </c>
      <c r="E30" s="3563"/>
      <c r="F30" s="3563"/>
      <c r="G30" s="3563"/>
      <c r="H30" s="3563"/>
      <c r="I30" s="3563"/>
      <c r="J30" s="3563"/>
      <c r="K30" s="3563"/>
      <c r="L30" s="3563"/>
    </row>
    <row r="31" spans="2:12" ht="11.25" customHeight="1" x14ac:dyDescent="0.25">
      <c r="B31" s="993"/>
      <c r="E31" s="3563"/>
      <c r="F31" s="3563"/>
      <c r="G31" s="3563"/>
      <c r="H31" s="3563"/>
      <c r="I31" s="3563"/>
      <c r="J31" s="3563"/>
      <c r="K31" s="3563"/>
      <c r="L31" s="3563"/>
    </row>
    <row r="32" spans="2:12" ht="11.25" customHeight="1" x14ac:dyDescent="0.25">
      <c r="B32" s="993"/>
      <c r="D32" s="994" t="s">
        <v>1458</v>
      </c>
      <c r="E32" s="3563"/>
      <c r="F32" s="3563"/>
      <c r="G32" s="3563"/>
      <c r="H32" s="3563"/>
      <c r="I32" s="3563"/>
      <c r="J32" s="3563"/>
      <c r="K32" s="3563"/>
      <c r="L32" s="3563"/>
    </row>
    <row r="33" spans="2:12" ht="11.25" customHeight="1" x14ac:dyDescent="0.25">
      <c r="B33" s="993"/>
      <c r="E33" s="3563"/>
      <c r="F33" s="3563"/>
      <c r="G33" s="3563"/>
      <c r="H33" s="3563"/>
      <c r="I33" s="3563"/>
      <c r="J33" s="3563"/>
      <c r="K33" s="3563"/>
      <c r="L33" s="3563"/>
    </row>
    <row r="34" spans="2:12" ht="11.25" customHeight="1" x14ac:dyDescent="0.2">
      <c r="B34" s="3564">
        <f>+Descripción!J12</f>
        <v>3</v>
      </c>
      <c r="D34" s="3565" t="s">
        <v>255</v>
      </c>
      <c r="E34" s="3565"/>
      <c r="F34" s="3565"/>
      <c r="G34" s="3565"/>
      <c r="H34" s="3565"/>
      <c r="I34" s="3565"/>
      <c r="J34" s="3565"/>
      <c r="K34" s="3565"/>
      <c r="L34" s="3565"/>
    </row>
    <row r="35" spans="2:12" ht="11.25" customHeight="1" x14ac:dyDescent="0.2">
      <c r="B35" s="3564"/>
      <c r="D35" s="3565"/>
      <c r="E35" s="3565"/>
      <c r="F35" s="3565"/>
      <c r="G35" s="3565"/>
      <c r="H35" s="3565"/>
      <c r="I35" s="3565"/>
      <c r="J35" s="3565"/>
      <c r="K35" s="3565"/>
      <c r="L35" s="3565"/>
    </row>
    <row r="36" spans="2:12" ht="11.25" customHeight="1" x14ac:dyDescent="0.2">
      <c r="D36" s="994" t="s">
        <v>1458</v>
      </c>
      <c r="E36" s="3563"/>
      <c r="F36" s="3563"/>
      <c r="G36" s="3563"/>
      <c r="H36" s="3563"/>
      <c r="I36" s="3563"/>
      <c r="J36" s="3563"/>
      <c r="K36" s="3563"/>
      <c r="L36" s="3563"/>
    </row>
    <row r="37" spans="2:12" ht="11.25" customHeight="1" x14ac:dyDescent="0.2">
      <c r="E37" s="3563"/>
      <c r="F37" s="3563"/>
      <c r="G37" s="3563"/>
      <c r="H37" s="3563"/>
      <c r="I37" s="3563"/>
      <c r="J37" s="3563"/>
      <c r="K37" s="3563"/>
      <c r="L37" s="3563"/>
    </row>
    <row r="38" spans="2:12" ht="11.25" customHeight="1" x14ac:dyDescent="0.2">
      <c r="D38" s="994" t="s">
        <v>1458</v>
      </c>
      <c r="E38" s="3563"/>
      <c r="F38" s="3563"/>
      <c r="G38" s="3563"/>
      <c r="H38" s="3563"/>
      <c r="I38" s="3563"/>
      <c r="J38" s="3563"/>
      <c r="K38" s="3563"/>
      <c r="L38" s="3563"/>
    </row>
    <row r="39" spans="2:12" ht="11.25" customHeight="1" x14ac:dyDescent="0.2">
      <c r="E39" s="3563"/>
      <c r="F39" s="3563"/>
      <c r="G39" s="3563"/>
      <c r="H39" s="3563"/>
      <c r="I39" s="3563"/>
      <c r="J39" s="3563"/>
      <c r="K39" s="3563"/>
      <c r="L39" s="3563"/>
    </row>
    <row r="40" spans="2:12" ht="12.75" customHeight="1" x14ac:dyDescent="0.2"/>
  </sheetData>
  <mergeCells count="25">
    <mergeCell ref="D10:L11"/>
    <mergeCell ref="E38:L39"/>
    <mergeCell ref="B22:B23"/>
    <mergeCell ref="D22:L23"/>
    <mergeCell ref="E24:L25"/>
    <mergeCell ref="E26:L27"/>
    <mergeCell ref="B28:B29"/>
    <mergeCell ref="D28:L29"/>
    <mergeCell ref="E36:L37"/>
    <mergeCell ref="I2:L2"/>
    <mergeCell ref="E30:L31"/>
    <mergeCell ref="E32:L33"/>
    <mergeCell ref="B34:B35"/>
    <mergeCell ref="D34:L35"/>
    <mergeCell ref="E12:L13"/>
    <mergeCell ref="E14:L15"/>
    <mergeCell ref="B16:B17"/>
    <mergeCell ref="D16:L17"/>
    <mergeCell ref="E18:L19"/>
    <mergeCell ref="E20:L21"/>
    <mergeCell ref="B4:B5"/>
    <mergeCell ref="D4:L5"/>
    <mergeCell ref="E6:L7"/>
    <mergeCell ref="E8:L9"/>
    <mergeCell ref="B10:B11"/>
  </mergeCells>
  <pageMargins left="0.70866141732283472" right="0.70866141732283472" top="0.74803149606299213" bottom="0.74803149606299213" header="0.31496062992125984" footer="0.31496062992125984"/>
  <pageSetup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B2:O33"/>
  <sheetViews>
    <sheetView zoomScale="85" zoomScaleNormal="85" workbookViewId="0">
      <selection activeCell="F9" sqref="F9"/>
    </sheetView>
  </sheetViews>
  <sheetFormatPr baseColWidth="10" defaultRowHeight="11.25" x14ac:dyDescent="0.2"/>
  <cols>
    <col min="1" max="1" width="11.42578125" style="987"/>
    <col min="2" max="2" width="33.7109375" style="2557" customWidth="1"/>
    <col min="3" max="5" width="11.42578125" style="987"/>
    <col min="6" max="13" width="11.42578125" style="987" customWidth="1"/>
    <col min="14" max="16384" width="11.42578125" style="987"/>
  </cols>
  <sheetData>
    <row r="2" spans="2:15" ht="18" x14ac:dyDescent="0.25">
      <c r="B2" s="2558" t="s">
        <v>1436</v>
      </c>
      <c r="D2" s="3145"/>
      <c r="E2" s="3145"/>
      <c r="F2" s="3145"/>
      <c r="H2" s="1021"/>
    </row>
    <row r="3" spans="2:15" x14ac:dyDescent="0.2">
      <c r="H3" s="985"/>
    </row>
    <row r="4" spans="2:15" ht="18" customHeight="1" x14ac:dyDescent="0.2"/>
    <row r="6" spans="2:15" s="1022" customFormat="1" ht="12" x14ac:dyDescent="0.2">
      <c r="B6" s="2559" t="str">
        <f>'Resumen EEFF'!B10</f>
        <v>COP MM</v>
      </c>
      <c r="C6" s="2398">
        <f>+'Info Entrada'!C1</f>
        <v>42735</v>
      </c>
      <c r="D6" s="2398">
        <f>+'Info Entrada'!D1</f>
        <v>43100</v>
      </c>
      <c r="E6" s="2398">
        <f>+'Info Entrada'!E1</f>
        <v>43465</v>
      </c>
      <c r="F6" s="2400">
        <f>+'Info Entrada'!H1</f>
        <v>43830</v>
      </c>
      <c r="G6" s="2400">
        <f>+'Info Entrada'!I1</f>
        <v>44196</v>
      </c>
      <c r="H6" s="2400">
        <f>+'Info Entrada'!J1</f>
        <v>44561</v>
      </c>
      <c r="I6" s="2400">
        <f>+'Info Entrada'!K1</f>
        <v>44926</v>
      </c>
      <c r="J6" s="2400">
        <f>+'Info Entrada'!L1</f>
        <v>45291</v>
      </c>
      <c r="K6" s="2400">
        <f>+'Info Entrada'!M1</f>
        <v>45657</v>
      </c>
      <c r="L6" s="2400">
        <f>+'Info Entrada'!N1</f>
        <v>46022</v>
      </c>
      <c r="M6" s="2400">
        <f>+'Info Entrada'!O1</f>
        <v>46387</v>
      </c>
      <c r="N6" s="2399">
        <f>+'Info Entrada'!F1</f>
        <v>43281</v>
      </c>
      <c r="O6" s="2399">
        <f>+'Info Entrada'!G1</f>
        <v>43646</v>
      </c>
    </row>
    <row r="7" spans="2:15" s="1018" customFormat="1" ht="2.25" customHeight="1" x14ac:dyDescent="0.2">
      <c r="B7" s="2560"/>
    </row>
    <row r="8" spans="2:15" s="1018" customFormat="1" ht="12" x14ac:dyDescent="0.2">
      <c r="B8" s="2560" t="s">
        <v>1374</v>
      </c>
      <c r="C8" s="1024">
        <f>+'Resumen EEFF'!B13</f>
        <v>0</v>
      </c>
      <c r="D8" s="1024">
        <f>+'Resumen EEFF'!C13</f>
        <v>0</v>
      </c>
      <c r="E8" s="1024">
        <f>+'Resumen EEFF'!D13</f>
        <v>0</v>
      </c>
      <c r="F8" s="1024">
        <f>+'Resumen EEFF'!E13</f>
        <v>0</v>
      </c>
      <c r="G8" s="1024">
        <f>+'Resumen EEFF'!F13</f>
        <v>0</v>
      </c>
      <c r="H8" s="1024">
        <f>+'Resumen EEFF'!G13</f>
        <v>0</v>
      </c>
      <c r="I8" s="1024">
        <f>+'Resumen EEFF'!H13</f>
        <v>0</v>
      </c>
      <c r="J8" s="1024">
        <f>+'Resumen EEFF'!I13</f>
        <v>0</v>
      </c>
      <c r="K8" s="1024">
        <f>+'Resumen EEFF'!J13</f>
        <v>0</v>
      </c>
      <c r="L8" s="1024">
        <f>+'Resumen EEFF'!K13</f>
        <v>0</v>
      </c>
      <c r="M8" s="1024">
        <f>+'Resumen EEFF'!L13</f>
        <v>0</v>
      </c>
      <c r="N8" s="1024">
        <f>+'Resumen EEFF'!U13</f>
        <v>0</v>
      </c>
      <c r="O8" s="1024">
        <f>+'Resumen EEFF'!V13</f>
        <v>0</v>
      </c>
    </row>
    <row r="9" spans="2:15" s="1018" customFormat="1" ht="12" x14ac:dyDescent="0.2">
      <c r="B9" s="2560" t="s">
        <v>188</v>
      </c>
      <c r="C9" s="1024">
        <f>+'Resumen EEFF'!B19</f>
        <v>0</v>
      </c>
      <c r="D9" s="1024">
        <f>+'Resumen EEFF'!C19</f>
        <v>0</v>
      </c>
      <c r="E9" s="1024">
        <f>+'Resumen EEFF'!D19</f>
        <v>0</v>
      </c>
      <c r="F9" s="1024">
        <f>+'Resumen EEFF'!E19</f>
        <v>0</v>
      </c>
      <c r="G9" s="1024">
        <f>+'Resumen EEFF'!F19</f>
        <v>0</v>
      </c>
      <c r="H9" s="1024">
        <f>+'Resumen EEFF'!G19</f>
        <v>0</v>
      </c>
      <c r="I9" s="1024">
        <f>+'Resumen EEFF'!H19</f>
        <v>0</v>
      </c>
      <c r="J9" s="1024">
        <f>+'Resumen EEFF'!I19</f>
        <v>0</v>
      </c>
      <c r="K9" s="1024">
        <f>+'Resumen EEFF'!J19</f>
        <v>0</v>
      </c>
      <c r="L9" s="1024">
        <f>+'Resumen EEFF'!K19</f>
        <v>0</v>
      </c>
      <c r="M9" s="1024">
        <f>+'Resumen EEFF'!L19</f>
        <v>0</v>
      </c>
      <c r="N9" s="1024">
        <f>+'Resumen EEFF'!U19</f>
        <v>0</v>
      </c>
      <c r="O9" s="1024">
        <f>+'Resumen EEFF'!V19</f>
        <v>0</v>
      </c>
    </row>
    <row r="10" spans="2:15" s="1018" customFormat="1" ht="12" x14ac:dyDescent="0.2">
      <c r="B10" s="2560" t="s">
        <v>1437</v>
      </c>
      <c r="C10" s="2413">
        <f>IFERROR(IF(C9&lt;&gt;0,C9/C8,0),0)</f>
        <v>0</v>
      </c>
      <c r="D10" s="2413">
        <f t="shared" ref="D10:J10" si="0">IFERROR(IF(D9&lt;&gt;0,D9/D8,0),0)</f>
        <v>0</v>
      </c>
      <c r="E10" s="2413">
        <f t="shared" si="0"/>
        <v>0</v>
      </c>
      <c r="F10" s="2413">
        <f t="shared" si="0"/>
        <v>0</v>
      </c>
      <c r="G10" s="2413">
        <f t="shared" si="0"/>
        <v>0</v>
      </c>
      <c r="H10" s="2413">
        <f t="shared" si="0"/>
        <v>0</v>
      </c>
      <c r="I10" s="2413">
        <f t="shared" si="0"/>
        <v>0</v>
      </c>
      <c r="J10" s="2413">
        <f t="shared" si="0"/>
        <v>0</v>
      </c>
      <c r="K10" s="2413">
        <f t="shared" ref="K10:M10" si="1">IFERROR(IF(K9&lt;&gt;0,K9/K8,0),0)</f>
        <v>0</v>
      </c>
      <c r="L10" s="2413">
        <f t="shared" si="1"/>
        <v>0</v>
      </c>
      <c r="M10" s="2413">
        <f t="shared" si="1"/>
        <v>0</v>
      </c>
      <c r="N10" s="2413">
        <f>IFERROR(IF(N9&lt;&gt;0,N9/N8,0),0)</f>
        <v>0</v>
      </c>
      <c r="O10" s="2413">
        <f>IFERROR(IF(O9&lt;&gt;0,O9/O8,0),0)</f>
        <v>0</v>
      </c>
    </row>
    <row r="11" spans="2:15" s="1018" customFormat="1" ht="12" x14ac:dyDescent="0.2">
      <c r="B11" s="2560" t="s">
        <v>762</v>
      </c>
      <c r="C11" s="1024">
        <f>+'Resumen EEFF'!B22</f>
        <v>0</v>
      </c>
      <c r="D11" s="1024">
        <f>+'Resumen EEFF'!C22</f>
        <v>0</v>
      </c>
      <c r="E11" s="1024">
        <f>+'Resumen EEFF'!D22</f>
        <v>0</v>
      </c>
      <c r="F11" s="1024">
        <f>+'Resumen EEFF'!E22</f>
        <v>0</v>
      </c>
      <c r="G11" s="1024">
        <f>+'Resumen EEFF'!F22</f>
        <v>0</v>
      </c>
      <c r="H11" s="1024">
        <f>+'Resumen EEFF'!G22</f>
        <v>0</v>
      </c>
      <c r="I11" s="1024">
        <f>+'Resumen EEFF'!H22</f>
        <v>0</v>
      </c>
      <c r="J11" s="1024">
        <f>+'Resumen EEFF'!I22</f>
        <v>0</v>
      </c>
      <c r="K11" s="1024">
        <f>+'Resumen EEFF'!J22</f>
        <v>0</v>
      </c>
      <c r="L11" s="1024">
        <f>+'Resumen EEFF'!K22</f>
        <v>0</v>
      </c>
      <c r="M11" s="1024">
        <f>+'Resumen EEFF'!L22</f>
        <v>0</v>
      </c>
      <c r="N11" s="1024">
        <f>+'Resumen EEFF'!U22</f>
        <v>0</v>
      </c>
      <c r="O11" s="1024">
        <f>+'Resumen EEFF'!V22</f>
        <v>0</v>
      </c>
    </row>
    <row r="12" spans="2:15" s="1018" customFormat="1" ht="12" x14ac:dyDescent="0.2">
      <c r="B12" s="2560" t="s">
        <v>1438</v>
      </c>
      <c r="C12" s="2413">
        <f>IFERROR(IF(C9&lt;&gt;0,C11/C8,0),0)</f>
        <v>0</v>
      </c>
      <c r="D12" s="2413">
        <f t="shared" ref="D12:J12" si="2">IFERROR(IF(D9&lt;&gt;0,D11/D8,0),0)</f>
        <v>0</v>
      </c>
      <c r="E12" s="2413">
        <f t="shared" si="2"/>
        <v>0</v>
      </c>
      <c r="F12" s="2413">
        <f t="shared" si="2"/>
        <v>0</v>
      </c>
      <c r="G12" s="2413">
        <f t="shared" si="2"/>
        <v>0</v>
      </c>
      <c r="H12" s="2413">
        <f t="shared" si="2"/>
        <v>0</v>
      </c>
      <c r="I12" s="2413">
        <f t="shared" si="2"/>
        <v>0</v>
      </c>
      <c r="J12" s="2413">
        <f t="shared" si="2"/>
        <v>0</v>
      </c>
      <c r="K12" s="2413">
        <f t="shared" ref="K12:M12" si="3">IFERROR(IF(K9&lt;&gt;0,K11/K8,0),0)</f>
        <v>0</v>
      </c>
      <c r="L12" s="2413">
        <f t="shared" si="3"/>
        <v>0</v>
      </c>
      <c r="M12" s="2413">
        <f t="shared" si="3"/>
        <v>0</v>
      </c>
      <c r="N12" s="2413">
        <f>IFERROR(IF(N9&lt;&gt;0,N11/N8,0),0)</f>
        <v>0</v>
      </c>
      <c r="O12" s="2413">
        <f>IFERROR(IF(O9&lt;&gt;0,O11/O8,0),0)</f>
        <v>0</v>
      </c>
    </row>
    <row r="13" spans="2:15" s="1018" customFormat="1" ht="12" x14ac:dyDescent="0.2">
      <c r="B13" s="2560" t="s">
        <v>461</v>
      </c>
      <c r="C13" s="1024">
        <f>+'Resumen EEFF'!B35</f>
        <v>0</v>
      </c>
      <c r="D13" s="1024">
        <f>+'Resumen EEFF'!C35</f>
        <v>0</v>
      </c>
      <c r="E13" s="1024">
        <f>+'Resumen EEFF'!D35</f>
        <v>0</v>
      </c>
      <c r="F13" s="1024">
        <f ca="1">+'Resumen EEFF'!E35</f>
        <v>0</v>
      </c>
      <c r="G13" s="1024">
        <f ca="1">+'Resumen EEFF'!F35</f>
        <v>0</v>
      </c>
      <c r="H13" s="1024">
        <f ca="1">+'Resumen EEFF'!G35</f>
        <v>0</v>
      </c>
      <c r="I13" s="1024">
        <f ca="1">+'Resumen EEFF'!H35</f>
        <v>0</v>
      </c>
      <c r="J13" s="1024">
        <f ca="1">+'Resumen EEFF'!I35</f>
        <v>0</v>
      </c>
      <c r="K13" s="1024">
        <f ca="1">+'Resumen EEFF'!J35</f>
        <v>0</v>
      </c>
      <c r="L13" s="1024">
        <f ca="1">+'Resumen EEFF'!K35</f>
        <v>0</v>
      </c>
      <c r="M13" s="1024">
        <f ca="1">+'Resumen EEFF'!L35</f>
        <v>0</v>
      </c>
      <c r="N13" s="1024">
        <f>+'Resumen EEFF'!U35</f>
        <v>0</v>
      </c>
      <c r="O13" s="1024">
        <f>+'Resumen EEFF'!V35</f>
        <v>0</v>
      </c>
    </row>
    <row r="14" spans="2:15" s="1018" customFormat="1" ht="12" x14ac:dyDescent="0.2">
      <c r="B14" s="2560" t="s">
        <v>482</v>
      </c>
      <c r="C14" s="1024">
        <f>+'Resumen EEFF'!B61</f>
        <v>0</v>
      </c>
      <c r="D14" s="1024">
        <f ca="1">+'Resumen EEFF'!C61</f>
        <v>0</v>
      </c>
      <c r="E14" s="1024">
        <f ca="1">+'Resumen EEFF'!D61</f>
        <v>0</v>
      </c>
      <c r="F14" s="1024">
        <f ca="1">+'Resumen EEFF'!E61</f>
        <v>0</v>
      </c>
      <c r="G14" s="1024">
        <f ca="1">+'Resumen EEFF'!F61</f>
        <v>0</v>
      </c>
      <c r="H14" s="1024">
        <f ca="1">+'Resumen EEFF'!G61</f>
        <v>0</v>
      </c>
      <c r="I14" s="1024">
        <f ca="1">+'Resumen EEFF'!H61</f>
        <v>0</v>
      </c>
      <c r="J14" s="1024">
        <f ca="1">+'Resumen EEFF'!I61</f>
        <v>0</v>
      </c>
      <c r="K14" s="1024">
        <f ca="1">+'Resumen EEFF'!J61</f>
        <v>0</v>
      </c>
      <c r="L14" s="1024">
        <f ca="1">+'Resumen EEFF'!K61</f>
        <v>0</v>
      </c>
      <c r="M14" s="1024">
        <f ca="1">+'Resumen EEFF'!L61</f>
        <v>0</v>
      </c>
      <c r="N14" s="1024">
        <f>+'Resumen EEFF'!U61</f>
        <v>0</v>
      </c>
      <c r="O14" s="1024">
        <f ca="1">+'Resumen EEFF'!V61</f>
        <v>0</v>
      </c>
    </row>
    <row r="15" spans="2:15" s="1018" customFormat="1" ht="12" x14ac:dyDescent="0.2">
      <c r="B15" s="2561" t="s">
        <v>1439</v>
      </c>
      <c r="C15" s="1025">
        <f>+'Resumen EEFF'!B60</f>
        <v>0</v>
      </c>
      <c r="D15" s="1025">
        <f ca="1">+'Resumen EEFF'!C60</f>
        <v>0</v>
      </c>
      <c r="E15" s="1025">
        <f ca="1">+'Resumen EEFF'!D60</f>
        <v>0</v>
      </c>
      <c r="F15" s="1025">
        <f ca="1">+'Resumen EEFF'!E60</f>
        <v>0</v>
      </c>
      <c r="G15" s="1025">
        <f ca="1">+'Resumen EEFF'!F60</f>
        <v>0</v>
      </c>
      <c r="H15" s="1025">
        <f ca="1">+'Resumen EEFF'!G60</f>
        <v>0</v>
      </c>
      <c r="I15" s="1025">
        <f ca="1">+'Resumen EEFF'!H60</f>
        <v>0</v>
      </c>
      <c r="J15" s="1025">
        <f ca="1">+'Resumen EEFF'!I60</f>
        <v>0</v>
      </c>
      <c r="K15" s="1025">
        <f ca="1">+'Resumen EEFF'!J60</f>
        <v>0</v>
      </c>
      <c r="L15" s="1025">
        <f ca="1">+'Resumen EEFF'!K60</f>
        <v>0</v>
      </c>
      <c r="M15" s="1025">
        <f ca="1">+'Resumen EEFF'!L60</f>
        <v>0</v>
      </c>
      <c r="N15" s="1025">
        <f>+'Resumen EEFF'!U60</f>
        <v>0</v>
      </c>
      <c r="O15" s="1025">
        <f ca="1">+'Resumen EEFF'!V60</f>
        <v>0</v>
      </c>
    </row>
    <row r="16" spans="2:15" s="1018" customFormat="1" ht="12" x14ac:dyDescent="0.2">
      <c r="B16" s="2560" t="s">
        <v>1440</v>
      </c>
      <c r="C16" s="1024">
        <f>+'Resumen EEFF'!B102</f>
        <v>0</v>
      </c>
      <c r="D16" s="1024">
        <f>+'Resumen EEFF'!C102</f>
        <v>0</v>
      </c>
      <c r="E16" s="1024">
        <f>+'Resumen EEFF'!D102</f>
        <v>0</v>
      </c>
      <c r="F16" s="1024">
        <f ca="1">+'Resumen EEFF'!E102</f>
        <v>0</v>
      </c>
      <c r="G16" s="1024">
        <f ca="1">+'Resumen EEFF'!F102</f>
        <v>0</v>
      </c>
      <c r="H16" s="1024">
        <f ca="1">+'Resumen EEFF'!G102</f>
        <v>0</v>
      </c>
      <c r="I16" s="1024">
        <f ca="1">+'Resumen EEFF'!H102</f>
        <v>0</v>
      </c>
      <c r="J16" s="1024">
        <f ca="1">+'Resumen EEFF'!I102</f>
        <v>0</v>
      </c>
      <c r="K16" s="1024">
        <f ca="1">+'Resumen EEFF'!J102</f>
        <v>0</v>
      </c>
      <c r="L16" s="1024">
        <f ca="1">+'Resumen EEFF'!K102</f>
        <v>0</v>
      </c>
      <c r="M16" s="1024">
        <f ca="1">+'Resumen EEFF'!L102</f>
        <v>0</v>
      </c>
      <c r="N16" s="1024">
        <f>+'Resumen EEFF'!U102</f>
        <v>0</v>
      </c>
      <c r="O16" s="1024">
        <f>+'Resumen EEFF'!V102</f>
        <v>0</v>
      </c>
    </row>
    <row r="17" spans="2:15" s="1018" customFormat="1" ht="12" x14ac:dyDescent="0.2">
      <c r="B17" s="2560" t="s">
        <v>1090</v>
      </c>
      <c r="C17" s="1024">
        <f>+'Resumen EEFF'!B107</f>
        <v>0</v>
      </c>
      <c r="D17" s="1024">
        <f>+'Resumen EEFF'!C107</f>
        <v>0</v>
      </c>
      <c r="E17" s="1024">
        <f>+'Resumen EEFF'!D107</f>
        <v>0</v>
      </c>
      <c r="F17" s="1024">
        <f ca="1">+'Resumen EEFF'!E107</f>
        <v>0</v>
      </c>
      <c r="G17" s="1024">
        <f ca="1">+'Resumen EEFF'!F107</f>
        <v>0</v>
      </c>
      <c r="H17" s="1024">
        <f ca="1">+'Resumen EEFF'!G107</f>
        <v>0</v>
      </c>
      <c r="I17" s="1024">
        <f ca="1">+'Resumen EEFF'!H107</f>
        <v>0</v>
      </c>
      <c r="J17" s="1024">
        <f ca="1">+'Resumen EEFF'!I107</f>
        <v>0</v>
      </c>
      <c r="K17" s="1024">
        <f ca="1">+'Resumen EEFF'!J107</f>
        <v>0</v>
      </c>
      <c r="L17" s="1024">
        <f ca="1">+'Resumen EEFF'!K107</f>
        <v>0</v>
      </c>
      <c r="M17" s="1024">
        <f ca="1">+'Resumen EEFF'!L107</f>
        <v>0</v>
      </c>
      <c r="N17" s="1024">
        <f>+'Resumen EEFF'!U107</f>
        <v>0</v>
      </c>
      <c r="O17" s="1024">
        <f>+'Resumen EEFF'!V107</f>
        <v>0</v>
      </c>
    </row>
    <row r="18" spans="2:15" s="1018" customFormat="1" ht="12" x14ac:dyDescent="0.2">
      <c r="B18" s="2560" t="s">
        <v>1441</v>
      </c>
      <c r="C18" s="1024">
        <f>+'Resumen EEFF'!B75</f>
        <v>0</v>
      </c>
      <c r="D18" s="1024">
        <f>+'Resumen EEFF'!C75</f>
        <v>0</v>
      </c>
      <c r="E18" s="1024">
        <f>+'Resumen EEFF'!D75</f>
        <v>0</v>
      </c>
      <c r="F18" s="1024">
        <f ca="1">+'Resumen EEFF'!E75</f>
        <v>0</v>
      </c>
      <c r="G18" s="1024">
        <f ca="1">+'Resumen EEFF'!F75</f>
        <v>0</v>
      </c>
      <c r="H18" s="1024">
        <f ca="1">+'Resumen EEFF'!G75</f>
        <v>0</v>
      </c>
      <c r="I18" s="1024">
        <f ca="1">+'Resumen EEFF'!H75</f>
        <v>0</v>
      </c>
      <c r="J18" s="1024">
        <f ca="1">+'Resumen EEFF'!I75</f>
        <v>0</v>
      </c>
      <c r="K18" s="1024">
        <f ca="1">+'Resumen EEFF'!J75</f>
        <v>0</v>
      </c>
      <c r="L18" s="1024">
        <f ca="1">+'Resumen EEFF'!K75</f>
        <v>0</v>
      </c>
      <c r="M18" s="1024">
        <f ca="1">+'Resumen EEFF'!L75</f>
        <v>0</v>
      </c>
      <c r="N18" s="1024">
        <f>+'Resumen EEFF'!U75</f>
        <v>0</v>
      </c>
      <c r="O18" s="1024">
        <f>+'Resumen EEFF'!V75</f>
        <v>0</v>
      </c>
    </row>
    <row r="19" spans="2:15" s="1018" customFormat="1" ht="12" x14ac:dyDescent="0.2">
      <c r="B19" s="2561" t="s">
        <v>1442</v>
      </c>
      <c r="C19" s="1025">
        <f>+'Resumen EEFF'!B86</f>
        <v>0</v>
      </c>
      <c r="D19" s="1025">
        <f>+'Resumen EEFF'!C86</f>
        <v>0</v>
      </c>
      <c r="E19" s="1025">
        <f>+'Resumen EEFF'!D86</f>
        <v>0</v>
      </c>
      <c r="F19" s="1025">
        <f ca="1">+'Resumen EEFF'!E86</f>
        <v>0</v>
      </c>
      <c r="G19" s="1025">
        <f ca="1">+'Resumen EEFF'!F86</f>
        <v>0</v>
      </c>
      <c r="H19" s="1025">
        <f ca="1">+'Resumen EEFF'!G86</f>
        <v>0</v>
      </c>
      <c r="I19" s="1025">
        <f ca="1">+'Resumen EEFF'!H86</f>
        <v>0</v>
      </c>
      <c r="J19" s="1025">
        <f ca="1">+'Resumen EEFF'!I86</f>
        <v>0</v>
      </c>
      <c r="K19" s="1025">
        <f ca="1">+'Resumen EEFF'!J86</f>
        <v>0</v>
      </c>
      <c r="L19" s="1025">
        <f ca="1">+'Resumen EEFF'!K86</f>
        <v>0</v>
      </c>
      <c r="M19" s="1025">
        <f ca="1">+'Resumen EEFF'!L86</f>
        <v>0</v>
      </c>
      <c r="N19" s="1025">
        <f>+'Resumen EEFF'!U86</f>
        <v>0</v>
      </c>
      <c r="O19" s="1025">
        <f>+'Resumen EEFF'!V86</f>
        <v>0</v>
      </c>
    </row>
    <row r="20" spans="2:15" s="1018" customFormat="1" ht="12" x14ac:dyDescent="0.2">
      <c r="B20" s="2560" t="s">
        <v>1443</v>
      </c>
      <c r="C20" s="2414">
        <f>IFERROR('Resumen EEFF'!B113,0)</f>
        <v>0</v>
      </c>
      <c r="D20" s="2414">
        <f>IFERROR('Resumen EEFF'!C113,0)</f>
        <v>0</v>
      </c>
      <c r="E20" s="2414">
        <f>IFERROR('Resumen EEFF'!D113,0)</f>
        <v>0</v>
      </c>
      <c r="F20" s="2414">
        <f ca="1">IFERROR('Resumen EEFF'!E113,0)</f>
        <v>0</v>
      </c>
      <c r="G20" s="2414">
        <f ca="1">IFERROR('Resumen EEFF'!F113,0)</f>
        <v>0</v>
      </c>
      <c r="H20" s="2414">
        <f ca="1">IFERROR('Resumen EEFF'!G113,0)</f>
        <v>0</v>
      </c>
      <c r="I20" s="2414">
        <f ca="1">IFERROR('Resumen EEFF'!H113,0)</f>
        <v>0</v>
      </c>
      <c r="J20" s="2414">
        <f ca="1">IFERROR('Resumen EEFF'!I113,0)</f>
        <v>0</v>
      </c>
      <c r="K20" s="2414">
        <f ca="1">IFERROR('Resumen EEFF'!J113,0)</f>
        <v>0</v>
      </c>
      <c r="L20" s="2414">
        <f ca="1">IFERROR('Resumen EEFF'!K113,0)</f>
        <v>0</v>
      </c>
      <c r="M20" s="2414">
        <f ca="1">IFERROR('Resumen EEFF'!L113,0)</f>
        <v>0</v>
      </c>
      <c r="N20" s="2414">
        <f>IFERROR('Resumen EEFF'!U113,0)</f>
        <v>0</v>
      </c>
      <c r="O20" s="2414">
        <f>IFERROR('Resumen EEFF'!V113,0)</f>
        <v>0</v>
      </c>
    </row>
    <row r="21" spans="2:15" s="1018" customFormat="1" ht="12" x14ac:dyDescent="0.2">
      <c r="B21" s="2560" t="s">
        <v>1444</v>
      </c>
      <c r="C21" s="2415" t="str">
        <f>IFERROR('Resumen EEFF'!B114,0)</f>
        <v>n.d.</v>
      </c>
      <c r="D21" s="2415" t="str">
        <f>IFERROR('Resumen EEFF'!C114,0)</f>
        <v>n.d.</v>
      </c>
      <c r="E21" s="2415" t="str">
        <f>IFERROR('Resumen EEFF'!D114,0)</f>
        <v>n.d.</v>
      </c>
      <c r="F21" s="2415" t="str">
        <f ca="1">IFERROR('Resumen EEFF'!E114,0)</f>
        <v>n.d.</v>
      </c>
      <c r="G21" s="2415" t="str">
        <f ca="1">IFERROR('Resumen EEFF'!F114,0)</f>
        <v>n.d.</v>
      </c>
      <c r="H21" s="2415" t="str">
        <f ca="1">IFERROR('Resumen EEFF'!G114,0)</f>
        <v>n.d.</v>
      </c>
      <c r="I21" s="2415" t="str">
        <f ca="1">IFERROR('Resumen EEFF'!H114,0)</f>
        <v>n.d.</v>
      </c>
      <c r="J21" s="2415" t="str">
        <f ca="1">IFERROR('Resumen EEFF'!I114,0)</f>
        <v>n.d.</v>
      </c>
      <c r="K21" s="2415" t="str">
        <f ca="1">IFERROR('Resumen EEFF'!J114,0)</f>
        <v>n.d.</v>
      </c>
      <c r="L21" s="2415" t="str">
        <f ca="1">IFERROR('Resumen EEFF'!K114,0)</f>
        <v>n.d.</v>
      </c>
      <c r="M21" s="2415" t="str">
        <f ca="1">IFERROR('Resumen EEFF'!L114,0)</f>
        <v>n.d.</v>
      </c>
      <c r="N21" s="2415" t="str">
        <f>IFERROR('Resumen EEFF'!U114,0)</f>
        <v>n.d.</v>
      </c>
      <c r="O21" s="2415" t="str">
        <f>IFERROR('Resumen EEFF'!V114,0)</f>
        <v>n.d.</v>
      </c>
    </row>
    <row r="22" spans="2:15" s="1018" customFormat="1" ht="12" x14ac:dyDescent="0.2">
      <c r="B22" s="2561" t="s">
        <v>1445</v>
      </c>
      <c r="C22" s="2416">
        <f>IFERROR('Resumen EEFF'!B110,0)</f>
        <v>0</v>
      </c>
      <c r="D22" s="2416">
        <f>IFERROR('Resumen EEFF'!C110,0)</f>
        <v>0</v>
      </c>
      <c r="E22" s="2416">
        <f>IFERROR('Resumen EEFF'!D110,0)</f>
        <v>0</v>
      </c>
      <c r="F22" s="2416">
        <f ca="1">IFERROR('Resumen EEFF'!E110,0)</f>
        <v>0</v>
      </c>
      <c r="G22" s="2416">
        <f ca="1">IFERROR('Resumen EEFF'!F110,0)</f>
        <v>0</v>
      </c>
      <c r="H22" s="2416">
        <f ca="1">IFERROR('Resumen EEFF'!G110,0)</f>
        <v>0</v>
      </c>
      <c r="I22" s="2416">
        <f ca="1">IFERROR('Resumen EEFF'!H110,0)</f>
        <v>0</v>
      </c>
      <c r="J22" s="2416">
        <f ca="1">IFERROR('Resumen EEFF'!I110,0)</f>
        <v>0</v>
      </c>
      <c r="K22" s="2416">
        <f ca="1">IFERROR('Resumen EEFF'!J110,0)</f>
        <v>0</v>
      </c>
      <c r="L22" s="2416">
        <f ca="1">IFERROR('Resumen EEFF'!K110,0)</f>
        <v>0</v>
      </c>
      <c r="M22" s="2416">
        <f ca="1">IFERROR('Resumen EEFF'!L110,0)</f>
        <v>0</v>
      </c>
      <c r="N22" s="2416">
        <f>IFERROR('Resumen EEFF'!U110,0)</f>
        <v>0</v>
      </c>
      <c r="O22" s="2416">
        <f>IFERROR('Resumen EEFF'!V110,0)</f>
        <v>0</v>
      </c>
    </row>
    <row r="33" spans="4:5" x14ac:dyDescent="0.2">
      <c r="D33" s="988"/>
      <c r="E33" s="988"/>
    </row>
  </sheetData>
  <mergeCells count="1">
    <mergeCell ref="D2:F2"/>
  </mergeCells>
  <pageMargins left="0.70866141732283472" right="0.70866141732283472" top="0.74803149606299213" bottom="0.74803149606299213" header="0.31496062992125984" footer="0.31496062992125984"/>
  <pageSetup orientation="landscape" r:id="rId1"/>
  <ignoredErrors>
    <ignoredError sqref="C6:E6" unlockedFormula="1"/>
  </ignoredError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B2:O27"/>
  <sheetViews>
    <sheetView showGridLines="0" zoomScale="85" zoomScaleNormal="85" workbookViewId="0">
      <selection activeCell="G11" sqref="G11"/>
    </sheetView>
  </sheetViews>
  <sheetFormatPr baseColWidth="10" defaultRowHeight="11.25" x14ac:dyDescent="0.2"/>
  <cols>
    <col min="1" max="1" width="10.140625" style="987" customWidth="1"/>
    <col min="2" max="2" width="37.85546875" style="987" customWidth="1"/>
    <col min="3" max="5" width="11.42578125" style="987"/>
    <col min="6" max="13" width="11.42578125" style="987" customWidth="1"/>
    <col min="14" max="16384" width="11.42578125" style="987"/>
  </cols>
  <sheetData>
    <row r="2" spans="2:15" ht="18" x14ac:dyDescent="0.25">
      <c r="B2" s="991" t="s">
        <v>1446</v>
      </c>
      <c r="C2" s="2406"/>
      <c r="D2" s="2406"/>
      <c r="E2" s="2406"/>
      <c r="F2" s="2406"/>
      <c r="G2" s="2406"/>
      <c r="H2" s="986"/>
    </row>
    <row r="4" spans="2:15" ht="16.5" customHeight="1" x14ac:dyDescent="0.2">
      <c r="B4" s="990"/>
      <c r="C4" s="990"/>
      <c r="D4" s="990"/>
      <c r="E4" s="990"/>
      <c r="F4" s="990"/>
      <c r="G4" s="990"/>
      <c r="H4" s="990"/>
    </row>
    <row r="5" spans="2:15" s="1022" customFormat="1" ht="12" x14ac:dyDescent="0.2">
      <c r="B5" s="1023" t="str">
        <f>'Datos Finan'!B6</f>
        <v>COP MM</v>
      </c>
      <c r="C5" s="2401">
        <f>+'Datos Finan'!C6</f>
        <v>42735</v>
      </c>
      <c r="D5" s="2401">
        <f>+'Datos Finan'!D6</f>
        <v>43100</v>
      </c>
      <c r="E5" s="2401">
        <f>+'Datos Finan'!E6</f>
        <v>43465</v>
      </c>
      <c r="F5" s="2400">
        <f>'Datos Finan'!F6</f>
        <v>43830</v>
      </c>
      <c r="G5" s="2400">
        <f>'Datos Finan'!G6</f>
        <v>44196</v>
      </c>
      <c r="H5" s="2400">
        <f>'Datos Finan'!H6</f>
        <v>44561</v>
      </c>
      <c r="I5" s="2400">
        <f>'Datos Finan'!I6</f>
        <v>44926</v>
      </c>
      <c r="J5" s="2400">
        <f>'Datos Finan'!J6</f>
        <v>45291</v>
      </c>
      <c r="K5" s="2400">
        <f>'Datos Finan'!K6</f>
        <v>45657</v>
      </c>
      <c r="L5" s="2400">
        <f>'Datos Finan'!L6</f>
        <v>46022</v>
      </c>
      <c r="M5" s="2400">
        <f>'Datos Finan'!M6</f>
        <v>46387</v>
      </c>
      <c r="N5" s="2399">
        <f>+'Datos Finan'!N6</f>
        <v>43281</v>
      </c>
      <c r="O5" s="2399">
        <f>+'Datos Finan'!O6</f>
        <v>43646</v>
      </c>
    </row>
    <row r="6" spans="2:15" s="2405" customFormat="1" ht="3" customHeight="1" x14ac:dyDescent="0.2">
      <c r="B6" s="2402"/>
      <c r="C6" s="2403"/>
      <c r="D6" s="2403"/>
      <c r="E6" s="2403"/>
      <c r="F6" s="2404"/>
      <c r="G6" s="2404"/>
      <c r="H6" s="2404"/>
      <c r="I6" s="2404"/>
      <c r="J6" s="2404"/>
      <c r="K6" s="2404"/>
      <c r="L6" s="2404"/>
      <c r="M6" s="2404"/>
      <c r="N6" s="2403"/>
      <c r="O6" s="2403"/>
    </row>
    <row r="7" spans="2:15" s="1018" customFormat="1" ht="12" x14ac:dyDescent="0.2">
      <c r="B7" s="1018" t="s">
        <v>762</v>
      </c>
      <c r="C7" s="1024">
        <f>+'Datos Finan'!C11</f>
        <v>0</v>
      </c>
      <c r="D7" s="1024">
        <f>+'Datos Finan'!D11</f>
        <v>0</v>
      </c>
      <c r="E7" s="1024">
        <f>+'Datos Finan'!E11</f>
        <v>0</v>
      </c>
      <c r="F7" s="1024">
        <f>+'Datos Finan'!F11</f>
        <v>0</v>
      </c>
      <c r="G7" s="1024">
        <f>+'Datos Finan'!G11</f>
        <v>0</v>
      </c>
      <c r="H7" s="1024">
        <f>+'Datos Finan'!H11</f>
        <v>0</v>
      </c>
      <c r="I7" s="1024">
        <f>+'Datos Finan'!I11</f>
        <v>0</v>
      </c>
      <c r="J7" s="1024">
        <f>+'Datos Finan'!J11</f>
        <v>0</v>
      </c>
      <c r="K7" s="1024">
        <f>+'Datos Finan'!K11</f>
        <v>0</v>
      </c>
      <c r="L7" s="1024">
        <f>+'Datos Finan'!L11</f>
        <v>0</v>
      </c>
      <c r="M7" s="1024">
        <f>+'Datos Finan'!M11</f>
        <v>0</v>
      </c>
      <c r="N7" s="1024">
        <f>IFERROR(+'Datos Finan'!N11,0)</f>
        <v>0</v>
      </c>
      <c r="O7" s="1024">
        <f>IFERROR(+'Datos Finan'!O11,0)</f>
        <v>0</v>
      </c>
    </row>
    <row r="8" spans="2:15" s="1018" customFormat="1" ht="12" x14ac:dyDescent="0.2">
      <c r="B8" s="1026" t="s">
        <v>1159</v>
      </c>
      <c r="C8" s="1024">
        <f>+'Resumen EEFF'!B47</f>
        <v>0</v>
      </c>
      <c r="D8" s="1024">
        <f>+'Resumen EEFF'!C47</f>
        <v>0</v>
      </c>
      <c r="E8" s="1024">
        <f>+'Resumen EEFF'!D47</f>
        <v>0</v>
      </c>
      <c r="F8" s="1024">
        <f>+'Resumen EEFF'!E47</f>
        <v>0</v>
      </c>
      <c r="G8" s="1024">
        <f>+'Resumen EEFF'!F47</f>
        <v>0</v>
      </c>
      <c r="H8" s="1024">
        <f>+'Resumen EEFF'!G47</f>
        <v>0</v>
      </c>
      <c r="I8" s="1024">
        <f>+'Resumen EEFF'!H47</f>
        <v>0</v>
      </c>
      <c r="J8" s="1024">
        <f>+'Resumen EEFF'!I47</f>
        <v>0</v>
      </c>
      <c r="K8" s="1024">
        <f>+'Resumen EEFF'!J47</f>
        <v>0</v>
      </c>
      <c r="L8" s="1024">
        <f>+'Resumen EEFF'!K47</f>
        <v>0</v>
      </c>
      <c r="M8" s="1024">
        <f>+'Resumen EEFF'!L47</f>
        <v>0</v>
      </c>
      <c r="N8" s="1024">
        <f>IFERROR(+'Resumen EEFF'!U47,0)</f>
        <v>0</v>
      </c>
      <c r="O8" s="1024">
        <f>IFERROR(+'Resumen EEFF'!V47,0)</f>
        <v>0</v>
      </c>
    </row>
    <row r="9" spans="2:15" s="1018" customFormat="1" ht="12" x14ac:dyDescent="0.2">
      <c r="B9" s="1026" t="s">
        <v>1447</v>
      </c>
      <c r="C9" s="1024">
        <f>+'Resumen EEFF'!B48</f>
        <v>0</v>
      </c>
      <c r="D9" s="1024">
        <f ca="1">+'Resumen EEFF'!C48</f>
        <v>0</v>
      </c>
      <c r="E9" s="1024">
        <f ca="1">+'Resumen EEFF'!D48</f>
        <v>0</v>
      </c>
      <c r="F9" s="1024">
        <f>+'Resumen EEFF'!E48</f>
        <v>0</v>
      </c>
      <c r="G9" s="1024">
        <f>+'Resumen EEFF'!F48</f>
        <v>0</v>
      </c>
      <c r="H9" s="1024">
        <f>+'Resumen EEFF'!G48</f>
        <v>0</v>
      </c>
      <c r="I9" s="1024">
        <f>+'Resumen EEFF'!H48</f>
        <v>0</v>
      </c>
      <c r="J9" s="1024">
        <f>+'Resumen EEFF'!I48</f>
        <v>0</v>
      </c>
      <c r="K9" s="1024">
        <f>+'Resumen EEFF'!J48</f>
        <v>0</v>
      </c>
      <c r="L9" s="1024">
        <f>+'Resumen EEFF'!K48</f>
        <v>0</v>
      </c>
      <c r="M9" s="1024">
        <f>+'Resumen EEFF'!L48</f>
        <v>0</v>
      </c>
      <c r="N9" s="1024">
        <f>IFERROR(+'Resumen EEFF'!U48,0)</f>
        <v>0</v>
      </c>
      <c r="O9" s="1024">
        <f ca="1">IFERROR(+'Resumen EEFF'!V48,0)</f>
        <v>0</v>
      </c>
    </row>
    <row r="10" spans="2:15" s="1018" customFormat="1" ht="12" x14ac:dyDescent="0.2">
      <c r="B10" s="1027" t="s">
        <v>1448</v>
      </c>
      <c r="C10" s="1028">
        <f>+'Resumen EEFF'!B51</f>
        <v>0</v>
      </c>
      <c r="D10" s="1028">
        <f ca="1">+'Resumen EEFF'!C51</f>
        <v>0</v>
      </c>
      <c r="E10" s="1028">
        <f ca="1">+'Resumen EEFF'!D51</f>
        <v>0</v>
      </c>
      <c r="F10" s="1028">
        <f ca="1">+'Resumen EEFF'!E51</f>
        <v>0</v>
      </c>
      <c r="G10" s="1028">
        <f ca="1">+'Resumen EEFF'!F51</f>
        <v>0</v>
      </c>
      <c r="H10" s="1028">
        <f ca="1">+'Resumen EEFF'!G51</f>
        <v>0</v>
      </c>
      <c r="I10" s="1028">
        <f ca="1">+'Resumen EEFF'!H51</f>
        <v>0</v>
      </c>
      <c r="J10" s="1028">
        <f ca="1">+'Resumen EEFF'!I51</f>
        <v>0</v>
      </c>
      <c r="K10" s="1028">
        <f ca="1">+'Resumen EEFF'!J51</f>
        <v>0</v>
      </c>
      <c r="L10" s="1028">
        <f ca="1">+'Resumen EEFF'!K51</f>
        <v>0</v>
      </c>
      <c r="M10" s="1028">
        <f ca="1">+'Resumen EEFF'!L51</f>
        <v>0</v>
      </c>
      <c r="N10" s="1028">
        <f>IFERROR('Resumen EEFF'!U51,0)</f>
        <v>0</v>
      </c>
      <c r="O10" s="1028">
        <f ca="1">IFERROR('Resumen EEFF'!V51,0)</f>
        <v>0</v>
      </c>
    </row>
    <row r="11" spans="2:15" s="1018" customFormat="1" ht="12" x14ac:dyDescent="0.2">
      <c r="B11" s="1026" t="s">
        <v>1449</v>
      </c>
      <c r="C11" s="1024">
        <f>+'Resumen EEFF'!B52</f>
        <v>0</v>
      </c>
      <c r="D11" s="1024">
        <f ca="1">+'Resumen EEFF'!C52</f>
        <v>0</v>
      </c>
      <c r="E11" s="1024">
        <f ca="1">+'Resumen EEFF'!D52</f>
        <v>0</v>
      </c>
      <c r="F11" s="1024">
        <f ca="1">+'Resumen EEFF'!E52</f>
        <v>0</v>
      </c>
      <c r="G11" s="1024">
        <f ca="1">+'Resumen EEFF'!F52</f>
        <v>0</v>
      </c>
      <c r="H11" s="1024">
        <f ca="1">+'Resumen EEFF'!G52</f>
        <v>0</v>
      </c>
      <c r="I11" s="1024">
        <f ca="1">+'Resumen EEFF'!H52</f>
        <v>0</v>
      </c>
      <c r="J11" s="1024">
        <f ca="1">+'Resumen EEFF'!I52</f>
        <v>0</v>
      </c>
      <c r="K11" s="1024">
        <f ca="1">+'Resumen EEFF'!J52</f>
        <v>0</v>
      </c>
      <c r="L11" s="1024">
        <f ca="1">+'Resumen EEFF'!K52</f>
        <v>0</v>
      </c>
      <c r="M11" s="1024">
        <f ca="1">+'Resumen EEFF'!L52</f>
        <v>0</v>
      </c>
      <c r="N11" s="1024">
        <f>IFERROR('Resumen EEFF'!U52,0)</f>
        <v>0</v>
      </c>
      <c r="O11" s="1024">
        <f ca="1">IFERROR('Resumen EEFF'!V52,0)</f>
        <v>0</v>
      </c>
    </row>
    <row r="12" spans="2:15" s="1018" customFormat="1" ht="12" x14ac:dyDescent="0.2">
      <c r="B12" s="1026" t="s">
        <v>1450</v>
      </c>
      <c r="C12" s="1024">
        <f>-'Resumen EEFF'!B54+'Resumen EEFF'!B55</f>
        <v>0</v>
      </c>
      <c r="D12" s="1024">
        <f ca="1">-'Resumen EEFF'!C54+'Resumen EEFF'!C55</f>
        <v>0</v>
      </c>
      <c r="E12" s="1024">
        <f ca="1">-'Resumen EEFF'!D54+'Resumen EEFF'!D55</f>
        <v>0</v>
      </c>
      <c r="F12" s="1024">
        <f ca="1">-'Resumen EEFF'!E54+'Resumen EEFF'!E55</f>
        <v>0</v>
      </c>
      <c r="G12" s="1024">
        <f>-'Resumen EEFF'!F54+'Resumen EEFF'!F55</f>
        <v>0</v>
      </c>
      <c r="H12" s="1024">
        <f>-'Resumen EEFF'!G54+'Resumen EEFF'!G55</f>
        <v>0</v>
      </c>
      <c r="I12" s="1024">
        <f>-'Resumen EEFF'!H54+'Resumen EEFF'!H55</f>
        <v>0</v>
      </c>
      <c r="J12" s="1024">
        <f>-'Resumen EEFF'!I54+'Resumen EEFF'!I55</f>
        <v>0</v>
      </c>
      <c r="K12" s="1024">
        <f>-'Resumen EEFF'!J54+'Resumen EEFF'!J55</f>
        <v>0</v>
      </c>
      <c r="L12" s="1024">
        <f>-'Resumen EEFF'!K54+'Resumen EEFF'!K55</f>
        <v>0</v>
      </c>
      <c r="M12" s="1024">
        <f>-'Resumen EEFF'!L54+'Resumen EEFF'!L55</f>
        <v>0</v>
      </c>
      <c r="N12" s="1024">
        <f>IFERROR(-'Resumen EEFF'!U54+'Resumen EEFF'!U55,0)</f>
        <v>0</v>
      </c>
      <c r="O12" s="1024">
        <f ca="1">IFERROR(-'Resumen EEFF'!V54+'Resumen EEFF'!V55,0)</f>
        <v>0</v>
      </c>
    </row>
    <row r="13" spans="2:15" s="1018" customFormat="1" ht="12" x14ac:dyDescent="0.2">
      <c r="B13" s="1027" t="s">
        <v>1451</v>
      </c>
      <c r="C13" s="1028">
        <f>+'Resumen EEFF'!B60</f>
        <v>0</v>
      </c>
      <c r="D13" s="1028">
        <f ca="1">+'Resumen EEFF'!C60</f>
        <v>0</v>
      </c>
      <c r="E13" s="1028">
        <f ca="1">+'Resumen EEFF'!D60</f>
        <v>0</v>
      </c>
      <c r="F13" s="1028">
        <f ca="1">+'Resumen EEFF'!E60</f>
        <v>0</v>
      </c>
      <c r="G13" s="1028">
        <f ca="1">+'Resumen EEFF'!F60</f>
        <v>0</v>
      </c>
      <c r="H13" s="1028">
        <f ca="1">+'Resumen EEFF'!G60</f>
        <v>0</v>
      </c>
      <c r="I13" s="1028">
        <f ca="1">+'Resumen EEFF'!H60</f>
        <v>0</v>
      </c>
      <c r="J13" s="1028">
        <f ca="1">+'Resumen EEFF'!I60</f>
        <v>0</v>
      </c>
      <c r="K13" s="1028">
        <f ca="1">+'Resumen EEFF'!J60</f>
        <v>0</v>
      </c>
      <c r="L13" s="1028">
        <f ca="1">+'Resumen EEFF'!K60</f>
        <v>0</v>
      </c>
      <c r="M13" s="1028">
        <f ca="1">+'Resumen EEFF'!L60</f>
        <v>0</v>
      </c>
      <c r="N13" s="1028">
        <f>IFERROR(+'Resumen EEFF'!U60,0)</f>
        <v>0</v>
      </c>
      <c r="O13" s="1028">
        <f ca="1">IFERROR(+'Resumen EEFF'!V60,0)</f>
        <v>0</v>
      </c>
    </row>
    <row r="14" spans="2:15" s="1018" customFormat="1" ht="12" x14ac:dyDescent="0.2">
      <c r="B14" s="1026" t="s">
        <v>459</v>
      </c>
      <c r="C14" s="1024">
        <f>+'Datos Finan'!C14</f>
        <v>0</v>
      </c>
      <c r="D14" s="1024">
        <f ca="1">+'Datos Finan'!D14</f>
        <v>0</v>
      </c>
      <c r="E14" s="1024">
        <f ca="1">+'Datos Finan'!E14</f>
        <v>0</v>
      </c>
      <c r="F14" s="1024">
        <f ca="1">+'Datos Finan'!F14</f>
        <v>0</v>
      </c>
      <c r="G14" s="1024">
        <f ca="1">+'Datos Finan'!G14</f>
        <v>0</v>
      </c>
      <c r="H14" s="1024">
        <f ca="1">+'Datos Finan'!H14</f>
        <v>0</v>
      </c>
      <c r="I14" s="1024">
        <f ca="1">+'Datos Finan'!I14</f>
        <v>0</v>
      </c>
      <c r="J14" s="1024">
        <f ca="1">+'Datos Finan'!J14</f>
        <v>0</v>
      </c>
      <c r="K14" s="1024">
        <f ca="1">+'Datos Finan'!K14</f>
        <v>0</v>
      </c>
      <c r="L14" s="1024">
        <f ca="1">+'Datos Finan'!L14</f>
        <v>0</v>
      </c>
      <c r="M14" s="1024">
        <f ca="1">+'Datos Finan'!M14</f>
        <v>0</v>
      </c>
      <c r="N14" s="1024">
        <f>IFERROR(+'Datos Finan'!N14,0)</f>
        <v>0</v>
      </c>
      <c r="O14" s="1024">
        <f ca="1">IFERROR(+'Datos Finan'!O14,0)</f>
        <v>0</v>
      </c>
    </row>
    <row r="15" spans="2:15" s="1018" customFormat="1" ht="12" x14ac:dyDescent="0.2">
      <c r="B15" s="1026" t="s">
        <v>1452</v>
      </c>
      <c r="C15" s="1024">
        <f>+'Resumen EEFF'!B62</f>
        <v>0</v>
      </c>
      <c r="D15" s="1024">
        <f>+'Resumen EEFF'!C62</f>
        <v>0</v>
      </c>
      <c r="E15" s="1024">
        <f>+'Resumen EEFF'!D62</f>
        <v>0</v>
      </c>
      <c r="F15" s="1024">
        <f ca="1">+'Resumen EEFF'!E62</f>
        <v>0</v>
      </c>
      <c r="G15" s="1024">
        <f ca="1">+'Resumen EEFF'!F62</f>
        <v>0</v>
      </c>
      <c r="H15" s="1024">
        <f ca="1">+'Resumen EEFF'!G62</f>
        <v>0</v>
      </c>
      <c r="I15" s="1024">
        <f ca="1">+'Resumen EEFF'!H62</f>
        <v>0</v>
      </c>
      <c r="J15" s="1024">
        <f ca="1">+'Resumen EEFF'!I62</f>
        <v>0</v>
      </c>
      <c r="K15" s="1024">
        <f ca="1">+'Resumen EEFF'!J62</f>
        <v>0</v>
      </c>
      <c r="L15" s="1024">
        <f ca="1">+'Resumen EEFF'!K62</f>
        <v>0</v>
      </c>
      <c r="M15" s="1024">
        <f ca="1">+'Resumen EEFF'!L62</f>
        <v>0</v>
      </c>
      <c r="N15" s="1024">
        <f>IFERROR(+'Resumen EEFF'!U62,0)</f>
        <v>0</v>
      </c>
      <c r="O15" s="1024">
        <f>IFERROR(+'Resumen EEFF'!V62,0)</f>
        <v>0</v>
      </c>
    </row>
    <row r="16" spans="2:15" s="1018" customFormat="1" ht="12" x14ac:dyDescent="0.2">
      <c r="B16" s="1026" t="s">
        <v>1453</v>
      </c>
      <c r="C16" s="1024">
        <f>+'Resumen EEFF'!B63</f>
        <v>0</v>
      </c>
      <c r="D16" s="1024">
        <f>+'Resumen EEFF'!C63</f>
        <v>0</v>
      </c>
      <c r="E16" s="1024">
        <f>+'Resumen EEFF'!D63</f>
        <v>0</v>
      </c>
      <c r="F16" s="1024">
        <f ca="1">+'Resumen EEFF'!E63</f>
        <v>0</v>
      </c>
      <c r="G16" s="1024">
        <f ca="1">+'Resumen EEFF'!F63</f>
        <v>0</v>
      </c>
      <c r="H16" s="1024">
        <f ca="1">+'Resumen EEFF'!G63</f>
        <v>0</v>
      </c>
      <c r="I16" s="1024">
        <f ca="1">+'Resumen EEFF'!H63</f>
        <v>0</v>
      </c>
      <c r="J16" s="1024">
        <f ca="1">+'Resumen EEFF'!I63</f>
        <v>0</v>
      </c>
      <c r="K16" s="1024">
        <f ca="1">+'Resumen EEFF'!J63</f>
        <v>0</v>
      </c>
      <c r="L16" s="1024">
        <f ca="1">+'Resumen EEFF'!K63</f>
        <v>0</v>
      </c>
      <c r="M16" s="1024">
        <f ca="1">+'Resumen EEFF'!L63</f>
        <v>0</v>
      </c>
      <c r="N16" s="1024">
        <f>IFERROR(+'Resumen EEFF'!U63,0)</f>
        <v>0</v>
      </c>
      <c r="O16" s="1024">
        <f>IFERROR(+'Resumen EEFF'!V63,0)</f>
        <v>0</v>
      </c>
    </row>
    <row r="17" spans="2:15" s="1018" customFormat="1" ht="12" x14ac:dyDescent="0.2">
      <c r="B17" s="1026" t="s">
        <v>1454</v>
      </c>
      <c r="C17" s="1024">
        <f>+'Resumen EEFF'!B64</f>
        <v>0</v>
      </c>
      <c r="D17" s="1024">
        <f>+'Resumen EEFF'!C64</f>
        <v>0</v>
      </c>
      <c r="E17" s="1024">
        <f>+'Resumen EEFF'!D64</f>
        <v>0</v>
      </c>
      <c r="F17" s="1024">
        <f ca="1">+'Resumen EEFF'!E64</f>
        <v>0</v>
      </c>
      <c r="G17" s="1024">
        <f ca="1">+'Resumen EEFF'!F64</f>
        <v>0</v>
      </c>
      <c r="H17" s="1024">
        <f ca="1">+'Resumen EEFF'!G64</f>
        <v>0</v>
      </c>
      <c r="I17" s="1024">
        <f ca="1">+'Resumen EEFF'!H64</f>
        <v>0</v>
      </c>
      <c r="J17" s="1024">
        <f ca="1">+'Resumen EEFF'!I64</f>
        <v>0</v>
      </c>
      <c r="K17" s="1024">
        <f ca="1">+'Resumen EEFF'!J64</f>
        <v>0</v>
      </c>
      <c r="L17" s="1024">
        <f ca="1">+'Resumen EEFF'!K64</f>
        <v>0</v>
      </c>
      <c r="M17" s="1024">
        <f ca="1">+'Resumen EEFF'!L64</f>
        <v>0</v>
      </c>
      <c r="N17" s="1024">
        <f>IFERROR(+'Resumen EEFF'!U64,0)</f>
        <v>0</v>
      </c>
      <c r="O17" s="1024">
        <f>IFERROR(+'Resumen EEFF'!V64,0)</f>
        <v>0</v>
      </c>
    </row>
    <row r="18" spans="2:15" s="1018" customFormat="1" ht="12" x14ac:dyDescent="0.2">
      <c r="B18" s="1027" t="s">
        <v>1455</v>
      </c>
      <c r="C18" s="1028">
        <f>+'Resumen EEFF'!B68</f>
        <v>0</v>
      </c>
      <c r="D18" s="1028">
        <f ca="1">+'Resumen EEFF'!C68</f>
        <v>0</v>
      </c>
      <c r="E18" s="1028">
        <f ca="1">+'Resumen EEFF'!D68</f>
        <v>0</v>
      </c>
      <c r="F18" s="1028">
        <f ca="1">+'Resumen EEFF'!E68</f>
        <v>0</v>
      </c>
      <c r="G18" s="1028">
        <f ca="1">+'Resumen EEFF'!F68</f>
        <v>0</v>
      </c>
      <c r="H18" s="1028">
        <f ca="1">+'Resumen EEFF'!G68</f>
        <v>0</v>
      </c>
      <c r="I18" s="1028">
        <f ca="1">+'Resumen EEFF'!H68</f>
        <v>0</v>
      </c>
      <c r="J18" s="1028">
        <f ca="1">+'Resumen EEFF'!I68</f>
        <v>0</v>
      </c>
      <c r="K18" s="1028">
        <f ca="1">+'Resumen EEFF'!J68</f>
        <v>0</v>
      </c>
      <c r="L18" s="1028">
        <f ca="1">+'Resumen EEFF'!K68</f>
        <v>0</v>
      </c>
      <c r="M18" s="1028">
        <f ca="1">+'Resumen EEFF'!L68</f>
        <v>0</v>
      </c>
      <c r="N18" s="1028">
        <f>IFERROR(+'Resumen EEFF'!U68,0)</f>
        <v>0</v>
      </c>
      <c r="O18" s="1028">
        <f ca="1">IFERROR(+'Resumen EEFF'!V68,0)</f>
        <v>0</v>
      </c>
    </row>
    <row r="19" spans="2:15" s="1018" customFormat="1" ht="12" x14ac:dyDescent="0.2">
      <c r="B19" s="1026" t="s">
        <v>1182</v>
      </c>
      <c r="C19" s="1024">
        <f>+'Resumen EEFF'!B71</f>
        <v>0</v>
      </c>
      <c r="D19" s="1024">
        <f>+'Resumen EEFF'!C71</f>
        <v>0</v>
      </c>
      <c r="E19" s="1024">
        <f>+'Resumen EEFF'!D71</f>
        <v>0</v>
      </c>
      <c r="F19" s="1024">
        <f>+'Resumen EEFF'!E71</f>
        <v>0</v>
      </c>
      <c r="G19" s="1024">
        <f ca="1">+'Resumen EEFF'!F71</f>
        <v>0</v>
      </c>
      <c r="H19" s="1024">
        <f ca="1">+'Resumen EEFF'!G71</f>
        <v>0</v>
      </c>
      <c r="I19" s="1024">
        <f ca="1">+'Resumen EEFF'!H71</f>
        <v>0</v>
      </c>
      <c r="J19" s="1024">
        <f ca="1">+'Resumen EEFF'!I71</f>
        <v>0</v>
      </c>
      <c r="K19" s="1024">
        <f ca="1">+'Resumen EEFF'!J71</f>
        <v>0</v>
      </c>
      <c r="L19" s="1024">
        <f ca="1">+'Resumen EEFF'!K71</f>
        <v>0</v>
      </c>
      <c r="M19" s="1024">
        <f ca="1">+'Resumen EEFF'!L71</f>
        <v>0</v>
      </c>
      <c r="N19" s="1024">
        <f>IFERROR(+'Resumen EEFF'!U71,0)</f>
        <v>0</v>
      </c>
      <c r="O19" s="1024">
        <f>IFERROR(+'Resumen EEFF'!V71,0)</f>
        <v>0</v>
      </c>
    </row>
    <row r="20" spans="2:15" s="1018" customFormat="1" ht="12" x14ac:dyDescent="0.2">
      <c r="B20" s="1027" t="s">
        <v>1456</v>
      </c>
      <c r="C20" s="1028">
        <f>+'Resumen EEFF'!B72</f>
        <v>0</v>
      </c>
      <c r="D20" s="1028">
        <f ca="1">+'Resumen EEFF'!C72</f>
        <v>0</v>
      </c>
      <c r="E20" s="1028">
        <f ca="1">+'Resumen EEFF'!D72</f>
        <v>0</v>
      </c>
      <c r="F20" s="1028">
        <f ca="1">+'Resumen EEFF'!E72</f>
        <v>0</v>
      </c>
      <c r="G20" s="1028">
        <f ca="1">+'Resumen EEFF'!F72</f>
        <v>0</v>
      </c>
      <c r="H20" s="1028">
        <f ca="1">+'Resumen EEFF'!G72</f>
        <v>0</v>
      </c>
      <c r="I20" s="1028">
        <f ca="1">+'Resumen EEFF'!H72</f>
        <v>0</v>
      </c>
      <c r="J20" s="1028">
        <f ca="1">+'Resumen EEFF'!I72</f>
        <v>0</v>
      </c>
      <c r="K20" s="1028">
        <f ca="1">+'Resumen EEFF'!J72</f>
        <v>0</v>
      </c>
      <c r="L20" s="1028">
        <f ca="1">+'Resumen EEFF'!K72</f>
        <v>0</v>
      </c>
      <c r="M20" s="1028">
        <f ca="1">+'Resumen EEFF'!L72</f>
        <v>0</v>
      </c>
      <c r="N20" s="1028">
        <f>IFERROR(+'Resumen EEFF'!U72,0)</f>
        <v>0</v>
      </c>
      <c r="O20" s="1028">
        <f ca="1">IFERROR(+'Resumen EEFF'!V72,0)</f>
        <v>0</v>
      </c>
    </row>
    <row r="21" spans="2:15" x14ac:dyDescent="0.2">
      <c r="B21" s="992"/>
    </row>
    <row r="22" spans="2:15" x14ac:dyDescent="0.2">
      <c r="B22" s="992"/>
    </row>
    <row r="23" spans="2:15" x14ac:dyDescent="0.2">
      <c r="B23" s="992"/>
    </row>
    <row r="24" spans="2:15" x14ac:dyDescent="0.2">
      <c r="B24" s="992"/>
    </row>
    <row r="25" spans="2:15" x14ac:dyDescent="0.2">
      <c r="B25" s="992"/>
    </row>
    <row r="26" spans="2:15" x14ac:dyDescent="0.2">
      <c r="B26" s="992"/>
    </row>
    <row r="27" spans="2:15" x14ac:dyDescent="0.2">
      <c r="B27" s="992"/>
    </row>
  </sheetData>
  <pageMargins left="0.70866141732283472" right="0.70866141732283472" top="0.74803149606299213" bottom="0.74803149606299213" header="0.31496062992125984" footer="0.31496062992125984"/>
  <pageSetup orientation="landscape" r:id="rId1"/>
  <ignoredErrors>
    <ignoredError sqref="C5:E5" unlockedFormula="1"/>
  </ignoredError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K215"/>
  <sheetViews>
    <sheetView topLeftCell="A32" workbookViewId="0">
      <selection activeCell="C43" sqref="C43"/>
    </sheetView>
  </sheetViews>
  <sheetFormatPr baseColWidth="10" defaultRowHeight="15" x14ac:dyDescent="0.25"/>
  <cols>
    <col min="1" max="3" width="11.42578125" style="2445"/>
    <col min="4" max="4" width="32.42578125" style="2445" bestFit="1" customWidth="1"/>
    <col min="5" max="259" width="11.42578125" style="2445"/>
    <col min="260" max="260" width="32.42578125" style="2445" bestFit="1" customWidth="1"/>
    <col min="261" max="515" width="11.42578125" style="2445"/>
    <col min="516" max="516" width="32.42578125" style="2445" bestFit="1" customWidth="1"/>
    <col min="517" max="771" width="11.42578125" style="2445"/>
    <col min="772" max="772" width="32.42578125" style="2445" bestFit="1" customWidth="1"/>
    <col min="773" max="1027" width="11.42578125" style="2445"/>
    <col min="1028" max="1028" width="32.42578125" style="2445" bestFit="1" customWidth="1"/>
    <col min="1029" max="1283" width="11.42578125" style="2445"/>
    <col min="1284" max="1284" width="32.42578125" style="2445" bestFit="1" customWidth="1"/>
    <col min="1285" max="1539" width="11.42578125" style="2445"/>
    <col min="1540" max="1540" width="32.42578125" style="2445" bestFit="1" customWidth="1"/>
    <col min="1541" max="1795" width="11.42578125" style="2445"/>
    <col min="1796" max="1796" width="32.42578125" style="2445" bestFit="1" customWidth="1"/>
    <col min="1797" max="2051" width="11.42578125" style="2445"/>
    <col min="2052" max="2052" width="32.42578125" style="2445" bestFit="1" customWidth="1"/>
    <col min="2053" max="2307" width="11.42578125" style="2445"/>
    <col min="2308" max="2308" width="32.42578125" style="2445" bestFit="1" customWidth="1"/>
    <col min="2309" max="2563" width="11.42578125" style="2445"/>
    <col min="2564" max="2564" width="32.42578125" style="2445" bestFit="1" customWidth="1"/>
    <col min="2565" max="2819" width="11.42578125" style="2445"/>
    <col min="2820" max="2820" width="32.42578125" style="2445" bestFit="1" customWidth="1"/>
    <col min="2821" max="3075" width="11.42578125" style="2445"/>
    <col min="3076" max="3076" width="32.42578125" style="2445" bestFit="1" customWidth="1"/>
    <col min="3077" max="3331" width="11.42578125" style="2445"/>
    <col min="3332" max="3332" width="32.42578125" style="2445" bestFit="1" customWidth="1"/>
    <col min="3333" max="3587" width="11.42578125" style="2445"/>
    <col min="3588" max="3588" width="32.42578125" style="2445" bestFit="1" customWidth="1"/>
    <col min="3589" max="3843" width="11.42578125" style="2445"/>
    <col min="3844" max="3844" width="32.42578125" style="2445" bestFit="1" customWidth="1"/>
    <col min="3845" max="4099" width="11.42578125" style="2445"/>
    <col min="4100" max="4100" width="32.42578125" style="2445" bestFit="1" customWidth="1"/>
    <col min="4101" max="4355" width="11.42578125" style="2445"/>
    <col min="4356" max="4356" width="32.42578125" style="2445" bestFit="1" customWidth="1"/>
    <col min="4357" max="4611" width="11.42578125" style="2445"/>
    <col min="4612" max="4612" width="32.42578125" style="2445" bestFit="1" customWidth="1"/>
    <col min="4613" max="4867" width="11.42578125" style="2445"/>
    <col min="4868" max="4868" width="32.42578125" style="2445" bestFit="1" customWidth="1"/>
    <col min="4869" max="5123" width="11.42578125" style="2445"/>
    <col min="5124" max="5124" width="32.42578125" style="2445" bestFit="1" customWidth="1"/>
    <col min="5125" max="5379" width="11.42578125" style="2445"/>
    <col min="5380" max="5380" width="32.42578125" style="2445" bestFit="1" customWidth="1"/>
    <col min="5381" max="5635" width="11.42578125" style="2445"/>
    <col min="5636" max="5636" width="32.42578125" style="2445" bestFit="1" customWidth="1"/>
    <col min="5637" max="5891" width="11.42578125" style="2445"/>
    <col min="5892" max="5892" width="32.42578125" style="2445" bestFit="1" customWidth="1"/>
    <col min="5893" max="6147" width="11.42578125" style="2445"/>
    <col min="6148" max="6148" width="32.42578125" style="2445" bestFit="1" customWidth="1"/>
    <col min="6149" max="6403" width="11.42578125" style="2445"/>
    <col min="6404" max="6404" width="32.42578125" style="2445" bestFit="1" customWidth="1"/>
    <col min="6405" max="6659" width="11.42578125" style="2445"/>
    <col min="6660" max="6660" width="32.42578125" style="2445" bestFit="1" customWidth="1"/>
    <col min="6661" max="6915" width="11.42578125" style="2445"/>
    <col min="6916" max="6916" width="32.42578125" style="2445" bestFit="1" customWidth="1"/>
    <col min="6917" max="7171" width="11.42578125" style="2445"/>
    <col min="7172" max="7172" width="32.42578125" style="2445" bestFit="1" customWidth="1"/>
    <col min="7173" max="7427" width="11.42578125" style="2445"/>
    <col min="7428" max="7428" width="32.42578125" style="2445" bestFit="1" customWidth="1"/>
    <col min="7429" max="7683" width="11.42578125" style="2445"/>
    <col min="7684" max="7684" width="32.42578125" style="2445" bestFit="1" customWidth="1"/>
    <col min="7685" max="7939" width="11.42578125" style="2445"/>
    <col min="7940" max="7940" width="32.42578125" style="2445" bestFit="1" customWidth="1"/>
    <col min="7941" max="8195" width="11.42578125" style="2445"/>
    <col min="8196" max="8196" width="32.42578125" style="2445" bestFit="1" customWidth="1"/>
    <col min="8197" max="8451" width="11.42578125" style="2445"/>
    <col min="8452" max="8452" width="32.42578125" style="2445" bestFit="1" customWidth="1"/>
    <col min="8453" max="8707" width="11.42578125" style="2445"/>
    <col min="8708" max="8708" width="32.42578125" style="2445" bestFit="1" customWidth="1"/>
    <col min="8709" max="8963" width="11.42578125" style="2445"/>
    <col min="8964" max="8964" width="32.42578125" style="2445" bestFit="1" customWidth="1"/>
    <col min="8965" max="9219" width="11.42578125" style="2445"/>
    <col min="9220" max="9220" width="32.42578125" style="2445" bestFit="1" customWidth="1"/>
    <col min="9221" max="9475" width="11.42578125" style="2445"/>
    <col min="9476" max="9476" width="32.42578125" style="2445" bestFit="1" customWidth="1"/>
    <col min="9477" max="9731" width="11.42578125" style="2445"/>
    <col min="9732" max="9732" width="32.42578125" style="2445" bestFit="1" customWidth="1"/>
    <col min="9733" max="9987" width="11.42578125" style="2445"/>
    <col min="9988" max="9988" width="32.42578125" style="2445" bestFit="1" customWidth="1"/>
    <col min="9989" max="10243" width="11.42578125" style="2445"/>
    <col min="10244" max="10244" width="32.42578125" style="2445" bestFit="1" customWidth="1"/>
    <col min="10245" max="10499" width="11.42578125" style="2445"/>
    <col min="10500" max="10500" width="32.42578125" style="2445" bestFit="1" customWidth="1"/>
    <col min="10501" max="10755" width="11.42578125" style="2445"/>
    <col min="10756" max="10756" width="32.42578125" style="2445" bestFit="1" customWidth="1"/>
    <col min="10757" max="11011" width="11.42578125" style="2445"/>
    <col min="11012" max="11012" width="32.42578125" style="2445" bestFit="1" customWidth="1"/>
    <col min="11013" max="11267" width="11.42578125" style="2445"/>
    <col min="11268" max="11268" width="32.42578125" style="2445" bestFit="1" customWidth="1"/>
    <col min="11269" max="11523" width="11.42578125" style="2445"/>
    <col min="11524" max="11524" width="32.42578125" style="2445" bestFit="1" customWidth="1"/>
    <col min="11525" max="11779" width="11.42578125" style="2445"/>
    <col min="11780" max="11780" width="32.42578125" style="2445" bestFit="1" customWidth="1"/>
    <col min="11781" max="12035" width="11.42578125" style="2445"/>
    <col min="12036" max="12036" width="32.42578125" style="2445" bestFit="1" customWidth="1"/>
    <col min="12037" max="12291" width="11.42578125" style="2445"/>
    <col min="12292" max="12292" width="32.42578125" style="2445" bestFit="1" customWidth="1"/>
    <col min="12293" max="12547" width="11.42578125" style="2445"/>
    <col min="12548" max="12548" width="32.42578125" style="2445" bestFit="1" customWidth="1"/>
    <col min="12549" max="12803" width="11.42578125" style="2445"/>
    <col min="12804" max="12804" width="32.42578125" style="2445" bestFit="1" customWidth="1"/>
    <col min="12805" max="13059" width="11.42578125" style="2445"/>
    <col min="13060" max="13060" width="32.42578125" style="2445" bestFit="1" customWidth="1"/>
    <col min="13061" max="13315" width="11.42578125" style="2445"/>
    <col min="13316" max="13316" width="32.42578125" style="2445" bestFit="1" customWidth="1"/>
    <col min="13317" max="13571" width="11.42578125" style="2445"/>
    <col min="13572" max="13572" width="32.42578125" style="2445" bestFit="1" customWidth="1"/>
    <col min="13573" max="13827" width="11.42578125" style="2445"/>
    <col min="13828" max="13828" width="32.42578125" style="2445" bestFit="1" customWidth="1"/>
    <col min="13829" max="14083" width="11.42578125" style="2445"/>
    <col min="14084" max="14084" width="32.42578125" style="2445" bestFit="1" customWidth="1"/>
    <col min="14085" max="14339" width="11.42578125" style="2445"/>
    <col min="14340" max="14340" width="32.42578125" style="2445" bestFit="1" customWidth="1"/>
    <col min="14341" max="14595" width="11.42578125" style="2445"/>
    <col min="14596" max="14596" width="32.42578125" style="2445" bestFit="1" customWidth="1"/>
    <col min="14597" max="14851" width="11.42578125" style="2445"/>
    <col min="14852" max="14852" width="32.42578125" style="2445" bestFit="1" customWidth="1"/>
    <col min="14853" max="15107" width="11.42578125" style="2445"/>
    <col min="15108" max="15108" width="32.42578125" style="2445" bestFit="1" customWidth="1"/>
    <col min="15109" max="15363" width="11.42578125" style="2445"/>
    <col min="15364" max="15364" width="32.42578125" style="2445" bestFit="1" customWidth="1"/>
    <col min="15365" max="15619" width="11.42578125" style="2445"/>
    <col min="15620" max="15620" width="32.42578125" style="2445" bestFit="1" customWidth="1"/>
    <col min="15621" max="15875" width="11.42578125" style="2445"/>
    <col min="15876" max="15876" width="32.42578125" style="2445" bestFit="1" customWidth="1"/>
    <col min="15877" max="16131" width="11.42578125" style="2445"/>
    <col min="16132" max="16132" width="32.42578125" style="2445" bestFit="1" customWidth="1"/>
    <col min="16133" max="16384" width="11.42578125" style="2445"/>
  </cols>
  <sheetData>
    <row r="1" spans="1:11" ht="22.5" x14ac:dyDescent="0.25">
      <c r="A1" s="2505" t="s">
        <v>2044</v>
      </c>
      <c r="B1" s="2506" t="s">
        <v>2045</v>
      </c>
      <c r="C1" s="2506" t="s">
        <v>2046</v>
      </c>
      <c r="D1" s="2507" t="s">
        <v>2047</v>
      </c>
      <c r="E1" s="2511" t="s">
        <v>2048</v>
      </c>
      <c r="F1" s="2511" t="s">
        <v>2049</v>
      </c>
      <c r="G1" s="2511" t="s">
        <v>2050</v>
      </c>
      <c r="H1" s="2511" t="s">
        <v>2051</v>
      </c>
      <c r="I1" s="2511" t="s">
        <v>2052</v>
      </c>
      <c r="J1" s="2511" t="s">
        <v>2053</v>
      </c>
      <c r="K1" s="2512" t="s">
        <v>1902</v>
      </c>
    </row>
    <row r="2" spans="1:11" x14ac:dyDescent="0.25">
      <c r="A2" s="2505">
        <v>2016</v>
      </c>
      <c r="B2" s="2505" t="s">
        <v>2054</v>
      </c>
      <c r="C2" s="2505" t="s">
        <v>2055</v>
      </c>
      <c r="D2" s="2505" t="s">
        <v>2056</v>
      </c>
      <c r="E2" s="2508">
        <v>-1.1521414518356323</v>
      </c>
      <c r="F2" s="2508">
        <v>-2.5023500919342041</v>
      </c>
      <c r="G2" s="2508">
        <v>-1.3356040716171265</v>
      </c>
      <c r="H2" s="2508">
        <v>-1.0083513259887695</v>
      </c>
      <c r="I2" s="2508">
        <v>-1.3404111862182617</v>
      </c>
      <c r="J2" s="2508">
        <v>-1.5925652980804443</v>
      </c>
      <c r="K2" s="2508">
        <v>-1.4885705709457397</v>
      </c>
    </row>
    <row r="3" spans="1:11" x14ac:dyDescent="0.25">
      <c r="A3" s="2505">
        <v>2016</v>
      </c>
      <c r="B3" s="2505" t="s">
        <v>2057</v>
      </c>
      <c r="C3" s="2505" t="s">
        <v>2058</v>
      </c>
      <c r="D3" s="2505" t="s">
        <v>2059</v>
      </c>
      <c r="E3" s="2508">
        <v>0.15934838354587555</v>
      </c>
      <c r="F3" s="2508">
        <v>0.35720592737197876</v>
      </c>
      <c r="G3" s="2508">
        <v>2.7829643338918686E-2</v>
      </c>
      <c r="H3" s="2508">
        <v>0.19866302609443665</v>
      </c>
      <c r="I3" s="2508">
        <v>-0.44401437044143677</v>
      </c>
      <c r="J3" s="2508">
        <v>-0.35936722159385681</v>
      </c>
      <c r="K3" s="2508">
        <v>-1.005576861401399E-2</v>
      </c>
    </row>
    <row r="4" spans="1:11" x14ac:dyDescent="0.25">
      <c r="A4" s="2505">
        <v>2016</v>
      </c>
      <c r="B4" s="2505" t="s">
        <v>2060</v>
      </c>
      <c r="C4" s="2505" t="s">
        <v>2061</v>
      </c>
      <c r="D4" s="2505" t="s">
        <v>2062</v>
      </c>
      <c r="E4" s="2508">
        <v>-0.85251337289810181</v>
      </c>
      <c r="F4" s="2508">
        <v>-1.0464534759521484</v>
      </c>
      <c r="G4" s="2508">
        <v>-0.50621795654296875</v>
      </c>
      <c r="H4" s="2508">
        <v>-1.169924259185791</v>
      </c>
      <c r="I4" s="2508">
        <v>-0.68152862787246704</v>
      </c>
      <c r="J4" s="2508">
        <v>-0.83118355274200439</v>
      </c>
      <c r="K4" s="2508">
        <v>-0.84797020753224694</v>
      </c>
    </row>
    <row r="5" spans="1:11" x14ac:dyDescent="0.25">
      <c r="A5" s="2505">
        <v>2016</v>
      </c>
      <c r="B5" s="2505" t="s">
        <v>2063</v>
      </c>
      <c r="C5" s="2505"/>
      <c r="D5" s="2505" t="s">
        <v>2064</v>
      </c>
      <c r="E5" s="2508"/>
      <c r="F5" s="2508">
        <v>1.2138159275054932</v>
      </c>
      <c r="G5" s="2508">
        <v>0.46728792786598206</v>
      </c>
      <c r="H5" s="2508">
        <v>0.16846071183681488</v>
      </c>
      <c r="I5" s="2508">
        <v>1.2460027933120728</v>
      </c>
      <c r="J5" s="2508">
        <v>1.3637286424636841</v>
      </c>
      <c r="K5" s="2508">
        <v>0.89185920059680934</v>
      </c>
    </row>
    <row r="6" spans="1:11" x14ac:dyDescent="0.25">
      <c r="A6" s="2505">
        <v>2016</v>
      </c>
      <c r="B6" s="2505" t="s">
        <v>2065</v>
      </c>
      <c r="C6" s="2505"/>
      <c r="D6" s="2505" t="s">
        <v>2066</v>
      </c>
      <c r="E6" s="2508">
        <v>1.2088719606399536</v>
      </c>
      <c r="F6" s="2508">
        <v>1.4367712736129761</v>
      </c>
      <c r="G6" s="2508">
        <v>1.7523550987243652</v>
      </c>
      <c r="H6" s="2508">
        <v>0.89205896854400635</v>
      </c>
      <c r="I6" s="2508">
        <v>1.2460027933120728</v>
      </c>
      <c r="J6" s="2508">
        <v>1.5946007966995239</v>
      </c>
      <c r="K6" s="2508">
        <v>1.3551101485888164</v>
      </c>
    </row>
    <row r="7" spans="1:11" x14ac:dyDescent="0.25">
      <c r="A7" s="2505">
        <v>2016</v>
      </c>
      <c r="B7" s="2505" t="s">
        <v>2067</v>
      </c>
      <c r="C7" s="2505" t="s">
        <v>2068</v>
      </c>
      <c r="D7" s="2505" t="s">
        <v>2069</v>
      </c>
      <c r="E7" s="2508">
        <v>-1.1857553720474243</v>
      </c>
      <c r="F7" s="2508">
        <v>-0.59050703048706055</v>
      </c>
      <c r="G7" s="2508">
        <v>-1.0120357275009155</v>
      </c>
      <c r="H7" s="2508">
        <v>-0.90826374292373657</v>
      </c>
      <c r="I7" s="2508">
        <v>-1.3968926668167114</v>
      </c>
      <c r="J7" s="2508">
        <v>-1.0692944526672363</v>
      </c>
      <c r="K7" s="2508">
        <v>-1.0271248320738475</v>
      </c>
    </row>
    <row r="8" spans="1:11" x14ac:dyDescent="0.25">
      <c r="A8" s="2505">
        <v>2016</v>
      </c>
      <c r="B8" s="2505" t="s">
        <v>2070</v>
      </c>
      <c r="C8" s="2505"/>
      <c r="D8" s="2505" t="s">
        <v>2071</v>
      </c>
      <c r="E8" s="2508"/>
      <c r="F8" s="2508">
        <v>1.3206520080566406</v>
      </c>
      <c r="G8" s="2508">
        <v>0.98131477832794189</v>
      </c>
      <c r="H8" s="2508">
        <v>0.89205896854400635</v>
      </c>
      <c r="I8" s="2508">
        <v>1.2460027933120728</v>
      </c>
      <c r="J8" s="2508">
        <v>-2.1503739058971405E-2</v>
      </c>
      <c r="K8" s="2508">
        <v>0.88370496183633807</v>
      </c>
    </row>
    <row r="9" spans="1:11" x14ac:dyDescent="0.25">
      <c r="A9" s="2505">
        <v>2016</v>
      </c>
      <c r="B9" s="2505" t="s">
        <v>2072</v>
      </c>
      <c r="C9" s="2505"/>
      <c r="D9" s="2505" t="s">
        <v>2073</v>
      </c>
      <c r="E9" s="2508">
        <v>0.68589603900909424</v>
      </c>
      <c r="F9" s="2508">
        <v>1.0667146444320679</v>
      </c>
      <c r="G9" s="2508">
        <v>0.21027450263500214</v>
      </c>
      <c r="H9" s="2508">
        <v>0.53025984764099121</v>
      </c>
      <c r="I9" s="2508">
        <v>0.6671716570854187</v>
      </c>
      <c r="J9" s="2508">
        <v>0.2086433470249176</v>
      </c>
      <c r="K9" s="2508">
        <v>0.56149333963791526</v>
      </c>
    </row>
    <row r="10" spans="1:11" x14ac:dyDescent="0.25">
      <c r="A10" s="2505">
        <v>2016</v>
      </c>
      <c r="B10" s="2505" t="s">
        <v>2074</v>
      </c>
      <c r="C10" s="2505" t="s">
        <v>2075</v>
      </c>
      <c r="D10" s="2505" t="s">
        <v>2076</v>
      </c>
      <c r="E10" s="2508">
        <v>0.33465540409088135</v>
      </c>
      <c r="F10" s="2508">
        <v>-6.5685637295246124E-2</v>
      </c>
      <c r="G10" s="2508">
        <v>-8.7074145674705505E-2</v>
      </c>
      <c r="H10" s="2508">
        <v>-0.95659440755844116</v>
      </c>
      <c r="I10" s="2508">
        <v>-0.58686602115631104</v>
      </c>
      <c r="J10" s="2508">
        <v>-0.80372220277786255</v>
      </c>
      <c r="K10" s="2508">
        <v>-0.36088116839528084</v>
      </c>
    </row>
    <row r="11" spans="1:11" x14ac:dyDescent="0.25">
      <c r="A11" s="2505">
        <v>2016</v>
      </c>
      <c r="B11" s="2505" t="s">
        <v>2077</v>
      </c>
      <c r="C11" s="2505" t="s">
        <v>2078</v>
      </c>
      <c r="D11" s="2505" t="s">
        <v>2079</v>
      </c>
      <c r="E11" s="2508">
        <v>-0.53651916980743408</v>
      </c>
      <c r="F11" s="2508">
        <v>-0.29185852408409119</v>
      </c>
      <c r="G11" s="2508">
        <v>-0.13541474938392639</v>
      </c>
      <c r="H11" s="2508">
        <v>0.24890060722827911</v>
      </c>
      <c r="I11" s="2508">
        <v>-0.45138514041900635</v>
      </c>
      <c r="J11" s="2508">
        <v>-0.34309530258178711</v>
      </c>
      <c r="K11" s="2508">
        <v>-0.25156204650799435</v>
      </c>
    </row>
    <row r="12" spans="1:11" x14ac:dyDescent="0.25">
      <c r="A12" s="2505">
        <v>2016</v>
      </c>
      <c r="B12" s="2505" t="s">
        <v>2080</v>
      </c>
      <c r="C12" s="2505" t="s">
        <v>2081</v>
      </c>
      <c r="D12" s="2505" t="s">
        <v>2082</v>
      </c>
      <c r="E12" s="2508">
        <v>1.2313157320022583</v>
      </c>
      <c r="F12" s="2508">
        <v>1.2597864866256714</v>
      </c>
      <c r="G12" s="2508">
        <v>0.85949325561523438</v>
      </c>
      <c r="H12" s="2508">
        <v>1.3841681480407715</v>
      </c>
      <c r="I12" s="2508">
        <v>1.3103053569793701</v>
      </c>
      <c r="J12" s="2508">
        <v>1.2887030839920044</v>
      </c>
      <c r="K12" s="2508">
        <v>1.222295343875885</v>
      </c>
    </row>
    <row r="13" spans="1:11" x14ac:dyDescent="0.25">
      <c r="A13" s="2505">
        <v>2016</v>
      </c>
      <c r="B13" s="2505" t="s">
        <v>2083</v>
      </c>
      <c r="C13" s="2505" t="s">
        <v>2084</v>
      </c>
      <c r="D13" s="2505" t="s">
        <v>2085</v>
      </c>
      <c r="E13" s="2508">
        <v>1.3603366613388062</v>
      </c>
      <c r="F13" s="2508">
        <v>0.90184450149536133</v>
      </c>
      <c r="G13" s="2508">
        <v>1.5582971572875977</v>
      </c>
      <c r="H13" s="2508">
        <v>1.7958393096923828</v>
      </c>
      <c r="I13" s="2508">
        <v>1.9110637903213501</v>
      </c>
      <c r="J13" s="2508">
        <v>1.8241188526153564</v>
      </c>
      <c r="K13" s="2508">
        <v>1.5585833787918091</v>
      </c>
    </row>
    <row r="14" spans="1:11" x14ac:dyDescent="0.25">
      <c r="A14" s="2505">
        <v>2016</v>
      </c>
      <c r="B14" s="2505" t="s">
        <v>2086</v>
      </c>
      <c r="C14" s="2505" t="s">
        <v>2087</v>
      </c>
      <c r="D14" s="2505" t="s">
        <v>2088</v>
      </c>
      <c r="E14" s="2508">
        <v>1.3976256847381592</v>
      </c>
      <c r="F14" s="2508">
        <v>1.1860822439193726</v>
      </c>
      <c r="G14" s="2508">
        <v>1.4736092090606689</v>
      </c>
      <c r="H14" s="2508">
        <v>1.4301739931106567</v>
      </c>
      <c r="I14" s="2508">
        <v>1.4927887916564941</v>
      </c>
      <c r="J14" s="2508">
        <v>1.8501110076904297</v>
      </c>
      <c r="K14" s="2508">
        <v>1.4717318216959636</v>
      </c>
    </row>
    <row r="15" spans="1:11" x14ac:dyDescent="0.25">
      <c r="A15" s="2505">
        <v>2016</v>
      </c>
      <c r="B15" s="2505" t="s">
        <v>2089</v>
      </c>
      <c r="C15" s="2505" t="s">
        <v>2090</v>
      </c>
      <c r="D15" s="2505" t="s">
        <v>2091</v>
      </c>
      <c r="E15" s="2508">
        <v>-1.5064795017242432</v>
      </c>
      <c r="F15" s="2508">
        <v>-0.68864673376083374</v>
      </c>
      <c r="G15" s="2508">
        <v>-0.23323146998882294</v>
      </c>
      <c r="H15" s="2508">
        <v>-0.25443190336227417</v>
      </c>
      <c r="I15" s="2508">
        <v>-0.82456177473068237</v>
      </c>
      <c r="J15" s="2508">
        <v>-0.60297387838363647</v>
      </c>
      <c r="K15" s="2508">
        <v>-0.68505421032508218</v>
      </c>
    </row>
    <row r="16" spans="1:11" x14ac:dyDescent="0.25">
      <c r="A16" s="2505">
        <v>2016</v>
      </c>
      <c r="B16" s="2505" t="s">
        <v>2092</v>
      </c>
      <c r="C16" s="2505" t="s">
        <v>2093</v>
      </c>
      <c r="D16" s="2505" t="s">
        <v>2094</v>
      </c>
      <c r="E16" s="2508">
        <v>1.0784128904342651</v>
      </c>
      <c r="F16" s="2508">
        <v>0.95693087577819824</v>
      </c>
      <c r="G16" s="2508">
        <v>0.70510399341583252</v>
      </c>
      <c r="H16" s="2508">
        <v>0.2540057897567749</v>
      </c>
      <c r="I16" s="2508">
        <v>1.2939844131469727</v>
      </c>
      <c r="J16" s="2508">
        <v>0.56094133853912354</v>
      </c>
      <c r="K16" s="2508">
        <v>0.8082298835118612</v>
      </c>
    </row>
    <row r="17" spans="1:11" x14ac:dyDescent="0.25">
      <c r="A17" s="2505">
        <v>2016</v>
      </c>
      <c r="B17" s="2505" t="s">
        <v>2095</v>
      </c>
      <c r="C17" s="2505" t="s">
        <v>2096</v>
      </c>
      <c r="D17" s="2505" t="s">
        <v>2097</v>
      </c>
      <c r="E17" s="2508">
        <v>-1.3206475973129272</v>
      </c>
      <c r="F17" s="2508">
        <v>-1.0778001546859741</v>
      </c>
      <c r="G17" s="2508">
        <v>0.57386380434036255</v>
      </c>
      <c r="H17" s="2508">
        <v>0.82799923419952393</v>
      </c>
      <c r="I17" s="2508">
        <v>0.17339397966861725</v>
      </c>
      <c r="J17" s="2508">
        <v>0.46048969030380249</v>
      </c>
      <c r="K17" s="2508">
        <v>-6.0450173914432526E-2</v>
      </c>
    </row>
    <row r="18" spans="1:11" x14ac:dyDescent="0.25">
      <c r="A18" s="2505">
        <v>2016</v>
      </c>
      <c r="B18" s="2505" t="s">
        <v>2098</v>
      </c>
      <c r="C18" s="2505" t="s">
        <v>2099</v>
      </c>
      <c r="D18" s="2505" t="s">
        <v>2100</v>
      </c>
      <c r="E18" s="2508">
        <v>-0.49346235394477844</v>
      </c>
      <c r="F18" s="2508">
        <v>-1.1546716690063477</v>
      </c>
      <c r="G18" s="2508">
        <v>-0.72782224416732788</v>
      </c>
      <c r="H18" s="2508">
        <v>-0.92882454395294189</v>
      </c>
      <c r="I18" s="2508">
        <v>-0.87511038780212402</v>
      </c>
      <c r="J18" s="2508">
        <v>-0.70020514726638794</v>
      </c>
      <c r="K18" s="2508">
        <v>-0.81334939102331794</v>
      </c>
    </row>
    <row r="19" spans="1:11" x14ac:dyDescent="0.25">
      <c r="A19" s="2505">
        <v>2016</v>
      </c>
      <c r="B19" s="2505" t="s">
        <v>2101</v>
      </c>
      <c r="C19" s="2505" t="s">
        <v>1421</v>
      </c>
      <c r="D19" s="2505" t="s">
        <v>2102</v>
      </c>
      <c r="E19" s="2508">
        <v>1.2405115365982056</v>
      </c>
      <c r="F19" s="2508">
        <v>1.3241617679595947</v>
      </c>
      <c r="G19" s="2508">
        <v>1.0025310516357422</v>
      </c>
      <c r="H19" s="2508">
        <v>0.51066362857818604</v>
      </c>
      <c r="I19" s="2508">
        <v>1.7885159254074097</v>
      </c>
      <c r="J19" s="2508">
        <v>1.0529121160507202</v>
      </c>
      <c r="K19" s="2508">
        <v>1.1532160043716431</v>
      </c>
    </row>
    <row r="20" spans="1:11" x14ac:dyDescent="0.25">
      <c r="A20" s="2505">
        <v>2016</v>
      </c>
      <c r="B20" s="2505" t="s">
        <v>2103</v>
      </c>
      <c r="C20" s="2505" t="s">
        <v>2104</v>
      </c>
      <c r="D20" s="2505" t="s">
        <v>2105</v>
      </c>
      <c r="E20" s="2508">
        <v>-1.4624067544937134</v>
      </c>
      <c r="F20" s="2508">
        <v>-2.203445415943861E-3</v>
      </c>
      <c r="G20" s="2508">
        <v>-0.47623643279075623</v>
      </c>
      <c r="H20" s="2508">
        <v>-1.002347469329834</v>
      </c>
      <c r="I20" s="2508">
        <v>-0.36594298481941223</v>
      </c>
      <c r="J20" s="2508">
        <v>-0.78691309690475464</v>
      </c>
      <c r="K20" s="2508">
        <v>-0.68267503062573576</v>
      </c>
    </row>
    <row r="21" spans="1:11" x14ac:dyDescent="0.25">
      <c r="A21" s="2505">
        <v>2016</v>
      </c>
      <c r="B21" s="2505" t="s">
        <v>2106</v>
      </c>
      <c r="C21" s="2505" t="s">
        <v>2107</v>
      </c>
      <c r="D21" s="2505" t="s">
        <v>2108</v>
      </c>
      <c r="E21" s="2508">
        <v>1.3927428722381592</v>
      </c>
      <c r="F21" s="2508">
        <v>0.60309672355651855</v>
      </c>
      <c r="G21" s="2508">
        <v>1.441359281539917</v>
      </c>
      <c r="H21" s="2508">
        <v>1.277323842048645</v>
      </c>
      <c r="I21" s="2508">
        <v>1.5826321840286255</v>
      </c>
      <c r="J21" s="2508">
        <v>1.4210551977157593</v>
      </c>
      <c r="K21" s="2508">
        <v>1.2863683501879375</v>
      </c>
    </row>
    <row r="22" spans="1:11" x14ac:dyDescent="0.25">
      <c r="A22" s="2505">
        <v>2016</v>
      </c>
      <c r="B22" s="2505" t="s">
        <v>2109</v>
      </c>
      <c r="C22" s="2505" t="s">
        <v>2110</v>
      </c>
      <c r="D22" s="2505" t="s">
        <v>2111</v>
      </c>
      <c r="E22" s="2508">
        <v>0.55643683671951294</v>
      </c>
      <c r="F22" s="2508">
        <v>4.4202424585819244E-2</v>
      </c>
      <c r="G22" s="2508">
        <v>-0.69650912284851074</v>
      </c>
      <c r="H22" s="2508">
        <v>-0.466513991355896</v>
      </c>
      <c r="I22" s="2508">
        <v>-0.20789523422718048</v>
      </c>
      <c r="J22" s="2508">
        <v>-0.73572838306427002</v>
      </c>
      <c r="K22" s="2508">
        <v>-0.25100124503175419</v>
      </c>
    </row>
    <row r="23" spans="1:11" x14ac:dyDescent="0.25">
      <c r="A23" s="2505">
        <v>2016</v>
      </c>
      <c r="B23" s="2505" t="s">
        <v>2112</v>
      </c>
      <c r="C23" s="2505" t="s">
        <v>2113</v>
      </c>
      <c r="D23" s="2505" t="s">
        <v>2114</v>
      </c>
      <c r="E23" s="2508">
        <v>0.27822506427764893</v>
      </c>
      <c r="F23" s="2508">
        <v>1.8718317151069641E-3</v>
      </c>
      <c r="G23" s="2508">
        <v>-0.61799204349517822</v>
      </c>
      <c r="H23" s="2508">
        <v>-0.55535715818405151</v>
      </c>
      <c r="I23" s="2508">
        <v>-0.6140936017036438</v>
      </c>
      <c r="J23" s="2508">
        <v>-0.58128088712692261</v>
      </c>
      <c r="K23" s="2508">
        <v>-0.34810446575284004</v>
      </c>
    </row>
    <row r="24" spans="1:11" x14ac:dyDescent="0.25">
      <c r="A24" s="2505">
        <v>2016</v>
      </c>
      <c r="B24" s="2505" t="s">
        <v>2115</v>
      </c>
      <c r="C24" s="2505" t="s">
        <v>2116</v>
      </c>
      <c r="D24" s="2505" t="s">
        <v>2117</v>
      </c>
      <c r="E24" s="2508"/>
      <c r="F24" s="2508">
        <v>1.006244421005249</v>
      </c>
      <c r="G24" s="2508">
        <v>0.98131477832794189</v>
      </c>
      <c r="H24" s="2508">
        <v>0.89205896854400635</v>
      </c>
      <c r="I24" s="2508">
        <v>1.2460027933120728</v>
      </c>
      <c r="J24" s="2508">
        <v>0.90198451280593872</v>
      </c>
      <c r="K24" s="2508">
        <v>1.0055210947990418</v>
      </c>
    </row>
    <row r="25" spans="1:11" x14ac:dyDescent="0.25">
      <c r="A25" s="2505">
        <v>2016</v>
      </c>
      <c r="B25" s="2505" t="s">
        <v>2118</v>
      </c>
      <c r="C25" s="2505" t="s">
        <v>2119</v>
      </c>
      <c r="D25" s="2505" t="s">
        <v>2120</v>
      </c>
      <c r="E25" s="2508">
        <v>-6.3612781465053558E-2</v>
      </c>
      <c r="F25" s="2508">
        <v>1.098908543586731</v>
      </c>
      <c r="G25" s="2508">
        <v>0.40628629922866821</v>
      </c>
      <c r="H25" s="2508">
        <v>-0.70538467168807983</v>
      </c>
      <c r="I25" s="2508">
        <v>0.98375201225280762</v>
      </c>
      <c r="J25" s="2508">
        <v>0.50977647304534912</v>
      </c>
      <c r="K25" s="2508">
        <v>0.37162097916007042</v>
      </c>
    </row>
    <row r="26" spans="1:11" x14ac:dyDescent="0.25">
      <c r="A26" s="2505">
        <v>2016</v>
      </c>
      <c r="B26" s="2505" t="s">
        <v>2121</v>
      </c>
      <c r="C26" s="2505" t="s">
        <v>2122</v>
      </c>
      <c r="D26" s="2505" t="s">
        <v>2123</v>
      </c>
      <c r="E26" s="2508">
        <v>-5.5793728679418564E-2</v>
      </c>
      <c r="F26" s="2508">
        <v>-0.28209808468818665</v>
      </c>
      <c r="G26" s="2508">
        <v>-0.65760946273803711</v>
      </c>
      <c r="H26" s="2508">
        <v>-0.90647894144058228</v>
      </c>
      <c r="I26" s="2508">
        <v>-0.68343037366867065</v>
      </c>
      <c r="J26" s="2508">
        <v>-1.1520723104476929</v>
      </c>
      <c r="K26" s="2508">
        <v>-0.62291381694376469</v>
      </c>
    </row>
    <row r="27" spans="1:11" x14ac:dyDescent="0.25">
      <c r="A27" s="2505">
        <v>2016</v>
      </c>
      <c r="B27" s="2505" t="s">
        <v>2124</v>
      </c>
      <c r="C27" s="2505" t="s">
        <v>2125</v>
      </c>
      <c r="D27" s="2505" t="s">
        <v>2126</v>
      </c>
      <c r="E27" s="2508">
        <v>-0.11287157237529755</v>
      </c>
      <c r="F27" s="2508">
        <v>-0.45141586661338806</v>
      </c>
      <c r="G27" s="2508">
        <v>-0.54428517818450928</v>
      </c>
      <c r="H27" s="2508">
        <v>-0.18054957687854767</v>
      </c>
      <c r="I27" s="2508">
        <v>-0.36673802137374878</v>
      </c>
      <c r="J27" s="2508">
        <v>-0.29131132364273071</v>
      </c>
      <c r="K27" s="2508">
        <v>-0.32452858984470367</v>
      </c>
    </row>
    <row r="28" spans="1:11" x14ac:dyDescent="0.25">
      <c r="A28" s="2505">
        <v>2016</v>
      </c>
      <c r="B28" s="2505" t="s">
        <v>2127</v>
      </c>
      <c r="C28" s="2505" t="s">
        <v>2128</v>
      </c>
      <c r="D28" s="2505" t="s">
        <v>2129</v>
      </c>
      <c r="E28" s="2508">
        <v>0.43441909551620483</v>
      </c>
      <c r="F28" s="2508">
        <v>1.0292357206344604</v>
      </c>
      <c r="G28" s="2508">
        <v>0.51328819990158081</v>
      </c>
      <c r="H28" s="2508">
        <v>0.48523339629173279</v>
      </c>
      <c r="I28" s="2508">
        <v>0.8362433910369873</v>
      </c>
      <c r="J28" s="2508">
        <v>0.63250839710235596</v>
      </c>
      <c r="K28" s="2508">
        <v>0.65515470008055365</v>
      </c>
    </row>
    <row r="29" spans="1:11" x14ac:dyDescent="0.25">
      <c r="A29" s="2505">
        <v>2016</v>
      </c>
      <c r="B29" s="2505" t="s">
        <v>2130</v>
      </c>
      <c r="C29" s="2505" t="s">
        <v>2131</v>
      </c>
      <c r="D29" s="2505" t="s">
        <v>2132</v>
      </c>
      <c r="E29" s="2508">
        <v>0.38308054208755493</v>
      </c>
      <c r="F29" s="2508">
        <v>-0.37924078106880188</v>
      </c>
      <c r="G29" s="2508">
        <v>-0.18901371955871582</v>
      </c>
      <c r="H29" s="2508">
        <v>-0.21252992749214172</v>
      </c>
      <c r="I29" s="2508">
        <v>-0.43271252512931824</v>
      </c>
      <c r="J29" s="2508">
        <v>-0.19278207421302795</v>
      </c>
      <c r="K29" s="2508">
        <v>-0.17053308089574179</v>
      </c>
    </row>
    <row r="30" spans="1:11" x14ac:dyDescent="0.25">
      <c r="A30" s="2505">
        <v>2016</v>
      </c>
      <c r="B30" s="2505" t="s">
        <v>2133</v>
      </c>
      <c r="C30" s="2505" t="s">
        <v>2134</v>
      </c>
      <c r="D30" s="2505" t="s">
        <v>2135</v>
      </c>
      <c r="E30" s="2508">
        <v>-0.79006105661392212</v>
      </c>
      <c r="F30" s="2508">
        <v>1.2080482244491577</v>
      </c>
      <c r="G30" s="2508">
        <v>1.0525619983673096</v>
      </c>
      <c r="H30" s="2508">
        <v>0.8426138162612915</v>
      </c>
      <c r="I30" s="2508">
        <v>0.64094078540802002</v>
      </c>
      <c r="J30" s="2508">
        <v>0.44352823495864868</v>
      </c>
      <c r="K30" s="2508">
        <v>0.56627200047175086</v>
      </c>
    </row>
    <row r="31" spans="1:11" x14ac:dyDescent="0.25">
      <c r="A31" s="2505">
        <v>2016</v>
      </c>
      <c r="B31" s="2505" t="s">
        <v>2136</v>
      </c>
      <c r="C31" s="2505" t="s">
        <v>2137</v>
      </c>
      <c r="D31" s="2505" t="s">
        <v>2138</v>
      </c>
      <c r="E31" s="2508">
        <v>0.39079812169075012</v>
      </c>
      <c r="F31" s="2508">
        <v>1.6597675159573555E-2</v>
      </c>
      <c r="G31" s="2508">
        <v>0.21614965796470642</v>
      </c>
      <c r="H31" s="2508">
        <v>0.55276501178741455</v>
      </c>
      <c r="I31" s="2508">
        <v>-0.31462910771369934</v>
      </c>
      <c r="J31" s="2508">
        <v>-0.12388094514608383</v>
      </c>
      <c r="K31" s="2508">
        <v>0.12296673562377691</v>
      </c>
    </row>
    <row r="32" spans="1:11" x14ac:dyDescent="0.25">
      <c r="A32" s="2505">
        <v>2016</v>
      </c>
      <c r="B32" s="2505" t="s">
        <v>2139</v>
      </c>
      <c r="C32" s="2505" t="s">
        <v>2140</v>
      </c>
      <c r="D32" s="2505" t="s">
        <v>2141</v>
      </c>
      <c r="E32" s="2508">
        <v>-0.18818747997283936</v>
      </c>
      <c r="F32" s="2508">
        <v>-0.65051281452178955</v>
      </c>
      <c r="G32" s="2508">
        <v>-0.586434006690979</v>
      </c>
      <c r="H32" s="2508">
        <v>-0.36051422357559204</v>
      </c>
      <c r="I32" s="2508">
        <v>-0.33719450235366821</v>
      </c>
      <c r="J32" s="2508">
        <v>-0.53237593173980713</v>
      </c>
      <c r="K32" s="2508">
        <v>-0.44253649314244586</v>
      </c>
    </row>
    <row r="33" spans="1:11" x14ac:dyDescent="0.25">
      <c r="A33" s="2505">
        <v>2016</v>
      </c>
      <c r="B33" s="2505" t="s">
        <v>2142</v>
      </c>
      <c r="C33" s="2505" t="s">
        <v>2143</v>
      </c>
      <c r="D33" s="2505" t="s">
        <v>2144</v>
      </c>
      <c r="E33" s="2508">
        <v>-1.2715139389038086</v>
      </c>
      <c r="F33" s="2508">
        <v>-1.7310974597930908</v>
      </c>
      <c r="G33" s="2508">
        <v>-1.1451013088226318</v>
      </c>
      <c r="H33" s="2508">
        <v>-0.70916885137557983</v>
      </c>
      <c r="I33" s="2508">
        <v>-1.1655153036117554</v>
      </c>
      <c r="J33" s="2508">
        <v>-1.1213570833206177</v>
      </c>
      <c r="K33" s="2508">
        <v>-1.1906256576379139</v>
      </c>
    </row>
    <row r="34" spans="1:11" x14ac:dyDescent="0.25">
      <c r="A34" s="2505">
        <v>2016</v>
      </c>
      <c r="B34" s="2505" t="s">
        <v>2145</v>
      </c>
      <c r="C34" s="2505" t="s">
        <v>2146</v>
      </c>
      <c r="D34" s="2505" t="s">
        <v>2147</v>
      </c>
      <c r="E34" s="2508">
        <v>-1.0945641994476318</v>
      </c>
      <c r="F34" s="2508">
        <v>-9.8188094794750214E-2</v>
      </c>
      <c r="G34" s="2508">
        <v>-0.68981808423995972</v>
      </c>
      <c r="H34" s="2508">
        <v>-0.48008877038955688</v>
      </c>
      <c r="I34" s="2508">
        <v>-1.0442891120910645</v>
      </c>
      <c r="J34" s="2508">
        <v>-0.92039299011230469</v>
      </c>
      <c r="K34" s="2508">
        <v>-0.721223541845878</v>
      </c>
    </row>
    <row r="35" spans="1:11" x14ac:dyDescent="0.25">
      <c r="A35" s="2505">
        <v>2016</v>
      </c>
      <c r="B35" s="2505" t="s">
        <v>2148</v>
      </c>
      <c r="C35" s="2505" t="s">
        <v>2149</v>
      </c>
      <c r="D35" s="2505" t="s">
        <v>2150</v>
      </c>
      <c r="E35" s="2508">
        <v>-0.95805293321609497</v>
      </c>
      <c r="F35" s="2508">
        <v>-0.99081003665924072</v>
      </c>
      <c r="G35" s="2508">
        <v>-0.76352769136428833</v>
      </c>
      <c r="H35" s="2508">
        <v>-0.90580111742019653</v>
      </c>
      <c r="I35" s="2508">
        <v>-1.031635046005249</v>
      </c>
      <c r="J35" s="2508">
        <v>-0.96088504791259766</v>
      </c>
      <c r="K35" s="2508">
        <v>-0.93511864542961121</v>
      </c>
    </row>
    <row r="36" spans="1:11" x14ac:dyDescent="0.25">
      <c r="A36" s="2505">
        <v>2016</v>
      </c>
      <c r="B36" s="2505" t="s">
        <v>2151</v>
      </c>
      <c r="C36" s="2505" t="s">
        <v>2152</v>
      </c>
      <c r="D36" s="2505" t="s">
        <v>2153</v>
      </c>
      <c r="E36" s="2508">
        <v>1.443234920501709</v>
      </c>
      <c r="F36" s="2508">
        <v>1.2421495914459229</v>
      </c>
      <c r="G36" s="2508">
        <v>1.7651273012161255</v>
      </c>
      <c r="H36" s="2508">
        <v>1.7058867216110229</v>
      </c>
      <c r="I36" s="2508">
        <v>1.8546158075332642</v>
      </c>
      <c r="J36" s="2508">
        <v>1.8356723785400391</v>
      </c>
      <c r="K36" s="2508">
        <v>1.6411144534746807</v>
      </c>
    </row>
    <row r="37" spans="1:11" x14ac:dyDescent="0.25">
      <c r="A37" s="2505">
        <v>2016</v>
      </c>
      <c r="B37" s="2505" t="s">
        <v>2154</v>
      </c>
      <c r="C37" s="2505" t="s">
        <v>2155</v>
      </c>
      <c r="D37" s="2505" t="s">
        <v>2156</v>
      </c>
      <c r="E37" s="2508">
        <v>0.95454466342926025</v>
      </c>
      <c r="F37" s="2508">
        <v>0.80067873001098633</v>
      </c>
      <c r="G37" s="2508">
        <v>0.15073855221271515</v>
      </c>
      <c r="H37" s="2508">
        <v>-0.25638997554779053</v>
      </c>
      <c r="I37" s="2508">
        <v>0.91082453727722168</v>
      </c>
      <c r="J37" s="2508">
        <v>0.55152052640914917</v>
      </c>
      <c r="K37" s="2508">
        <v>0.51865283896525705</v>
      </c>
    </row>
    <row r="38" spans="1:11" x14ac:dyDescent="0.25">
      <c r="A38" s="2505">
        <v>2016</v>
      </c>
      <c r="B38" s="2505" t="s">
        <v>2157</v>
      </c>
      <c r="C38" s="2505" t="s">
        <v>2158</v>
      </c>
      <c r="D38" s="2505" t="s">
        <v>2159</v>
      </c>
      <c r="E38" s="2508">
        <v>0.43408706784248352</v>
      </c>
      <c r="F38" s="2508">
        <v>1.1883008480072021</v>
      </c>
      <c r="G38" s="2508">
        <v>1.1455687284469604</v>
      </c>
      <c r="H38" s="2508">
        <v>0.82197952270507813</v>
      </c>
      <c r="I38" s="2508">
        <v>1.0273579359054565</v>
      </c>
      <c r="J38" s="2508">
        <v>0.8241959810256958</v>
      </c>
      <c r="K38" s="2508">
        <v>0.9069150139888128</v>
      </c>
    </row>
    <row r="39" spans="1:11" x14ac:dyDescent="0.25">
      <c r="A39" s="2505">
        <v>2016</v>
      </c>
      <c r="B39" s="2505" t="s">
        <v>2160</v>
      </c>
      <c r="C39" s="2505" t="s">
        <v>2161</v>
      </c>
      <c r="D39" s="2505" t="s">
        <v>2162</v>
      </c>
      <c r="E39" s="2508">
        <v>-1.3233541250228882</v>
      </c>
      <c r="F39" s="2508">
        <v>-2.0864245891571045</v>
      </c>
      <c r="G39" s="2508">
        <v>-1.7916058301925659</v>
      </c>
      <c r="H39" s="2508">
        <v>-1.4399919509887695</v>
      </c>
      <c r="I39" s="2508">
        <v>-1.3122717142105103</v>
      </c>
      <c r="J39" s="2508">
        <v>-1.7211627960205078</v>
      </c>
      <c r="K39" s="2508">
        <v>-1.6124685009320576</v>
      </c>
    </row>
    <row r="40" spans="1:11" x14ac:dyDescent="0.25">
      <c r="A40" s="2505">
        <v>2016</v>
      </c>
      <c r="B40" s="2505" t="s">
        <v>2163</v>
      </c>
      <c r="C40" s="2505" t="s">
        <v>2164</v>
      </c>
      <c r="D40" s="2505" t="s">
        <v>2165</v>
      </c>
      <c r="E40" s="2508">
        <v>-1.3518561124801636</v>
      </c>
      <c r="F40" s="2508">
        <v>-0.9863508939743042</v>
      </c>
      <c r="G40" s="2508">
        <v>-1.4503635168075562</v>
      </c>
      <c r="H40" s="2508">
        <v>-1.1960287094116211</v>
      </c>
      <c r="I40" s="2508">
        <v>-1.2925046682357788</v>
      </c>
      <c r="J40" s="2508">
        <v>-1.1612275838851929</v>
      </c>
      <c r="K40" s="2508">
        <v>-1.239721914132436</v>
      </c>
    </row>
    <row r="41" spans="1:11" x14ac:dyDescent="0.25">
      <c r="A41" s="2505">
        <v>2016</v>
      </c>
      <c r="B41" s="2505" t="s">
        <v>2166</v>
      </c>
      <c r="C41" s="2505" t="s">
        <v>2167</v>
      </c>
      <c r="D41" s="2505" t="s">
        <v>2168</v>
      </c>
      <c r="E41" s="2508">
        <v>0.98666203022003174</v>
      </c>
      <c r="F41" s="2508">
        <v>0.40092644095420837</v>
      </c>
      <c r="G41" s="2508">
        <v>1.0817810297012329</v>
      </c>
      <c r="H41" s="2508">
        <v>1.3527041673660278</v>
      </c>
      <c r="I41" s="2508">
        <v>1.2587873935699463</v>
      </c>
      <c r="J41" s="2508">
        <v>1.3327374458312988</v>
      </c>
      <c r="K41" s="2508">
        <v>1.0689330846071243</v>
      </c>
    </row>
    <row r="42" spans="1:11" x14ac:dyDescent="0.25">
      <c r="A42" s="2505">
        <v>2016</v>
      </c>
      <c r="B42" s="2505" t="s">
        <v>2169</v>
      </c>
      <c r="C42" s="2505" t="s">
        <v>2170</v>
      </c>
      <c r="D42" s="2505" t="s">
        <v>2171</v>
      </c>
      <c r="E42" s="2508">
        <v>-1.5785688161849976</v>
      </c>
      <c r="F42" s="2508">
        <v>-0.56054902076721191</v>
      </c>
      <c r="G42" s="2508">
        <v>0.42424780130386353</v>
      </c>
      <c r="H42" s="2508">
        <v>-0.2685357928276062</v>
      </c>
      <c r="I42" s="2508">
        <v>-0.26749321818351746</v>
      </c>
      <c r="J42" s="2508">
        <v>-0.33718657493591309</v>
      </c>
      <c r="K42" s="2508">
        <v>-0.43134760359923047</v>
      </c>
    </row>
    <row r="43" spans="1:11" x14ac:dyDescent="0.25">
      <c r="A43" s="2505">
        <v>2016</v>
      </c>
      <c r="B43" s="2505" t="s">
        <v>2172</v>
      </c>
      <c r="C43" s="2505" t="s">
        <v>2173</v>
      </c>
      <c r="D43" s="2505" t="s">
        <v>2174</v>
      </c>
      <c r="E43" s="2508">
        <v>-7.0325016975402832E-2</v>
      </c>
      <c r="F43" s="2508">
        <v>-1.0606367588043213</v>
      </c>
      <c r="G43" s="2508">
        <v>-3.4857705235481262E-2</v>
      </c>
      <c r="H43" s="2508">
        <v>0.45142769813537598</v>
      </c>
      <c r="I43" s="2508">
        <v>-0.29261320829391479</v>
      </c>
      <c r="J43" s="2508">
        <v>-0.30737742781639099</v>
      </c>
      <c r="K43" s="2508">
        <v>-0.21906373649835587</v>
      </c>
    </row>
    <row r="44" spans="1:11" x14ac:dyDescent="0.25">
      <c r="A44" s="2505">
        <v>2016</v>
      </c>
      <c r="B44" s="2505" t="s">
        <v>2175</v>
      </c>
      <c r="C44" s="2505" t="s">
        <v>2176</v>
      </c>
      <c r="D44" s="2505" t="s">
        <v>2177</v>
      </c>
      <c r="E44" s="2508">
        <v>-0.30161276459693909</v>
      </c>
      <c r="F44" s="2508">
        <v>-0.11327695846557617</v>
      </c>
      <c r="G44" s="2508">
        <v>-1.5220094919204712</v>
      </c>
      <c r="H44" s="2508">
        <v>-1.0330096483230591</v>
      </c>
      <c r="I44" s="2508">
        <v>-0.64031821489334106</v>
      </c>
      <c r="J44" s="2508">
        <v>-0.8394005298614502</v>
      </c>
      <c r="K44" s="2508">
        <v>-0.74160460134347284</v>
      </c>
    </row>
    <row r="45" spans="1:11" x14ac:dyDescent="0.25">
      <c r="A45" s="2505">
        <v>2016</v>
      </c>
      <c r="B45" s="2505" t="s">
        <v>2178</v>
      </c>
      <c r="C45" s="2505" t="s">
        <v>2179</v>
      </c>
      <c r="D45" s="2505" t="s">
        <v>2180</v>
      </c>
      <c r="E45" s="2508">
        <v>-1.3089710474014282</v>
      </c>
      <c r="F45" s="2508">
        <v>-2.1738784313201904</v>
      </c>
      <c r="G45" s="2508">
        <v>-1.6254584789276123</v>
      </c>
      <c r="H45" s="2508">
        <v>-1.3445883989334106</v>
      </c>
      <c r="I45" s="2508">
        <v>-1.2504420280456543</v>
      </c>
      <c r="J45" s="2508">
        <v>-1.5514094829559326</v>
      </c>
      <c r="K45" s="2508">
        <v>-1.5424579779307048</v>
      </c>
    </row>
    <row r="46" spans="1:11" x14ac:dyDescent="0.25">
      <c r="A46" s="2505">
        <v>2016</v>
      </c>
      <c r="B46" s="2505" t="s">
        <v>2181</v>
      </c>
      <c r="C46" s="2505" t="s">
        <v>2182</v>
      </c>
      <c r="D46" s="2505" t="s">
        <v>2183</v>
      </c>
      <c r="E46" s="2508">
        <v>-0.9837375283241272</v>
      </c>
      <c r="F46" s="2508">
        <v>-0.50744527578353882</v>
      </c>
      <c r="G46" s="2508">
        <v>-1.0227140188217163</v>
      </c>
      <c r="H46" s="2508">
        <v>-1.1939209699630737</v>
      </c>
      <c r="I46" s="2508">
        <v>-1.2226805686950684</v>
      </c>
      <c r="J46" s="2508">
        <v>-1.0445780754089355</v>
      </c>
      <c r="K46" s="2508">
        <v>-0.99584607283274329</v>
      </c>
    </row>
    <row r="47" spans="1:11" x14ac:dyDescent="0.25">
      <c r="A47" s="2505">
        <v>2016</v>
      </c>
      <c r="B47" s="2505" t="s">
        <v>2184</v>
      </c>
      <c r="C47" s="2505"/>
      <c r="D47" s="2505" t="s">
        <v>2185</v>
      </c>
      <c r="E47" s="2508"/>
      <c r="F47" s="2508"/>
      <c r="G47" s="2508"/>
      <c r="H47" s="2508"/>
      <c r="I47" s="2508"/>
      <c r="J47" s="2508"/>
      <c r="K47" s="2508" t="s">
        <v>2186</v>
      </c>
    </row>
    <row r="48" spans="1:11" x14ac:dyDescent="0.25">
      <c r="A48" s="2505">
        <v>2016</v>
      </c>
      <c r="B48" s="2505" t="s">
        <v>2187</v>
      </c>
      <c r="C48" s="2505" t="s">
        <v>2188</v>
      </c>
      <c r="D48" s="2505" t="s">
        <v>2189</v>
      </c>
      <c r="E48" s="2508">
        <v>1.1434344053268433</v>
      </c>
      <c r="F48" s="2508">
        <v>0.57896536588668823</v>
      </c>
      <c r="G48" s="2508">
        <v>0.37888398766517639</v>
      </c>
      <c r="H48" s="2508">
        <v>0.4930705726146698</v>
      </c>
      <c r="I48" s="2508">
        <v>0.70732963085174561</v>
      </c>
      <c r="J48" s="2508">
        <v>0.47880560159683228</v>
      </c>
      <c r="K48" s="2508">
        <v>0.63008159399032593</v>
      </c>
    </row>
    <row r="49" spans="1:11" x14ac:dyDescent="0.25">
      <c r="A49" s="2505">
        <v>2016</v>
      </c>
      <c r="B49" s="2505" t="s">
        <v>2190</v>
      </c>
      <c r="C49" s="2505" t="s">
        <v>2191</v>
      </c>
      <c r="D49" s="2505" t="s">
        <v>2192</v>
      </c>
      <c r="E49" s="2508">
        <v>-0.44439828395843506</v>
      </c>
      <c r="F49" s="2508">
        <v>-0.86126941442489624</v>
      </c>
      <c r="G49" s="2508">
        <v>-0.6509631872177124</v>
      </c>
      <c r="H49" s="2508">
        <v>-0.51524245738983154</v>
      </c>
      <c r="I49" s="2508">
        <v>-0.41784423589706421</v>
      </c>
      <c r="J49" s="2508">
        <v>-0.61883896589279175</v>
      </c>
      <c r="K49" s="2508">
        <v>-0.58475942413012183</v>
      </c>
    </row>
    <row r="50" spans="1:11" x14ac:dyDescent="0.25">
      <c r="A50" s="2505">
        <v>2016</v>
      </c>
      <c r="B50" s="2505" t="s">
        <v>2193</v>
      </c>
      <c r="C50" s="2505" t="s">
        <v>2194</v>
      </c>
      <c r="D50" s="2505" t="s">
        <v>2195</v>
      </c>
      <c r="E50" s="2508">
        <v>0.50022941827774048</v>
      </c>
      <c r="F50" s="2508">
        <v>0.57611584663391113</v>
      </c>
      <c r="G50" s="2508">
        <v>0.50924670696258545</v>
      </c>
      <c r="H50" s="2508">
        <v>0.36402562260627747</v>
      </c>
      <c r="I50" s="2508">
        <v>0.20058877766132355</v>
      </c>
      <c r="J50" s="2508">
        <v>0.20225304365158081</v>
      </c>
      <c r="K50" s="2508">
        <v>0.39207656929890317</v>
      </c>
    </row>
    <row r="51" spans="1:11" x14ac:dyDescent="0.25">
      <c r="A51" s="2505">
        <v>2016</v>
      </c>
      <c r="B51" s="2505" t="s">
        <v>2196</v>
      </c>
      <c r="C51" s="2505" t="s">
        <v>2197</v>
      </c>
      <c r="D51" s="2505" t="s">
        <v>2198</v>
      </c>
      <c r="E51" s="2508">
        <v>-1.5268727540969849</v>
      </c>
      <c r="F51" s="2508">
        <v>0.57951366901397705</v>
      </c>
      <c r="G51" s="2508">
        <v>1.3740357011556625E-2</v>
      </c>
      <c r="H51" s="2508">
        <v>-1.2452385425567627</v>
      </c>
      <c r="I51" s="2508">
        <v>7.1786239743232727E-2</v>
      </c>
      <c r="J51" s="2508">
        <v>-0.62365323305130005</v>
      </c>
      <c r="K51" s="2508">
        <v>-0.45512071065604687</v>
      </c>
    </row>
    <row r="52" spans="1:11" x14ac:dyDescent="0.25">
      <c r="A52" s="2505">
        <v>2016</v>
      </c>
      <c r="B52" s="2505" t="s">
        <v>2199</v>
      </c>
      <c r="C52" s="2505" t="s">
        <v>2200</v>
      </c>
      <c r="D52" s="2505" t="s">
        <v>2201</v>
      </c>
      <c r="E52" s="2508">
        <v>1.0427303314208984</v>
      </c>
      <c r="F52" s="2508">
        <v>0.5426257848739624</v>
      </c>
      <c r="G52" s="2508">
        <v>1.0361710786819458</v>
      </c>
      <c r="H52" s="2508">
        <v>1.0604770183563232</v>
      </c>
      <c r="I52" s="2508">
        <v>0.98059827089309692</v>
      </c>
      <c r="J52" s="2508">
        <v>1.0117254257202148</v>
      </c>
      <c r="K52" s="2508">
        <v>0.94572131832440698</v>
      </c>
    </row>
    <row r="53" spans="1:11" x14ac:dyDescent="0.25">
      <c r="A53" s="2505">
        <v>2016</v>
      </c>
      <c r="B53" s="2505" t="s">
        <v>2202</v>
      </c>
      <c r="C53" s="2505" t="s">
        <v>2203</v>
      </c>
      <c r="D53" s="2505" t="s">
        <v>2204</v>
      </c>
      <c r="E53" s="2508">
        <v>1.0195378065109253</v>
      </c>
      <c r="F53" s="2508">
        <v>0.95990121364593506</v>
      </c>
      <c r="G53" s="2508">
        <v>1.0514956712722778</v>
      </c>
      <c r="H53" s="2508">
        <v>1.0847998857498169</v>
      </c>
      <c r="I53" s="2508">
        <v>0.39083853363990784</v>
      </c>
      <c r="J53" s="2508">
        <v>1.1232250928878784</v>
      </c>
      <c r="K53" s="2508">
        <v>0.93829970061779022</v>
      </c>
    </row>
    <row r="54" spans="1:11" x14ac:dyDescent="0.25">
      <c r="A54" s="2505">
        <v>2016</v>
      </c>
      <c r="B54" s="2505" t="s">
        <v>2205</v>
      </c>
      <c r="C54" s="2505" t="s">
        <v>2206</v>
      </c>
      <c r="D54" s="2505" t="s">
        <v>2207</v>
      </c>
      <c r="E54" s="2508">
        <v>1.568271279335022</v>
      </c>
      <c r="F54" s="2508">
        <v>0.89234793186187744</v>
      </c>
      <c r="G54" s="2508">
        <v>1.8493310213088989</v>
      </c>
      <c r="H54" s="2508">
        <v>1.7339116334915161</v>
      </c>
      <c r="I54" s="2508">
        <v>2.2317965030670166</v>
      </c>
      <c r="J54" s="2508">
        <v>2.0409562587738037</v>
      </c>
      <c r="K54" s="2508">
        <v>1.7194357713063557</v>
      </c>
    </row>
    <row r="55" spans="1:11" x14ac:dyDescent="0.25">
      <c r="A55" s="2505">
        <v>2016</v>
      </c>
      <c r="B55" s="2505" t="s">
        <v>2208</v>
      </c>
      <c r="C55" s="2505" t="s">
        <v>2209</v>
      </c>
      <c r="D55" s="2505" t="s">
        <v>2210</v>
      </c>
      <c r="E55" s="2508">
        <v>-1.4020267724990845</v>
      </c>
      <c r="F55" s="2508">
        <v>-0.44773510098457336</v>
      </c>
      <c r="G55" s="2508">
        <v>-0.95645415782928467</v>
      </c>
      <c r="H55" s="2508">
        <v>-0.68903923034667969</v>
      </c>
      <c r="I55" s="2508">
        <v>-0.57544499635696411</v>
      </c>
      <c r="J55" s="2508">
        <v>-0.89857637882232666</v>
      </c>
      <c r="K55" s="2508">
        <v>-0.82821277280648553</v>
      </c>
    </row>
    <row r="56" spans="1:11" x14ac:dyDescent="0.25">
      <c r="A56" s="2505">
        <v>2016</v>
      </c>
      <c r="B56" s="2505" t="s">
        <v>2211</v>
      </c>
      <c r="C56" s="2505" t="s">
        <v>2212</v>
      </c>
      <c r="D56" s="2505" t="s">
        <v>2213</v>
      </c>
      <c r="E56" s="2508">
        <v>1.109453558921814</v>
      </c>
      <c r="F56" s="2508">
        <v>1.1865589618682861</v>
      </c>
      <c r="G56" s="2508">
        <v>0.10644317418336868</v>
      </c>
      <c r="H56" s="2508">
        <v>0.26136189699172974</v>
      </c>
      <c r="I56" s="2508">
        <v>0.61652398109436035</v>
      </c>
      <c r="J56" s="2508">
        <v>0.6396452784538269</v>
      </c>
      <c r="K56" s="2508">
        <v>0.65333114191889763</v>
      </c>
    </row>
    <row r="57" spans="1:11" x14ac:dyDescent="0.25">
      <c r="A57" s="2505">
        <v>2016</v>
      </c>
      <c r="B57" s="2505" t="s">
        <v>2214</v>
      </c>
      <c r="C57" s="2505" t="s">
        <v>2215</v>
      </c>
      <c r="D57" s="2505" t="s">
        <v>2216</v>
      </c>
      <c r="E57" s="2508">
        <v>0.12788499891757965</v>
      </c>
      <c r="F57" s="2508">
        <v>0.17012350261211395</v>
      </c>
      <c r="G57" s="2508">
        <v>-0.34423929452896118</v>
      </c>
      <c r="H57" s="2508">
        <v>-3.7125729024410248E-2</v>
      </c>
      <c r="I57" s="2508">
        <v>-0.76961547136306763</v>
      </c>
      <c r="J57" s="2508">
        <v>-0.45641222596168518</v>
      </c>
      <c r="K57" s="2508">
        <v>-0.21823070322473845</v>
      </c>
    </row>
    <row r="58" spans="1:11" x14ac:dyDescent="0.25">
      <c r="A58" s="2505">
        <v>2016</v>
      </c>
      <c r="B58" s="2505" t="s">
        <v>2217</v>
      </c>
      <c r="C58" s="2505" t="s">
        <v>2218</v>
      </c>
      <c r="D58" s="2505" t="s">
        <v>2219</v>
      </c>
      <c r="E58" s="2508">
        <v>-0.25927132368087769</v>
      </c>
      <c r="F58" s="2508">
        <v>-0.10107482224702835</v>
      </c>
      <c r="G58" s="2508">
        <v>-0.43587645888328552</v>
      </c>
      <c r="H58" s="2508">
        <v>-1.1415640115737915</v>
      </c>
      <c r="I58" s="2508">
        <v>-0.65397995710372925</v>
      </c>
      <c r="J58" s="2508">
        <v>-1.028782844543457</v>
      </c>
      <c r="K58" s="2508">
        <v>-0.60342490300536156</v>
      </c>
    </row>
    <row r="59" spans="1:11" x14ac:dyDescent="0.25">
      <c r="A59" s="2505">
        <v>2016</v>
      </c>
      <c r="B59" s="2505" t="s">
        <v>2220</v>
      </c>
      <c r="C59" s="2505" t="s">
        <v>2221</v>
      </c>
      <c r="D59" s="2505" t="s">
        <v>2222</v>
      </c>
      <c r="E59" s="2508">
        <v>-1.096156120300293</v>
      </c>
      <c r="F59" s="2508">
        <v>-1.3429268598556519</v>
      </c>
      <c r="G59" s="2508">
        <v>-0.7618948221206665</v>
      </c>
      <c r="H59" s="2508">
        <v>-0.79649651050567627</v>
      </c>
      <c r="I59" s="2508">
        <v>-0.55916732549667358</v>
      </c>
      <c r="J59" s="2508">
        <v>-0.50316470861434937</v>
      </c>
      <c r="K59" s="2508">
        <v>-0.84330105781555176</v>
      </c>
    </row>
    <row r="60" spans="1:11" x14ac:dyDescent="0.25">
      <c r="A60" s="2505">
        <v>2016</v>
      </c>
      <c r="B60" s="2505" t="s">
        <v>2223</v>
      </c>
      <c r="C60" s="2505" t="s">
        <v>2224</v>
      </c>
      <c r="D60" s="2505" t="s">
        <v>2225</v>
      </c>
      <c r="E60" s="2508">
        <v>0.12670703232288361</v>
      </c>
      <c r="F60" s="2508">
        <v>-5.0044193863868713E-2</v>
      </c>
      <c r="G60" s="2508">
        <v>-0.24252985417842865</v>
      </c>
      <c r="H60" s="2508">
        <v>0.19956496357917786</v>
      </c>
      <c r="I60" s="2508">
        <v>-0.434550940990448</v>
      </c>
      <c r="J60" s="2508">
        <v>-0.59213733673095703</v>
      </c>
      <c r="K60" s="2508">
        <v>-0.1654983883102735</v>
      </c>
    </row>
    <row r="61" spans="1:11" x14ac:dyDescent="0.25">
      <c r="A61" s="2505">
        <v>2016</v>
      </c>
      <c r="B61" s="2505" t="s">
        <v>2226</v>
      </c>
      <c r="C61" s="2505" t="s">
        <v>2227</v>
      </c>
      <c r="D61" s="2505" t="s">
        <v>2228</v>
      </c>
      <c r="E61" s="2508">
        <v>-2.0023229122161865</v>
      </c>
      <c r="F61" s="2508">
        <v>-0.18999689817428589</v>
      </c>
      <c r="G61" s="2508">
        <v>-1.4225465059280396</v>
      </c>
      <c r="H61" s="2508">
        <v>-1.3453092575073242</v>
      </c>
      <c r="I61" s="2508">
        <v>-1.8276780843734741</v>
      </c>
      <c r="J61" s="2508">
        <v>-1.3961420059204102</v>
      </c>
      <c r="K61" s="2508">
        <v>-1.3639992773532867</v>
      </c>
    </row>
    <row r="62" spans="1:11" x14ac:dyDescent="0.25">
      <c r="A62" s="2505">
        <v>2016</v>
      </c>
      <c r="B62" s="2505" t="s">
        <v>2229</v>
      </c>
      <c r="C62" s="2505" t="s">
        <v>2230</v>
      </c>
      <c r="D62" s="2505" t="s">
        <v>2231</v>
      </c>
      <c r="E62" s="2508">
        <v>-2.0421798229217529</v>
      </c>
      <c r="F62" s="2508">
        <v>-0.87290865182876587</v>
      </c>
      <c r="G62" s="2508">
        <v>-1.5996221303939819</v>
      </c>
      <c r="H62" s="2508">
        <v>-2.1120157241821289</v>
      </c>
      <c r="I62" s="2508">
        <v>-1.3384318351745605</v>
      </c>
      <c r="J62" s="2508">
        <v>-1.4143123626708984</v>
      </c>
      <c r="K62" s="2508">
        <v>-1.5632450878620148</v>
      </c>
    </row>
    <row r="63" spans="1:11" x14ac:dyDescent="0.25">
      <c r="A63" s="2505">
        <v>2016</v>
      </c>
      <c r="B63" s="2505" t="s">
        <v>2232</v>
      </c>
      <c r="C63" s="2505" t="s">
        <v>2233</v>
      </c>
      <c r="D63" s="2505" t="s">
        <v>2234</v>
      </c>
      <c r="E63" s="2508">
        <v>1.1719051599502563</v>
      </c>
      <c r="F63" s="2508">
        <v>0.62138080596923828</v>
      </c>
      <c r="G63" s="2508">
        <v>1.0913043022155762</v>
      </c>
      <c r="H63" s="2508">
        <v>1.6561543941497803</v>
      </c>
      <c r="I63" s="2508">
        <v>1.252626895904541</v>
      </c>
      <c r="J63" s="2508">
        <v>1.3283737897872925</v>
      </c>
      <c r="K63" s="2508">
        <v>1.186957557996114</v>
      </c>
    </row>
    <row r="64" spans="1:11" x14ac:dyDescent="0.25">
      <c r="A64" s="2505">
        <v>2016</v>
      </c>
      <c r="B64" s="2505" t="s">
        <v>2235</v>
      </c>
      <c r="C64" s="2505" t="s">
        <v>2236</v>
      </c>
      <c r="D64" s="2505" t="s">
        <v>2237</v>
      </c>
      <c r="E64" s="2508">
        <v>-1.2587958574295044</v>
      </c>
      <c r="F64" s="2508">
        <v>-1.4800428152084351</v>
      </c>
      <c r="G64" s="2508">
        <v>-0.64066952466964722</v>
      </c>
      <c r="H64" s="2508">
        <v>-1.0049359798431396</v>
      </c>
      <c r="I64" s="2508">
        <v>-0.41111171245574951</v>
      </c>
      <c r="J64" s="2508">
        <v>-0.43513894081115723</v>
      </c>
      <c r="K64" s="2508">
        <v>-0.87178247173627221</v>
      </c>
    </row>
    <row r="65" spans="1:11" x14ac:dyDescent="0.25">
      <c r="A65" s="2505">
        <v>2016</v>
      </c>
      <c r="B65" s="2505" t="s">
        <v>2238</v>
      </c>
      <c r="C65" s="2505" t="s">
        <v>2239</v>
      </c>
      <c r="D65" s="2505" t="s">
        <v>2240</v>
      </c>
      <c r="E65" s="2508">
        <v>5.8729458600282669E-2</v>
      </c>
      <c r="F65" s="2508">
        <v>0.58016085624694824</v>
      </c>
      <c r="G65" s="2508">
        <v>-0.29235106706619263</v>
      </c>
      <c r="H65" s="2508">
        <v>-0.38054782152175903</v>
      </c>
      <c r="I65" s="2508">
        <v>-6.3689619302749634E-2</v>
      </c>
      <c r="J65" s="2508">
        <v>-0.43215516209602356</v>
      </c>
      <c r="K65" s="2508">
        <v>-8.8308892523248986E-2</v>
      </c>
    </row>
    <row r="66" spans="1:11" x14ac:dyDescent="0.25">
      <c r="A66" s="2505">
        <v>2016</v>
      </c>
      <c r="B66" s="2505" t="s">
        <v>2241</v>
      </c>
      <c r="C66" s="2505" t="s">
        <v>2242</v>
      </c>
      <c r="D66" s="2505" t="s">
        <v>2243</v>
      </c>
      <c r="E66" s="2508">
        <v>1.5601098537445068</v>
      </c>
      <c r="F66" s="2508">
        <v>1.0387194156646729</v>
      </c>
      <c r="G66" s="2508">
        <v>1.8225005865097046</v>
      </c>
      <c r="H66" s="2508">
        <v>1.828457236289978</v>
      </c>
      <c r="I66" s="2508">
        <v>2.2835333347320557</v>
      </c>
      <c r="J66" s="2508">
        <v>2.0734925270080566</v>
      </c>
      <c r="K66" s="2508">
        <v>1.7678021589914958</v>
      </c>
    </row>
    <row r="67" spans="1:11" x14ac:dyDescent="0.25">
      <c r="A67" s="2505">
        <v>2016</v>
      </c>
      <c r="B67" s="2505" t="s">
        <v>2244</v>
      </c>
      <c r="C67" s="2505" t="s">
        <v>2245</v>
      </c>
      <c r="D67" s="2505" t="s">
        <v>2246</v>
      </c>
      <c r="E67" s="2508">
        <v>1.1845864057540894</v>
      </c>
      <c r="F67" s="2508">
        <v>0.27345073223114014</v>
      </c>
      <c r="G67" s="2508">
        <v>1.443159818649292</v>
      </c>
      <c r="H67" s="2508">
        <v>1.154509425163269</v>
      </c>
      <c r="I67" s="2508">
        <v>1.2798337936401367</v>
      </c>
      <c r="J67" s="2508">
        <v>1.4064747095108032</v>
      </c>
      <c r="K67" s="2508">
        <v>1.1236691474914551</v>
      </c>
    </row>
    <row r="68" spans="1:11" x14ac:dyDescent="0.25">
      <c r="A68" s="2505">
        <v>2016</v>
      </c>
      <c r="B68" s="2505" t="s">
        <v>2247</v>
      </c>
      <c r="C68" s="2505"/>
      <c r="D68" s="2505" t="s">
        <v>2248</v>
      </c>
      <c r="E68" s="2508">
        <v>1.2313157320022583</v>
      </c>
      <c r="F68" s="2508">
        <v>0.54438316822052002</v>
      </c>
      <c r="G68" s="2508">
        <v>1.0932868719100952</v>
      </c>
      <c r="H68" s="2508">
        <v>1.4478074312210083</v>
      </c>
      <c r="I68" s="2508">
        <v>1.0273579359054565</v>
      </c>
      <c r="J68" s="2508">
        <v>1.3236404657363892</v>
      </c>
      <c r="K68" s="2508">
        <v>1.1112986008326213</v>
      </c>
    </row>
    <row r="69" spans="1:11" x14ac:dyDescent="0.25">
      <c r="A69" s="2505">
        <v>2016</v>
      </c>
      <c r="B69" s="2505" t="s">
        <v>2249</v>
      </c>
      <c r="C69" s="2505" t="s">
        <v>2250</v>
      </c>
      <c r="D69" s="2505" t="s">
        <v>2251</v>
      </c>
      <c r="E69" s="2508">
        <v>-0.94936883449554443</v>
      </c>
      <c r="F69" s="2508">
        <v>3.3404406160116196E-2</v>
      </c>
      <c r="G69" s="2508">
        <v>-0.73222154378890991</v>
      </c>
      <c r="H69" s="2508">
        <v>-0.79680949449539185</v>
      </c>
      <c r="I69" s="2508">
        <v>-0.66587680578231812</v>
      </c>
      <c r="J69" s="2508">
        <v>-0.53685158491134644</v>
      </c>
      <c r="K69" s="2508">
        <v>-0.60795397621889913</v>
      </c>
    </row>
    <row r="70" spans="1:11" x14ac:dyDescent="0.25">
      <c r="A70" s="2505">
        <v>2016</v>
      </c>
      <c r="B70" s="2505" t="s">
        <v>2252</v>
      </c>
      <c r="C70" s="2505" t="s">
        <v>2253</v>
      </c>
      <c r="D70" s="2505" t="s">
        <v>2254</v>
      </c>
      <c r="E70" s="2508">
        <v>-1.4754135608673096</v>
      </c>
      <c r="F70" s="2508">
        <v>1.3977293856441975E-2</v>
      </c>
      <c r="G70" s="2508">
        <v>-0.89269345998764038</v>
      </c>
      <c r="H70" s="2508">
        <v>-0.49358755350112915</v>
      </c>
      <c r="I70" s="2508">
        <v>-0.77191030979156494</v>
      </c>
      <c r="J70" s="2508">
        <v>-0.65749472379684448</v>
      </c>
      <c r="K70" s="2508">
        <v>-0.71285371901467443</v>
      </c>
    </row>
    <row r="71" spans="1:11" x14ac:dyDescent="0.25">
      <c r="A71" s="2505">
        <v>2016</v>
      </c>
      <c r="B71" s="2505" t="s">
        <v>2255</v>
      </c>
      <c r="C71" s="2505" t="s">
        <v>2256</v>
      </c>
      <c r="D71" s="2505" t="s">
        <v>2257</v>
      </c>
      <c r="E71" s="2508">
        <v>0.21541586518287659</v>
      </c>
      <c r="F71" s="2508">
        <v>-0.39709377288818359</v>
      </c>
      <c r="G71" s="2508">
        <v>0.40131881833076477</v>
      </c>
      <c r="H71" s="2508">
        <v>0.92401230335235596</v>
      </c>
      <c r="I71" s="2508">
        <v>0.63630920648574829</v>
      </c>
      <c r="J71" s="2508">
        <v>0.29643526673316956</v>
      </c>
      <c r="K71" s="2508">
        <v>0.34606628119945526</v>
      </c>
    </row>
    <row r="72" spans="1:11" x14ac:dyDescent="0.25">
      <c r="A72" s="2505">
        <v>2016</v>
      </c>
      <c r="B72" s="2505" t="s">
        <v>2258</v>
      </c>
      <c r="C72" s="2505" t="s">
        <v>2259</v>
      </c>
      <c r="D72" s="2505" t="s">
        <v>2260</v>
      </c>
      <c r="E72" s="2508">
        <v>1.4320300817489624</v>
      </c>
      <c r="F72" s="2508">
        <v>0.71522331237792969</v>
      </c>
      <c r="G72" s="2508">
        <v>1.7397291660308838</v>
      </c>
      <c r="H72" s="2508">
        <v>1.6651302576065063</v>
      </c>
      <c r="I72" s="2508">
        <v>1.8189874887466431</v>
      </c>
      <c r="J72" s="2508">
        <v>1.7822667360305786</v>
      </c>
      <c r="K72" s="2508">
        <v>1.5255611737569172</v>
      </c>
    </row>
    <row r="73" spans="1:11" x14ac:dyDescent="0.25">
      <c r="A73" s="2505">
        <v>2016</v>
      </c>
      <c r="B73" s="2505" t="s">
        <v>2261</v>
      </c>
      <c r="C73" s="2505" t="s">
        <v>2262</v>
      </c>
      <c r="D73" s="2505" t="s">
        <v>2263</v>
      </c>
      <c r="E73" s="2508">
        <v>0.51103979349136353</v>
      </c>
      <c r="F73" s="2508">
        <v>2.8305774554610252E-2</v>
      </c>
      <c r="G73" s="2508">
        <v>-0.25561481714248657</v>
      </c>
      <c r="H73" s="2508">
        <v>-3.0894575640559196E-2</v>
      </c>
      <c r="I73" s="2508">
        <v>-0.17508114874362946</v>
      </c>
      <c r="J73" s="2508">
        <v>0.11810573190450668</v>
      </c>
      <c r="K73" s="2508">
        <v>3.2643459737300873E-2</v>
      </c>
    </row>
    <row r="74" spans="1:11" x14ac:dyDescent="0.25">
      <c r="A74" s="2505">
        <v>2016</v>
      </c>
      <c r="B74" s="2505" t="s">
        <v>2264</v>
      </c>
      <c r="C74" s="2505" t="s">
        <v>2265</v>
      </c>
      <c r="D74" s="2505" t="s">
        <v>2266</v>
      </c>
      <c r="E74" s="2508">
        <v>0.59070658683776855</v>
      </c>
      <c r="F74" s="2508">
        <v>-0.22688782215118408</v>
      </c>
      <c r="G74" s="2508">
        <v>0.24921289086341858</v>
      </c>
      <c r="H74" s="2508">
        <v>0.39723536372184753</v>
      </c>
      <c r="I74" s="2508">
        <v>-0.13012039661407471</v>
      </c>
      <c r="J74" s="2508">
        <v>0.24239319562911987</v>
      </c>
      <c r="K74" s="2508">
        <v>0.18708996971448263</v>
      </c>
    </row>
    <row r="75" spans="1:11" x14ac:dyDescent="0.25">
      <c r="A75" s="2505">
        <v>2016</v>
      </c>
      <c r="B75" s="2505" t="s">
        <v>2267</v>
      </c>
      <c r="C75" s="2505"/>
      <c r="D75" s="2505" t="s">
        <v>2268</v>
      </c>
      <c r="E75" s="2508">
        <v>1.2313157320022583</v>
      </c>
      <c r="F75" s="2508">
        <v>1.920933723449707</v>
      </c>
      <c r="G75" s="2508">
        <v>0.84581738710403442</v>
      </c>
      <c r="H75" s="2508">
        <v>1.3651834726333618</v>
      </c>
      <c r="I75" s="2508">
        <v>1.1913765668869019</v>
      </c>
      <c r="J75" s="2508">
        <v>1.7364015579223633</v>
      </c>
      <c r="K75" s="2508">
        <v>1.3818380733331044</v>
      </c>
    </row>
    <row r="76" spans="1:11" x14ac:dyDescent="0.25">
      <c r="A76" s="2505">
        <v>2016</v>
      </c>
      <c r="B76" s="2505" t="s">
        <v>2269</v>
      </c>
      <c r="C76" s="2505" t="s">
        <v>2270</v>
      </c>
      <c r="D76" s="2505" t="s">
        <v>2271</v>
      </c>
      <c r="E76" s="2508">
        <v>0.9363102912902832</v>
      </c>
      <c r="F76" s="2508">
        <v>0.81435197591781616</v>
      </c>
      <c r="G76" s="2508">
        <v>-0.20241039991378784</v>
      </c>
      <c r="H76" s="2508">
        <v>5.1969266496598721E-3</v>
      </c>
      <c r="I76" s="2508">
        <v>0.30994439125061035</v>
      </c>
      <c r="J76" s="2508">
        <v>-0.19873519241809845</v>
      </c>
      <c r="K76" s="2508">
        <v>0.27744299879608053</v>
      </c>
    </row>
    <row r="77" spans="1:11" x14ac:dyDescent="0.25">
      <c r="A77" s="2505">
        <v>2016</v>
      </c>
      <c r="B77" s="2505" t="s">
        <v>2272</v>
      </c>
      <c r="C77" s="2505"/>
      <c r="D77" s="2505" t="s">
        <v>2273</v>
      </c>
      <c r="E77" s="2508"/>
      <c r="F77" s="2508">
        <v>0.84114557504653931</v>
      </c>
      <c r="G77" s="2508">
        <v>0.46728792786598206</v>
      </c>
      <c r="H77" s="2508">
        <v>0.16846071183681488</v>
      </c>
      <c r="I77" s="2508">
        <v>1.2460027933120728</v>
      </c>
      <c r="J77" s="2508">
        <v>1.3637286424636841</v>
      </c>
      <c r="K77" s="2508">
        <v>0.81732513010501862</v>
      </c>
    </row>
    <row r="78" spans="1:11" x14ac:dyDescent="0.25">
      <c r="A78" s="2505">
        <v>2016</v>
      </c>
      <c r="B78" s="2505" t="s">
        <v>2274</v>
      </c>
      <c r="C78" s="2505" t="s">
        <v>2275</v>
      </c>
      <c r="D78" s="2505" t="s">
        <v>2276</v>
      </c>
      <c r="E78" s="2508">
        <v>-0.4171178936958313</v>
      </c>
      <c r="F78" s="2508">
        <v>-0.64731931686401367</v>
      </c>
      <c r="G78" s="2508">
        <v>-0.71374344825744629</v>
      </c>
      <c r="H78" s="2508">
        <v>-0.20400708913803101</v>
      </c>
      <c r="I78" s="2508">
        <v>-0.71124446392059326</v>
      </c>
      <c r="J78" s="2508">
        <v>-0.9868050217628479</v>
      </c>
      <c r="K78" s="2508">
        <v>-0.6133728722731272</v>
      </c>
    </row>
    <row r="79" spans="1:11" x14ac:dyDescent="0.25">
      <c r="A79" s="2505">
        <v>2016</v>
      </c>
      <c r="B79" s="2505" t="s">
        <v>2277</v>
      </c>
      <c r="C79" s="2505" t="s">
        <v>2278</v>
      </c>
      <c r="D79" s="2505" t="s">
        <v>2279</v>
      </c>
      <c r="E79" s="2508">
        <v>-0.88692176342010498</v>
      </c>
      <c r="F79" s="2508">
        <v>-0.44599947333335876</v>
      </c>
      <c r="G79" s="2508">
        <v>-1.135753870010376</v>
      </c>
      <c r="H79" s="2508">
        <v>-0.86369913816452026</v>
      </c>
      <c r="I79" s="2508">
        <v>-0.97272312641143799</v>
      </c>
      <c r="J79" s="2508">
        <v>-1.1723402738571167</v>
      </c>
      <c r="K79" s="2508">
        <v>-0.91290627419948578</v>
      </c>
    </row>
    <row r="80" spans="1:11" x14ac:dyDescent="0.25">
      <c r="A80" s="2505">
        <v>2016</v>
      </c>
      <c r="B80" s="2505" t="s">
        <v>2280</v>
      </c>
      <c r="C80" s="2505" t="s">
        <v>2281</v>
      </c>
      <c r="D80" s="2505" t="s">
        <v>2282</v>
      </c>
      <c r="E80" s="2508">
        <v>-0.81094753742218018</v>
      </c>
      <c r="F80" s="2508">
        <v>-0.44389122724533081</v>
      </c>
      <c r="G80" s="2508">
        <v>-1.6229590177536011</v>
      </c>
      <c r="H80" s="2508">
        <v>-1.1975393295288086</v>
      </c>
      <c r="I80" s="2508">
        <v>-1.429343581199646</v>
      </c>
      <c r="J80" s="2508">
        <v>-1.3017101287841797</v>
      </c>
      <c r="K80" s="2508">
        <v>-1.1343984703222911</v>
      </c>
    </row>
    <row r="81" spans="1:11" x14ac:dyDescent="0.25">
      <c r="A81" s="2505">
        <v>2016</v>
      </c>
      <c r="B81" s="2505" t="s">
        <v>2283</v>
      </c>
      <c r="C81" s="2505" t="s">
        <v>2284</v>
      </c>
      <c r="D81" s="2505" t="s">
        <v>2285</v>
      </c>
      <c r="E81" s="2508">
        <v>0.21552745997905731</v>
      </c>
      <c r="F81" s="2508">
        <v>-0.1755182147026062</v>
      </c>
      <c r="G81" s="2508">
        <v>-0.33663517236709595</v>
      </c>
      <c r="H81" s="2508">
        <v>-0.55177080631256104</v>
      </c>
      <c r="I81" s="2508">
        <v>-0.76617497205734253</v>
      </c>
      <c r="J81" s="2508">
        <v>-0.49641245603561401</v>
      </c>
      <c r="K81" s="2508">
        <v>-0.35183069358269375</v>
      </c>
    </row>
    <row r="82" spans="1:11" x14ac:dyDescent="0.25">
      <c r="A82" s="2505">
        <v>2016</v>
      </c>
      <c r="B82" s="2505" t="s">
        <v>2286</v>
      </c>
      <c r="C82" s="2505" t="s">
        <v>2287</v>
      </c>
      <c r="D82" s="2505" t="s">
        <v>2288</v>
      </c>
      <c r="E82" s="2508">
        <v>-0.83611792325973511</v>
      </c>
      <c r="F82" s="2508">
        <v>-0.72908824682235718</v>
      </c>
      <c r="G82" s="2508">
        <v>-2.0021462440490723</v>
      </c>
      <c r="H82" s="2508">
        <v>-1.1590868234634399</v>
      </c>
      <c r="I82" s="2508">
        <v>-1.2573446035385132</v>
      </c>
      <c r="J82" s="2508">
        <v>-1.1664572954177856</v>
      </c>
      <c r="K82" s="2508">
        <v>-1.1917068560918171</v>
      </c>
    </row>
    <row r="83" spans="1:11" x14ac:dyDescent="0.25">
      <c r="A83" s="2505">
        <v>2016</v>
      </c>
      <c r="B83" s="2505" t="s">
        <v>2289</v>
      </c>
      <c r="C83" s="2505" t="s">
        <v>2290</v>
      </c>
      <c r="D83" s="2505" t="s">
        <v>2291</v>
      </c>
      <c r="E83" s="2508">
        <v>-0.44944271445274353</v>
      </c>
      <c r="F83" s="2508">
        <v>-0.50991791486740112</v>
      </c>
      <c r="G83" s="2508">
        <v>-0.81861352920532227</v>
      </c>
      <c r="H83" s="2508">
        <v>-0.39723092317581177</v>
      </c>
      <c r="I83" s="2508">
        <v>-0.56687033176422119</v>
      </c>
      <c r="J83" s="2508">
        <v>-0.95110434293746948</v>
      </c>
      <c r="K83" s="2508">
        <v>-0.61552995940049493</v>
      </c>
    </row>
    <row r="84" spans="1:11" x14ac:dyDescent="0.25">
      <c r="A84" s="2505">
        <v>2016</v>
      </c>
      <c r="B84" s="2505" t="s">
        <v>2292</v>
      </c>
      <c r="C84" s="2505" t="s">
        <v>2293</v>
      </c>
      <c r="D84" s="2505" t="s">
        <v>2294</v>
      </c>
      <c r="E84" s="2508">
        <v>0.48307037353515625</v>
      </c>
      <c r="F84" s="2508">
        <v>0.99310284852981567</v>
      </c>
      <c r="G84" s="2508">
        <v>1.9281947612762451</v>
      </c>
      <c r="H84" s="2508">
        <v>2.1765713691711426</v>
      </c>
      <c r="I84" s="2508">
        <v>1.6740731000900269</v>
      </c>
      <c r="J84" s="2508">
        <v>1.8321906328201294</v>
      </c>
      <c r="K84" s="2508">
        <v>1.5145338475704193</v>
      </c>
    </row>
    <row r="85" spans="1:11" x14ac:dyDescent="0.25">
      <c r="A85" s="2505">
        <v>2016</v>
      </c>
      <c r="B85" s="2505" t="s">
        <v>2295</v>
      </c>
      <c r="C85" s="2505" t="s">
        <v>2296</v>
      </c>
      <c r="D85" s="2505" t="s">
        <v>2297</v>
      </c>
      <c r="E85" s="2508">
        <v>0.51657754182815552</v>
      </c>
      <c r="F85" s="2508">
        <v>0.73182541131973267</v>
      </c>
      <c r="G85" s="2508">
        <v>0.49179479479789734</v>
      </c>
      <c r="H85" s="2508">
        <v>0.76863902807235718</v>
      </c>
      <c r="I85" s="2508">
        <v>0.10440820455551147</v>
      </c>
      <c r="J85" s="2508">
        <v>0.4041084349155426</v>
      </c>
      <c r="K85" s="2508">
        <v>0.50289223591486609</v>
      </c>
    </row>
    <row r="86" spans="1:11" x14ac:dyDescent="0.25">
      <c r="A86" s="2505">
        <v>2016</v>
      </c>
      <c r="B86" s="2505" t="s">
        <v>2298</v>
      </c>
      <c r="C86" s="2505" t="s">
        <v>2299</v>
      </c>
      <c r="D86" s="2505" t="s">
        <v>2300</v>
      </c>
      <c r="E86" s="2508">
        <v>1.3997546434402466</v>
      </c>
      <c r="F86" s="2508">
        <v>1.2671587467193604</v>
      </c>
      <c r="G86" s="2508">
        <v>1.5009250640869141</v>
      </c>
      <c r="H86" s="2508">
        <v>1.2686982154846191</v>
      </c>
      <c r="I86" s="2508">
        <v>1.9524722099304199</v>
      </c>
      <c r="J86" s="2508">
        <v>1.6749073266983032</v>
      </c>
      <c r="K86" s="2508">
        <v>1.5106527010599773</v>
      </c>
    </row>
    <row r="87" spans="1:11" x14ac:dyDescent="0.25">
      <c r="A87" s="2505">
        <v>2016</v>
      </c>
      <c r="B87" s="2505" t="s">
        <v>2301</v>
      </c>
      <c r="C87" s="2505" t="s">
        <v>2302</v>
      </c>
      <c r="D87" s="2505" t="s">
        <v>2303</v>
      </c>
      <c r="E87" s="2508">
        <v>0.38922756910324097</v>
      </c>
      <c r="F87" s="2508">
        <v>-0.9209938645362854</v>
      </c>
      <c r="G87" s="2508">
        <v>0.1005861759185791</v>
      </c>
      <c r="H87" s="2508">
        <v>-0.39138451218605042</v>
      </c>
      <c r="I87" s="2508">
        <v>-0.38044622540473938</v>
      </c>
      <c r="J87" s="2508">
        <v>-5.6629803031682968E-2</v>
      </c>
      <c r="K87" s="2508">
        <v>-0.20994011002282301</v>
      </c>
    </row>
    <row r="88" spans="1:11" x14ac:dyDescent="0.25">
      <c r="A88" s="2505">
        <v>2016</v>
      </c>
      <c r="B88" s="2505" t="s">
        <v>2304</v>
      </c>
      <c r="C88" s="2505" t="s">
        <v>2305</v>
      </c>
      <c r="D88" s="2505" t="s">
        <v>2306</v>
      </c>
      <c r="E88" s="2508">
        <v>0.14286172389984131</v>
      </c>
      <c r="F88" s="2508">
        <v>-0.59594404697418213</v>
      </c>
      <c r="G88" s="2508">
        <v>-0.22453643381595612</v>
      </c>
      <c r="H88" s="2508">
        <v>-0.21057397127151489</v>
      </c>
      <c r="I88" s="2508">
        <v>-0.45391032099723816</v>
      </c>
      <c r="J88" s="2508">
        <v>-0.41258373856544495</v>
      </c>
      <c r="K88" s="2508">
        <v>-0.29244779795408249</v>
      </c>
    </row>
    <row r="89" spans="1:11" x14ac:dyDescent="0.25">
      <c r="A89" s="2505">
        <v>2016</v>
      </c>
      <c r="B89" s="2505" t="s">
        <v>2307</v>
      </c>
      <c r="C89" s="2505" t="s">
        <v>2308</v>
      </c>
      <c r="D89" s="2505" t="s">
        <v>2309</v>
      </c>
      <c r="E89" s="2508">
        <v>-1.5382791757583618</v>
      </c>
      <c r="F89" s="2508">
        <v>-0.90521270036697388</v>
      </c>
      <c r="G89" s="2508">
        <v>-0.20181292295455933</v>
      </c>
      <c r="H89" s="2508">
        <v>-1.2803912162780762</v>
      </c>
      <c r="I89" s="2508">
        <v>-0.60938608646392822</v>
      </c>
      <c r="J89" s="2508">
        <v>-0.95405513048171997</v>
      </c>
      <c r="K89" s="2508">
        <v>-0.91485620538393653</v>
      </c>
    </row>
    <row r="90" spans="1:11" x14ac:dyDescent="0.25">
      <c r="A90" s="2505">
        <v>2016</v>
      </c>
      <c r="B90" s="2505" t="s">
        <v>2310</v>
      </c>
      <c r="C90" s="2505" t="s">
        <v>2311</v>
      </c>
      <c r="D90" s="2505" t="s">
        <v>2312</v>
      </c>
      <c r="E90" s="2508">
        <v>-1.1941876411437988</v>
      </c>
      <c r="F90" s="2508">
        <v>-2.2869899272918701</v>
      </c>
      <c r="G90" s="2508">
        <v>-1.2692649364471436</v>
      </c>
      <c r="H90" s="2508">
        <v>-1.2328939437866211</v>
      </c>
      <c r="I90" s="2508">
        <v>-1.3713482618331909</v>
      </c>
      <c r="J90" s="2508">
        <v>-1.45904541015625</v>
      </c>
      <c r="K90" s="2508">
        <v>-1.4689550201098125</v>
      </c>
    </row>
    <row r="91" spans="1:11" x14ac:dyDescent="0.25">
      <c r="A91" s="2505">
        <v>2016</v>
      </c>
      <c r="B91" s="2505" t="s">
        <v>2313</v>
      </c>
      <c r="C91" s="2505" t="s">
        <v>2314</v>
      </c>
      <c r="D91" s="2505" t="s">
        <v>2315</v>
      </c>
      <c r="E91" s="2508">
        <v>1.3540303707122803</v>
      </c>
      <c r="F91" s="2508">
        <v>0.92719459533691406</v>
      </c>
      <c r="G91" s="2508">
        <v>1.5365725755691528</v>
      </c>
      <c r="H91" s="2508">
        <v>1.8138177394866943</v>
      </c>
      <c r="I91" s="2508">
        <v>1.6355602741241455</v>
      </c>
      <c r="J91" s="2508">
        <v>1.7876461744308472</v>
      </c>
      <c r="K91" s="2508">
        <v>1.5091369549433391</v>
      </c>
    </row>
    <row r="92" spans="1:11" x14ac:dyDescent="0.25">
      <c r="A92" s="2505">
        <v>2016</v>
      </c>
      <c r="B92" s="2505" t="s">
        <v>2316</v>
      </c>
      <c r="C92" s="2505" t="s">
        <v>2317</v>
      </c>
      <c r="D92" s="2505" t="s">
        <v>2318</v>
      </c>
      <c r="E92" s="2508">
        <v>0.74365299940109253</v>
      </c>
      <c r="F92" s="2508">
        <v>-1.1184883117675781</v>
      </c>
      <c r="G92" s="2508">
        <v>1.3751553297042847</v>
      </c>
      <c r="H92" s="2508">
        <v>1.2700835466384888</v>
      </c>
      <c r="I92" s="2508">
        <v>0.89446866512298584</v>
      </c>
      <c r="J92" s="2508">
        <v>1.1682670116424561</v>
      </c>
      <c r="K92" s="2508">
        <v>0.72218987345695496</v>
      </c>
    </row>
    <row r="93" spans="1:11" x14ac:dyDescent="0.25">
      <c r="A93" s="2505">
        <v>2016</v>
      </c>
      <c r="B93" s="2505" t="s">
        <v>2319</v>
      </c>
      <c r="C93" s="2505" t="s">
        <v>2320</v>
      </c>
      <c r="D93" s="2505" t="s">
        <v>2321</v>
      </c>
      <c r="E93" s="2508">
        <v>1.0120341777801514</v>
      </c>
      <c r="F93" s="2508">
        <v>0.34358769655227661</v>
      </c>
      <c r="G93" s="2508">
        <v>0.45399916172027588</v>
      </c>
      <c r="H93" s="2508">
        <v>0.72996842861175537</v>
      </c>
      <c r="I93" s="2508">
        <v>-4.704786092042923E-2</v>
      </c>
      <c r="J93" s="2508">
        <v>0.25177839398384094</v>
      </c>
      <c r="K93" s="2508">
        <v>0.45738666628797847</v>
      </c>
    </row>
    <row r="94" spans="1:11" x14ac:dyDescent="0.25">
      <c r="A94" s="2505">
        <v>2016</v>
      </c>
      <c r="B94" s="2505" t="s">
        <v>2322</v>
      </c>
      <c r="C94" s="2505" t="s">
        <v>2323</v>
      </c>
      <c r="D94" s="2505" t="s">
        <v>2324</v>
      </c>
      <c r="E94" s="2508">
        <v>0.54736828804016113</v>
      </c>
      <c r="F94" s="2508">
        <v>9.4764910638332367E-2</v>
      </c>
      <c r="G94" s="2508">
        <v>0.2461531013250351</v>
      </c>
      <c r="H94" s="2508">
        <v>0.10995001345872879</v>
      </c>
      <c r="I94" s="2508">
        <v>-0.32704085111618042</v>
      </c>
      <c r="J94" s="2508">
        <v>-0.23489899933338165</v>
      </c>
      <c r="K94" s="2508">
        <v>7.2716077168782547E-2</v>
      </c>
    </row>
    <row r="95" spans="1:11" x14ac:dyDescent="0.25">
      <c r="A95" s="2505">
        <v>2016</v>
      </c>
      <c r="B95" s="2505" t="s">
        <v>2325</v>
      </c>
      <c r="C95" s="2505" t="s">
        <v>2326</v>
      </c>
      <c r="D95" s="2505" t="s">
        <v>2327</v>
      </c>
      <c r="E95" s="2508">
        <v>1.0225068330764771</v>
      </c>
      <c r="F95" s="2508">
        <v>0.97766333818435669</v>
      </c>
      <c r="G95" s="2508">
        <v>1.7913879156112671</v>
      </c>
      <c r="H95" s="2508">
        <v>1.1770045757293701</v>
      </c>
      <c r="I95" s="2508">
        <v>1.6086304187774658</v>
      </c>
      <c r="J95" s="2508">
        <v>1.511390209197998</v>
      </c>
      <c r="K95" s="2508">
        <v>1.3480972150961559</v>
      </c>
    </row>
    <row r="96" spans="1:11" x14ac:dyDescent="0.25">
      <c r="A96" s="2505">
        <v>2016</v>
      </c>
      <c r="B96" s="2505" t="s">
        <v>2328</v>
      </c>
      <c r="C96" s="2505"/>
      <c r="D96" s="2505" t="s">
        <v>2329</v>
      </c>
      <c r="E96" s="2508">
        <v>1.2313157320022583</v>
      </c>
      <c r="F96" s="2508">
        <v>1.5149823427200317</v>
      </c>
      <c r="G96" s="2508">
        <v>1.2759560346603394</v>
      </c>
      <c r="H96" s="2508">
        <v>1.1520593166351318</v>
      </c>
      <c r="I96" s="2508">
        <v>1.1913765668869019</v>
      </c>
      <c r="J96" s="2508">
        <v>1.7364015579223633</v>
      </c>
      <c r="K96" s="2508">
        <v>1.3503485918045044</v>
      </c>
    </row>
    <row r="97" spans="1:11" x14ac:dyDescent="0.25">
      <c r="A97" s="2505">
        <v>2016</v>
      </c>
      <c r="B97" s="2505" t="s">
        <v>2330</v>
      </c>
      <c r="C97" s="2505" t="s">
        <v>2331</v>
      </c>
      <c r="D97" s="2505" t="s">
        <v>2332</v>
      </c>
      <c r="E97" s="2508">
        <v>-0.77857905626296997</v>
      </c>
      <c r="F97" s="2508">
        <v>-0.57622021436691284</v>
      </c>
      <c r="G97" s="2508">
        <v>0.13580667972564697</v>
      </c>
      <c r="H97" s="2508">
        <v>4.7663737088441849E-2</v>
      </c>
      <c r="I97" s="2508">
        <v>0.25989565253257751</v>
      </c>
      <c r="J97" s="2508">
        <v>0.46206656098365784</v>
      </c>
      <c r="K97" s="2508">
        <v>-7.4894440049926445E-2</v>
      </c>
    </row>
    <row r="98" spans="1:11" x14ac:dyDescent="0.25">
      <c r="A98" s="2505">
        <v>2016</v>
      </c>
      <c r="B98" s="2505" t="s">
        <v>2333</v>
      </c>
      <c r="C98" s="2505" t="s">
        <v>2334</v>
      </c>
      <c r="D98" s="2505" t="s">
        <v>2335</v>
      </c>
      <c r="E98" s="2508">
        <v>-1.150153636932373</v>
      </c>
      <c r="F98" s="2508">
        <v>-9.8386935889720917E-2</v>
      </c>
      <c r="G98" s="2508">
        <v>-5.2971247583627701E-2</v>
      </c>
      <c r="H98" s="2508">
        <v>-2.5244351476430893E-2</v>
      </c>
      <c r="I98" s="2508">
        <v>-0.75578182935714722</v>
      </c>
      <c r="J98" s="2508">
        <v>-0.36795815825462341</v>
      </c>
      <c r="K98" s="2508">
        <v>-0.40841602658232051</v>
      </c>
    </row>
    <row r="99" spans="1:11" x14ac:dyDescent="0.25">
      <c r="A99" s="2505">
        <v>2016</v>
      </c>
      <c r="B99" s="2505" t="s">
        <v>2336</v>
      </c>
      <c r="C99" s="2505" t="s">
        <v>2337</v>
      </c>
      <c r="D99" s="2505" t="s">
        <v>2338</v>
      </c>
      <c r="E99" s="2508">
        <v>-0.17783422768115997</v>
      </c>
      <c r="F99" s="2508">
        <v>-1.2909262180328369</v>
      </c>
      <c r="G99" s="2508">
        <v>-0.28513628244400024</v>
      </c>
      <c r="H99" s="2508">
        <v>-0.29427263140678406</v>
      </c>
      <c r="I99" s="2508">
        <v>-1.0146993398666382</v>
      </c>
      <c r="J99" s="2508">
        <v>-0.4903603196144104</v>
      </c>
      <c r="K99" s="2508">
        <v>-0.59220483650763833</v>
      </c>
    </row>
    <row r="100" spans="1:11" x14ac:dyDescent="0.25">
      <c r="A100" s="2505">
        <v>2016</v>
      </c>
      <c r="B100" s="2505" t="s">
        <v>2339</v>
      </c>
      <c r="C100" s="2505" t="s">
        <v>2340</v>
      </c>
      <c r="D100" s="2505" t="s">
        <v>2341</v>
      </c>
      <c r="E100" s="2508">
        <v>1.016007661819458</v>
      </c>
      <c r="F100" s="2508">
        <v>0.90369194746017456</v>
      </c>
      <c r="G100" s="2508">
        <v>-0.50213414430618286</v>
      </c>
      <c r="H100" s="2508">
        <v>-0.90656054019927979</v>
      </c>
      <c r="I100" s="2508">
        <v>0.24783983826637268</v>
      </c>
      <c r="J100" s="2508">
        <v>-0.16269582509994507</v>
      </c>
      <c r="K100" s="2508">
        <v>9.9358156323432922E-2</v>
      </c>
    </row>
    <row r="101" spans="1:11" x14ac:dyDescent="0.25">
      <c r="A101" s="2505">
        <v>2016</v>
      </c>
      <c r="B101" s="2505" t="s">
        <v>2342</v>
      </c>
      <c r="C101" s="2505" t="s">
        <v>2343</v>
      </c>
      <c r="D101" s="2505" t="s">
        <v>2344</v>
      </c>
      <c r="E101" s="2508">
        <v>-2.1457817554473877</v>
      </c>
      <c r="F101" s="2508">
        <v>-1.2233107089996338</v>
      </c>
      <c r="G101" s="2508">
        <v>-1.632732629776001</v>
      </c>
      <c r="H101" s="2508">
        <v>-2.3364400863647461</v>
      </c>
      <c r="I101" s="2508">
        <v>-1.2852120399475098</v>
      </c>
      <c r="J101" s="2508">
        <v>-1.5658419132232666</v>
      </c>
      <c r="K101" s="2508">
        <v>-1.6982198556264241</v>
      </c>
    </row>
    <row r="102" spans="1:11" x14ac:dyDescent="0.25">
      <c r="A102" s="2505">
        <v>2016</v>
      </c>
      <c r="B102" s="2505" t="s">
        <v>2345</v>
      </c>
      <c r="C102" s="2505" t="s">
        <v>2346</v>
      </c>
      <c r="D102" s="2505" t="s">
        <v>2347</v>
      </c>
      <c r="E102" s="2508">
        <v>0.66780084371566772</v>
      </c>
      <c r="F102" s="2508">
        <v>9.8744936287403107E-2</v>
      </c>
      <c r="G102" s="2508">
        <v>1.0260921716690063</v>
      </c>
      <c r="H102" s="2508">
        <v>1.1560510396957397</v>
      </c>
      <c r="I102" s="2508">
        <v>0.48938474059104919</v>
      </c>
      <c r="J102" s="2508">
        <v>0.9546205997467041</v>
      </c>
      <c r="K102" s="2508">
        <v>0.73211572195092833</v>
      </c>
    </row>
    <row r="103" spans="1:11" x14ac:dyDescent="0.25">
      <c r="A103" s="2505">
        <v>2016</v>
      </c>
      <c r="B103" s="2505" t="s">
        <v>2348</v>
      </c>
      <c r="C103" s="2505"/>
      <c r="D103" s="2505" t="s">
        <v>2349</v>
      </c>
      <c r="E103" s="2508">
        <v>-0.17842832207679749</v>
      </c>
      <c r="F103" s="2508">
        <v>-0.3267778754234314</v>
      </c>
      <c r="G103" s="2508">
        <v>-0.41955578327178955</v>
      </c>
      <c r="H103" s="2508">
        <v>-0.29971104860305786</v>
      </c>
      <c r="I103" s="2508">
        <v>-0.5156283974647522</v>
      </c>
      <c r="J103" s="2508">
        <v>-0.47133588790893555</v>
      </c>
      <c r="K103" s="2508">
        <v>-0.36857288579146069</v>
      </c>
    </row>
    <row r="104" spans="1:11" x14ac:dyDescent="0.25">
      <c r="A104" s="2505">
        <v>2016</v>
      </c>
      <c r="B104" s="2505" t="s">
        <v>2350</v>
      </c>
      <c r="C104" s="2505" t="s">
        <v>2351</v>
      </c>
      <c r="D104" s="2505" t="s">
        <v>2352</v>
      </c>
      <c r="E104" s="2508">
        <v>-0.65368145704269409</v>
      </c>
      <c r="F104" s="2508">
        <v>-0.10912598669528961</v>
      </c>
      <c r="G104" s="2508">
        <v>-2.4442000314593315E-2</v>
      </c>
      <c r="H104" s="2508">
        <v>-0.156218022108078</v>
      </c>
      <c r="I104" s="2508">
        <v>-0.21780356764793396</v>
      </c>
      <c r="J104" s="2508">
        <v>3.4857183694839478E-2</v>
      </c>
      <c r="K104" s="2508">
        <v>-0.18773564168562493</v>
      </c>
    </row>
    <row r="105" spans="1:11" x14ac:dyDescent="0.25">
      <c r="A105" s="2505">
        <v>2016</v>
      </c>
      <c r="B105" s="2505" t="s">
        <v>2353</v>
      </c>
      <c r="C105" s="2505" t="s">
        <v>2354</v>
      </c>
      <c r="D105" s="2505" t="s">
        <v>2355</v>
      </c>
      <c r="E105" s="2508">
        <v>-0.47274300456047058</v>
      </c>
      <c r="F105" s="2508">
        <v>-0.8723788857460022</v>
      </c>
      <c r="G105" s="2508">
        <v>-0.90176206827163696</v>
      </c>
      <c r="H105" s="2508">
        <v>-0.46601372957229614</v>
      </c>
      <c r="I105" s="2508">
        <v>-1.0807223320007324</v>
      </c>
      <c r="J105" s="2508">
        <v>-0.99802404642105103</v>
      </c>
      <c r="K105" s="2508">
        <v>-0.79860734442869818</v>
      </c>
    </row>
    <row r="106" spans="1:11" x14ac:dyDescent="0.25">
      <c r="A106" s="2505">
        <v>2016</v>
      </c>
      <c r="B106" s="2505" t="s">
        <v>2356</v>
      </c>
      <c r="C106" s="2505" t="s">
        <v>2357</v>
      </c>
      <c r="D106" s="2505" t="s">
        <v>2358</v>
      </c>
      <c r="E106" s="2508">
        <v>-1.673816442489624</v>
      </c>
      <c r="F106" s="2508">
        <v>0.47561332583427429</v>
      </c>
      <c r="G106" s="2508">
        <v>-0.49899369478225708</v>
      </c>
      <c r="H106" s="2508">
        <v>-0.79773622751235962</v>
      </c>
      <c r="I106" s="2508">
        <v>-0.8394349217414856</v>
      </c>
      <c r="J106" s="2508">
        <v>-0.75092244148254395</v>
      </c>
      <c r="K106" s="2508">
        <v>-0.68088173369566596</v>
      </c>
    </row>
    <row r="107" spans="1:11" x14ac:dyDescent="0.25">
      <c r="A107" s="2505">
        <v>2016</v>
      </c>
      <c r="B107" s="2505" t="s">
        <v>2359</v>
      </c>
      <c r="C107" s="2505" t="s">
        <v>2360</v>
      </c>
      <c r="D107" s="2505" t="s">
        <v>2361</v>
      </c>
      <c r="E107" s="2508">
        <v>0.82062095403671265</v>
      </c>
      <c r="F107" s="2508">
        <v>0.45159855484962463</v>
      </c>
      <c r="G107" s="2508">
        <v>1.0979008674621582</v>
      </c>
      <c r="H107" s="2508">
        <v>1.0856496095657349</v>
      </c>
      <c r="I107" s="2508">
        <v>0.40193992853164673</v>
      </c>
      <c r="J107" s="2508">
        <v>0.78576773405075073</v>
      </c>
      <c r="K107" s="2508">
        <v>0.77391294141610467</v>
      </c>
    </row>
    <row r="108" spans="1:11" x14ac:dyDescent="0.25">
      <c r="A108" s="2505">
        <v>2016</v>
      </c>
      <c r="B108" s="2505" t="s">
        <v>2362</v>
      </c>
      <c r="C108" s="2505" t="s">
        <v>2363</v>
      </c>
      <c r="D108" s="2505" t="s">
        <v>2364</v>
      </c>
      <c r="E108" s="2508">
        <v>-0.48074048757553101</v>
      </c>
      <c r="F108" s="2508">
        <v>-1.7193340063095093</v>
      </c>
      <c r="G108" s="2508">
        <v>-0.47065165638923645</v>
      </c>
      <c r="H108" s="2508">
        <v>-0.27719664573669434</v>
      </c>
      <c r="I108" s="2508">
        <v>-0.87835925817489624</v>
      </c>
      <c r="J108" s="2508">
        <v>-0.78613096475601196</v>
      </c>
      <c r="K108" s="2508">
        <v>-0.76873550315697992</v>
      </c>
    </row>
    <row r="109" spans="1:11" x14ac:dyDescent="0.25">
      <c r="A109" s="2505">
        <v>2016</v>
      </c>
      <c r="B109" s="2505" t="s">
        <v>2365</v>
      </c>
      <c r="C109" s="2505" t="s">
        <v>2366</v>
      </c>
      <c r="D109" s="2505" t="s">
        <v>2367</v>
      </c>
      <c r="E109" s="2508">
        <v>8.4193915128707886E-2</v>
      </c>
      <c r="F109" s="2508">
        <v>-0.10348720103502274</v>
      </c>
      <c r="G109" s="2508">
        <v>-0.67317026853561401</v>
      </c>
      <c r="H109" s="2508">
        <v>-0.39289471507072449</v>
      </c>
      <c r="I109" s="2508">
        <v>6.7474767565727234E-2</v>
      </c>
      <c r="J109" s="2508">
        <v>-0.17311060428619385</v>
      </c>
      <c r="K109" s="2508">
        <v>-0.19849901770552</v>
      </c>
    </row>
    <row r="110" spans="1:11" x14ac:dyDescent="0.25">
      <c r="A110" s="2505">
        <v>2016</v>
      </c>
      <c r="B110" s="2505" t="s">
        <v>2368</v>
      </c>
      <c r="C110" s="2505" t="s">
        <v>2369</v>
      </c>
      <c r="D110" s="2505" t="s">
        <v>2370</v>
      </c>
      <c r="E110" s="2508">
        <v>-0.25879541039466858</v>
      </c>
      <c r="F110" s="2508">
        <v>-0.73862528800964355</v>
      </c>
      <c r="G110" s="2508">
        <v>-1.3672908544540405</v>
      </c>
      <c r="H110" s="2508">
        <v>-0.88192129135131836</v>
      </c>
      <c r="I110" s="2508">
        <v>-0.61063688993453979</v>
      </c>
      <c r="J110" s="2508">
        <v>-0.87082868814468384</v>
      </c>
      <c r="K110" s="2508">
        <v>-0.78801640371481574</v>
      </c>
    </row>
    <row r="111" spans="1:11" x14ac:dyDescent="0.25">
      <c r="A111" s="2505">
        <v>2016</v>
      </c>
      <c r="B111" s="2505" t="s">
        <v>2371</v>
      </c>
      <c r="C111" s="2505" t="s">
        <v>2372</v>
      </c>
      <c r="D111" s="2505" t="s">
        <v>2373</v>
      </c>
      <c r="E111" s="2508">
        <v>-1.3663933277130127</v>
      </c>
      <c r="F111" s="2508">
        <v>-2.1981706619262695</v>
      </c>
      <c r="G111" s="2508">
        <v>-1.6971938610076904</v>
      </c>
      <c r="H111" s="2508">
        <v>-2.2371928691864014</v>
      </c>
      <c r="I111" s="2508">
        <v>-1.6947637796401978</v>
      </c>
      <c r="J111" s="2508">
        <v>-1.6884700059890747</v>
      </c>
      <c r="K111" s="2508">
        <v>-1.8136974175771077</v>
      </c>
    </row>
    <row r="112" spans="1:11" x14ac:dyDescent="0.25">
      <c r="A112" s="2505">
        <v>2016</v>
      </c>
      <c r="B112" s="2505" t="s">
        <v>2374</v>
      </c>
      <c r="C112" s="2505"/>
      <c r="D112" s="2505" t="s">
        <v>2375</v>
      </c>
      <c r="E112" s="2508">
        <v>1.3613654375076294</v>
      </c>
      <c r="F112" s="2508">
        <v>1.4556839466094971</v>
      </c>
      <c r="G112" s="2508">
        <v>1.6654379367828369</v>
      </c>
      <c r="H112" s="2508">
        <v>1.3837333917617798</v>
      </c>
      <c r="I112" s="2508">
        <v>2.0714633464813232</v>
      </c>
      <c r="J112" s="2508">
        <v>1.7051904201507568</v>
      </c>
      <c r="K112" s="2508">
        <v>1.6071457465489705</v>
      </c>
    </row>
    <row r="113" spans="1:11" x14ac:dyDescent="0.25">
      <c r="A113" s="2505">
        <v>2016</v>
      </c>
      <c r="B113" s="2505" t="s">
        <v>2376</v>
      </c>
      <c r="C113" s="2505" t="s">
        <v>2377</v>
      </c>
      <c r="D113" s="2505" t="s">
        <v>2378</v>
      </c>
      <c r="E113" s="2508">
        <v>0.96715503931045532</v>
      </c>
      <c r="F113" s="2508">
        <v>0.69889789819717407</v>
      </c>
      <c r="G113" s="2508">
        <v>1.2009108066558838</v>
      </c>
      <c r="H113" s="2508">
        <v>1.2801975011825562</v>
      </c>
      <c r="I113" s="2508">
        <v>0.55584985017776489</v>
      </c>
      <c r="J113" s="2508">
        <v>0.98427993059158325</v>
      </c>
      <c r="K113" s="2508">
        <v>0.94788183768590295</v>
      </c>
    </row>
    <row r="114" spans="1:11" x14ac:dyDescent="0.25">
      <c r="A114" s="2505">
        <v>2016</v>
      </c>
      <c r="B114" s="2505" t="s">
        <v>2379</v>
      </c>
      <c r="C114" s="2505" t="s">
        <v>2380</v>
      </c>
      <c r="D114" s="2505" t="s">
        <v>2381</v>
      </c>
      <c r="E114" s="2508">
        <v>1.5167871713638306</v>
      </c>
      <c r="F114" s="2508">
        <v>1.4079697132110596</v>
      </c>
      <c r="G114" s="2508">
        <v>1.7247706651687622</v>
      </c>
      <c r="H114" s="2508">
        <v>1.6735553741455078</v>
      </c>
      <c r="I114" s="2508">
        <v>2.1181995868682861</v>
      </c>
      <c r="J114" s="2508">
        <v>1.8645190000534058</v>
      </c>
      <c r="K114" s="2508">
        <v>1.7176335851351421</v>
      </c>
    </row>
    <row r="115" spans="1:11" x14ac:dyDescent="0.25">
      <c r="A115" s="2505">
        <v>2016</v>
      </c>
      <c r="B115" s="2505" t="s">
        <v>2382</v>
      </c>
      <c r="C115" s="2505" t="s">
        <v>2383</v>
      </c>
      <c r="D115" s="2505" t="s">
        <v>2384</v>
      </c>
      <c r="E115" s="2508">
        <v>-9.7398713231086731E-2</v>
      </c>
      <c r="F115" s="2508">
        <v>1.1592501401901245</v>
      </c>
      <c r="G115" s="2508">
        <v>1.4316443204879761</v>
      </c>
      <c r="H115" s="2508">
        <v>1.7366840839385986</v>
      </c>
      <c r="I115" s="2508">
        <v>0.61994564533233643</v>
      </c>
      <c r="J115" s="2508">
        <v>0.9082304835319519</v>
      </c>
      <c r="K115" s="2508">
        <v>0.95972599337498343</v>
      </c>
    </row>
    <row r="116" spans="1:11" x14ac:dyDescent="0.25">
      <c r="A116" s="2505">
        <v>2016</v>
      </c>
      <c r="B116" s="2505" t="s">
        <v>2385</v>
      </c>
      <c r="C116" s="2505" t="s">
        <v>2386</v>
      </c>
      <c r="D116" s="2505" t="s">
        <v>2387</v>
      </c>
      <c r="E116" s="2508">
        <v>-0.17618319392204285</v>
      </c>
      <c r="F116" s="2508">
        <v>-0.19763515889644623</v>
      </c>
      <c r="G116" s="2508">
        <v>0.12611375749111176</v>
      </c>
      <c r="H116" s="2508">
        <v>0.44666138291358948</v>
      </c>
      <c r="I116" s="2508">
        <v>-0.12540479004383087</v>
      </c>
      <c r="J116" s="2508">
        <v>-0.17356464266777039</v>
      </c>
      <c r="K116" s="2508">
        <v>-1.666877418756485E-2</v>
      </c>
    </row>
    <row r="117" spans="1:11" x14ac:dyDescent="0.25">
      <c r="A117" s="2505">
        <v>2016</v>
      </c>
      <c r="B117" s="2505" t="s">
        <v>2388</v>
      </c>
      <c r="C117" s="2505" t="s">
        <v>2389</v>
      </c>
      <c r="D117" s="2505" t="s">
        <v>2390</v>
      </c>
      <c r="E117" s="2508">
        <v>-0.41596800088882446</v>
      </c>
      <c r="F117" s="2508">
        <v>-0.4025290310382843</v>
      </c>
      <c r="G117" s="2508">
        <v>-1.2920991182327271</v>
      </c>
      <c r="H117" s="2508">
        <v>-0.75726443529129028</v>
      </c>
      <c r="I117" s="2508">
        <v>-0.75901311635971069</v>
      </c>
      <c r="J117" s="2508">
        <v>-0.69438111782073975</v>
      </c>
      <c r="K117" s="2508">
        <v>-0.72020913660526276</v>
      </c>
    </row>
    <row r="118" spans="1:11" x14ac:dyDescent="0.25">
      <c r="A118" s="2505">
        <v>2016</v>
      </c>
      <c r="B118" s="2505" t="s">
        <v>2391</v>
      </c>
      <c r="C118" s="2505" t="s">
        <v>2392</v>
      </c>
      <c r="D118" s="2505" t="s">
        <v>2393</v>
      </c>
      <c r="E118" s="2508">
        <v>-1.1193712241947651E-2</v>
      </c>
      <c r="F118" s="2508">
        <v>-6.50772824883461E-2</v>
      </c>
      <c r="G118" s="2508">
        <v>-0.6748693585395813</v>
      </c>
      <c r="H118" s="2508">
        <v>-0.81886118650436401</v>
      </c>
      <c r="I118" s="2508">
        <v>-0.76339125633239746</v>
      </c>
      <c r="J118" s="2508">
        <v>-0.33253362774848938</v>
      </c>
      <c r="K118" s="2508">
        <v>-0.44432107064252097</v>
      </c>
    </row>
    <row r="119" spans="1:11" x14ac:dyDescent="0.25">
      <c r="A119" s="2505">
        <v>2016</v>
      </c>
      <c r="B119" s="2505" t="s">
        <v>2394</v>
      </c>
      <c r="C119" s="2505" t="s">
        <v>2395</v>
      </c>
      <c r="D119" s="2505" t="s">
        <v>2396</v>
      </c>
      <c r="E119" s="2508">
        <v>-0.34707796573638916</v>
      </c>
      <c r="F119" s="2508">
        <v>0.19116458296775818</v>
      </c>
      <c r="G119" s="2508">
        <v>0.96442770957946777</v>
      </c>
      <c r="H119" s="2508">
        <v>0.77194219827651978</v>
      </c>
      <c r="I119" s="2508">
        <v>0.28421443700790405</v>
      </c>
      <c r="J119" s="2508">
        <v>0.57428431510925293</v>
      </c>
      <c r="K119" s="2508">
        <v>0.40649254620075226</v>
      </c>
    </row>
    <row r="120" spans="1:11" x14ac:dyDescent="0.25">
      <c r="A120" s="2505">
        <v>2016</v>
      </c>
      <c r="B120" s="2505" t="s">
        <v>2397</v>
      </c>
      <c r="C120" s="2505"/>
      <c r="D120" s="2505" t="s">
        <v>2398</v>
      </c>
      <c r="E120" s="2508">
        <v>-0.49640876054763794</v>
      </c>
      <c r="F120" s="2508">
        <v>0.47848820686340332</v>
      </c>
      <c r="G120" s="2508">
        <v>-0.38202518224716187</v>
      </c>
      <c r="H120" s="2508">
        <v>-0.42392241954803467</v>
      </c>
      <c r="I120" s="2508">
        <v>-0.2714783251285553</v>
      </c>
      <c r="J120" s="2508">
        <v>-0.5189814567565918</v>
      </c>
      <c r="K120" s="2508">
        <v>-0.26905465622742969</v>
      </c>
    </row>
    <row r="121" spans="1:11" x14ac:dyDescent="0.25">
      <c r="A121" s="2505">
        <v>2016</v>
      </c>
      <c r="B121" s="2505" t="s">
        <v>2399</v>
      </c>
      <c r="C121" s="2505" t="s">
        <v>2400</v>
      </c>
      <c r="D121" s="2505" t="s">
        <v>2401</v>
      </c>
      <c r="E121" s="2508">
        <v>-0.2423243522644043</v>
      </c>
      <c r="F121" s="2508">
        <v>-1.6574001312255859</v>
      </c>
      <c r="G121" s="2508">
        <v>-0.91128253936767578</v>
      </c>
      <c r="H121" s="2508">
        <v>-0.56955146789550781</v>
      </c>
      <c r="I121" s="2508">
        <v>-0.64649826288223267</v>
      </c>
      <c r="J121" s="2508">
        <v>-0.75611132383346558</v>
      </c>
      <c r="K121" s="2508">
        <v>-0.79719467957814538</v>
      </c>
    </row>
    <row r="122" spans="1:11" x14ac:dyDescent="0.25">
      <c r="A122" s="2505">
        <v>2016</v>
      </c>
      <c r="B122" s="2505" t="s">
        <v>2402</v>
      </c>
      <c r="C122" s="2505" t="s">
        <v>2403</v>
      </c>
      <c r="D122" s="2505" t="s">
        <v>2404</v>
      </c>
      <c r="E122" s="2508">
        <v>1.1844415664672852</v>
      </c>
      <c r="F122" s="2508">
        <v>1.0399590730667114</v>
      </c>
      <c r="G122" s="2508">
        <v>0.85095900297164917</v>
      </c>
      <c r="H122" s="2508">
        <v>1.1746784448623657</v>
      </c>
      <c r="I122" s="2508">
        <v>0.91636139154434204</v>
      </c>
      <c r="J122" s="2508">
        <v>1.1534494161605835</v>
      </c>
      <c r="K122" s="2508">
        <v>1.0533081491788228</v>
      </c>
    </row>
    <row r="123" spans="1:11" x14ac:dyDescent="0.25">
      <c r="A123" s="2505">
        <v>2016</v>
      </c>
      <c r="B123" s="2505" t="s">
        <v>2405</v>
      </c>
      <c r="C123" s="2505" t="s">
        <v>2406</v>
      </c>
      <c r="D123" s="2505" t="s">
        <v>2407</v>
      </c>
      <c r="E123" s="2508">
        <v>1.2089513540267944</v>
      </c>
      <c r="F123" s="2508">
        <v>0.99643272161483765</v>
      </c>
      <c r="G123" s="2508">
        <v>-1.5973597764968872</v>
      </c>
      <c r="H123" s="2508">
        <v>-1.1236096620559692</v>
      </c>
      <c r="I123" s="2508">
        <v>-0.10448829084634781</v>
      </c>
      <c r="J123" s="2508">
        <v>-0.20475673675537109</v>
      </c>
      <c r="K123" s="2508">
        <v>-0.13747173175215721</v>
      </c>
    </row>
    <row r="124" spans="1:11" x14ac:dyDescent="0.25">
      <c r="A124" s="2505">
        <v>2016</v>
      </c>
      <c r="B124" s="2505" t="s">
        <v>2408</v>
      </c>
      <c r="C124" s="2505"/>
      <c r="D124" s="2505" t="s">
        <v>2409</v>
      </c>
      <c r="E124" s="2508"/>
      <c r="F124" s="2508">
        <v>1.006244421005249</v>
      </c>
      <c r="G124" s="2508">
        <v>0.72430133819580078</v>
      </c>
      <c r="H124" s="2508">
        <v>1.2538580894470215</v>
      </c>
      <c r="I124" s="2508">
        <v>1.2460027933120728</v>
      </c>
      <c r="J124" s="2508">
        <v>-2.1503739058971405E-2</v>
      </c>
      <c r="K124" s="2508">
        <v>0.84178058058023453</v>
      </c>
    </row>
    <row r="125" spans="1:11" x14ac:dyDescent="0.25">
      <c r="A125" s="2505">
        <v>2016</v>
      </c>
      <c r="B125" s="2505" t="s">
        <v>2410</v>
      </c>
      <c r="C125" s="2505" t="s">
        <v>2411</v>
      </c>
      <c r="D125" s="2505" t="s">
        <v>2412</v>
      </c>
      <c r="E125" s="2508">
        <v>-0.90747332572937012</v>
      </c>
      <c r="F125" s="2508">
        <v>-0.65641903877258301</v>
      </c>
      <c r="G125" s="2508">
        <v>-1.0285876989364624</v>
      </c>
      <c r="H125" s="2508">
        <v>-0.85853016376495361</v>
      </c>
      <c r="I125" s="2508">
        <v>-0.90605014562606812</v>
      </c>
      <c r="J125" s="2508">
        <v>-0.82022547721862793</v>
      </c>
      <c r="K125" s="2508">
        <v>-0.86288097500801086</v>
      </c>
    </row>
    <row r="126" spans="1:11" x14ac:dyDescent="0.25">
      <c r="A126" s="2505">
        <v>2016</v>
      </c>
      <c r="B126" s="2505" t="s">
        <v>2413</v>
      </c>
      <c r="C126" s="2505" t="s">
        <v>2414</v>
      </c>
      <c r="D126" s="2505" t="s">
        <v>2415</v>
      </c>
      <c r="E126" s="2508">
        <v>0.81314098834991455</v>
      </c>
      <c r="F126" s="2508">
        <v>0.94916188716888428</v>
      </c>
      <c r="G126" s="2508">
        <v>1.0358154773712158</v>
      </c>
      <c r="H126" s="2508">
        <v>1.0886077880859375</v>
      </c>
      <c r="I126" s="2508">
        <v>0.40089231729507446</v>
      </c>
      <c r="J126" s="2508">
        <v>0.85393732786178589</v>
      </c>
      <c r="K126" s="2508">
        <v>0.85692596435546875</v>
      </c>
    </row>
    <row r="127" spans="1:11" x14ac:dyDescent="0.25">
      <c r="A127" s="2505">
        <v>2016</v>
      </c>
      <c r="B127" s="2505" t="s">
        <v>2416</v>
      </c>
      <c r="C127" s="2505" t="s">
        <v>2417</v>
      </c>
      <c r="D127" s="2505" t="s">
        <v>2418</v>
      </c>
      <c r="E127" s="2508">
        <v>-0.12751290202140808</v>
      </c>
      <c r="F127" s="2508">
        <v>-0.87379270792007446</v>
      </c>
      <c r="G127" s="2508">
        <v>0.21091040968894958</v>
      </c>
      <c r="H127" s="2508">
        <v>0.40004640817642212</v>
      </c>
      <c r="I127" s="2508">
        <v>-0.7421036958694458</v>
      </c>
      <c r="J127" s="2508">
        <v>-0.4698735773563385</v>
      </c>
      <c r="K127" s="2508">
        <v>-0.26705434421698254</v>
      </c>
    </row>
    <row r="128" spans="1:11" x14ac:dyDescent="0.25">
      <c r="A128" s="2505">
        <v>2016</v>
      </c>
      <c r="B128" s="2505" t="s">
        <v>2419</v>
      </c>
      <c r="C128" s="2505" t="s">
        <v>2420</v>
      </c>
      <c r="D128" s="2505" t="s">
        <v>2421</v>
      </c>
      <c r="E128" s="2508">
        <v>1.1647300720214844</v>
      </c>
      <c r="F128" s="2508">
        <v>1.0667146444320679</v>
      </c>
      <c r="G128" s="2508">
        <v>-0.41716101765632629</v>
      </c>
      <c r="H128" s="2508">
        <v>-0.99243903160095215</v>
      </c>
      <c r="I128" s="2508">
        <v>0.71801477670669556</v>
      </c>
      <c r="J128" s="2508">
        <v>-0.30598121881484985</v>
      </c>
      <c r="K128" s="2508">
        <v>0.20564637084801993</v>
      </c>
    </row>
    <row r="129" spans="1:11" x14ac:dyDescent="0.25">
      <c r="A129" s="2505">
        <v>2016</v>
      </c>
      <c r="B129" s="2505" t="s">
        <v>2422</v>
      </c>
      <c r="C129" s="2505" t="s">
        <v>2423</v>
      </c>
      <c r="D129" s="2505" t="s">
        <v>2424</v>
      </c>
      <c r="E129" s="2508">
        <v>-3.315671905875206E-2</v>
      </c>
      <c r="F129" s="2508">
        <v>-0.39182212948799133</v>
      </c>
      <c r="G129" s="2508">
        <v>-0.63101041316986084</v>
      </c>
      <c r="H129" s="2508">
        <v>-5.3089708089828491E-2</v>
      </c>
      <c r="I129" s="2508">
        <v>-0.88472044467926025</v>
      </c>
      <c r="J129" s="2508">
        <v>-0.40210101008415222</v>
      </c>
      <c r="K129" s="2508">
        <v>-0.39931673742830753</v>
      </c>
    </row>
    <row r="130" spans="1:11" x14ac:dyDescent="0.25">
      <c r="A130" s="2505">
        <v>2016</v>
      </c>
      <c r="B130" s="2505" t="s">
        <v>2425</v>
      </c>
      <c r="C130" s="2505"/>
      <c r="D130" s="2505" t="s">
        <v>2426</v>
      </c>
      <c r="E130" s="2508">
        <v>1.0468066930770874</v>
      </c>
      <c r="F130" s="2508">
        <v>1.0203245878219604</v>
      </c>
      <c r="G130" s="2508"/>
      <c r="H130" s="2508"/>
      <c r="I130" s="2508"/>
      <c r="J130" s="2508"/>
      <c r="K130" s="2508">
        <v>1.0335656404495239</v>
      </c>
    </row>
    <row r="131" spans="1:11" x14ac:dyDescent="0.25">
      <c r="A131" s="2505">
        <v>2016</v>
      </c>
      <c r="B131" s="2505" t="s">
        <v>2427</v>
      </c>
      <c r="C131" s="2505" t="s">
        <v>2428</v>
      </c>
      <c r="D131" s="2505" t="s">
        <v>2429</v>
      </c>
      <c r="E131" s="2508">
        <v>0.23904731869697571</v>
      </c>
      <c r="F131" s="2508">
        <v>0.64933222532272339</v>
      </c>
      <c r="G131" s="2508">
        <v>-0.40359732508659363</v>
      </c>
      <c r="H131" s="2508">
        <v>-0.33277907967567444</v>
      </c>
      <c r="I131" s="2508">
        <v>-0.46647515892982483</v>
      </c>
      <c r="J131" s="2508">
        <v>-0.3905489444732666</v>
      </c>
      <c r="K131" s="2508">
        <v>-0.11750349402427673</v>
      </c>
    </row>
    <row r="132" spans="1:11" x14ac:dyDescent="0.25">
      <c r="A132" s="2505">
        <v>2016</v>
      </c>
      <c r="B132" s="2505" t="s">
        <v>2430</v>
      </c>
      <c r="C132" s="2505"/>
      <c r="D132" s="2505" t="s">
        <v>2431</v>
      </c>
      <c r="E132" s="2508">
        <v>0.1540198028087616</v>
      </c>
      <c r="F132" s="2508">
        <v>0.12815335392951965</v>
      </c>
      <c r="G132" s="2508">
        <v>0.16119657456874847</v>
      </c>
      <c r="H132" s="2508">
        <v>0.22526928782463074</v>
      </c>
      <c r="I132" s="2508">
        <v>-9.0917959809303284E-2</v>
      </c>
      <c r="J132" s="2508">
        <v>3.263792023062706E-2</v>
      </c>
      <c r="K132" s="2508">
        <v>0.10172649659216404</v>
      </c>
    </row>
    <row r="133" spans="1:11" x14ac:dyDescent="0.25">
      <c r="A133" s="2505">
        <v>2016</v>
      </c>
      <c r="B133" s="2505" t="s">
        <v>2432</v>
      </c>
      <c r="C133" s="2505" t="s">
        <v>2433</v>
      </c>
      <c r="D133" s="2505" t="s">
        <v>2434</v>
      </c>
      <c r="E133" s="2508">
        <v>-0.65993553400039673</v>
      </c>
      <c r="F133" s="2508">
        <v>-0.33617779612541199</v>
      </c>
      <c r="G133" s="2508">
        <v>-6.0515675693750381E-2</v>
      </c>
      <c r="H133" s="2508">
        <v>-0.1724199652671814</v>
      </c>
      <c r="I133" s="2508">
        <v>-0.24881426990032196</v>
      </c>
      <c r="J133" s="2508">
        <v>-7.7039629220962524E-2</v>
      </c>
      <c r="K133" s="2508">
        <v>-0.25915047836800414</v>
      </c>
    </row>
    <row r="134" spans="1:11" x14ac:dyDescent="0.25">
      <c r="A134" s="2505">
        <v>2016</v>
      </c>
      <c r="B134" s="2505" t="s">
        <v>2435</v>
      </c>
      <c r="C134" s="2505" t="s">
        <v>2436</v>
      </c>
      <c r="D134" s="2505" t="s">
        <v>2437</v>
      </c>
      <c r="E134" s="2508">
        <v>-0.28131267428398132</v>
      </c>
      <c r="F134" s="2508">
        <v>-0.57676279544830322</v>
      </c>
      <c r="G134" s="2508">
        <v>-0.74171745777130127</v>
      </c>
      <c r="H134" s="2508">
        <v>-0.49483248591423035</v>
      </c>
      <c r="I134" s="2508">
        <v>-0.78520119190216064</v>
      </c>
      <c r="J134" s="2508">
        <v>-0.86653620004653931</v>
      </c>
      <c r="K134" s="2508">
        <v>-0.62439380089441932</v>
      </c>
    </row>
    <row r="135" spans="1:11" x14ac:dyDescent="0.25">
      <c r="A135" s="2505">
        <v>2016</v>
      </c>
      <c r="B135" s="2505" t="s">
        <v>2438</v>
      </c>
      <c r="C135" s="2505" t="s">
        <v>861</v>
      </c>
      <c r="D135" s="2505" t="s">
        <v>2439</v>
      </c>
      <c r="E135" s="2508">
        <v>-1.2971760034561157</v>
      </c>
      <c r="F135" s="2508">
        <v>-1.1699678897857666</v>
      </c>
      <c r="G135" s="2508">
        <v>-1.2379392385482788</v>
      </c>
      <c r="H135" s="2508">
        <v>-1.2622287273406982</v>
      </c>
      <c r="I135" s="2508">
        <v>-0.89350646734237671</v>
      </c>
      <c r="J135" s="2508">
        <v>-1.2209875583648682</v>
      </c>
      <c r="K135" s="2508">
        <v>-1.1803009808063507</v>
      </c>
    </row>
    <row r="136" spans="1:11" x14ac:dyDescent="0.25">
      <c r="A136" s="2505">
        <v>2016</v>
      </c>
      <c r="B136" s="2505" t="s">
        <v>2440</v>
      </c>
      <c r="C136" s="2505" t="s">
        <v>2441</v>
      </c>
      <c r="D136" s="2505" t="s">
        <v>2442</v>
      </c>
      <c r="E136" s="2508">
        <v>0.56084823608398438</v>
      </c>
      <c r="F136" s="2508">
        <v>0.64788252115249634</v>
      </c>
      <c r="G136" s="2508">
        <v>0.2578168511390686</v>
      </c>
      <c r="H136" s="2508">
        <v>-8.2292243838310242E-2</v>
      </c>
      <c r="I136" s="2508">
        <v>0.27636739611625671</v>
      </c>
      <c r="J136" s="2508">
        <v>0.18928436934947968</v>
      </c>
      <c r="K136" s="2508">
        <v>0.30831785500049591</v>
      </c>
    </row>
    <row r="137" spans="1:11" x14ac:dyDescent="0.25">
      <c r="A137" s="2505">
        <v>2016</v>
      </c>
      <c r="B137" s="2505" t="s">
        <v>2443</v>
      </c>
      <c r="C137" s="2505"/>
      <c r="D137" s="2505" t="s">
        <v>2444</v>
      </c>
      <c r="E137" s="2508">
        <v>0.57511347532272339</v>
      </c>
      <c r="F137" s="2508">
        <v>0.60532951354980469</v>
      </c>
      <c r="G137" s="2508">
        <v>-0.56581240892410278</v>
      </c>
      <c r="H137" s="2508">
        <v>-1.2394498586654663</v>
      </c>
      <c r="I137" s="2508">
        <v>-0.47576147317886353</v>
      </c>
      <c r="J137" s="2508">
        <v>-1.1571376323699951</v>
      </c>
      <c r="K137" s="2508">
        <v>-0.37628639737764996</v>
      </c>
    </row>
    <row r="138" spans="1:11" x14ac:dyDescent="0.25">
      <c r="A138" s="2505">
        <v>2016</v>
      </c>
      <c r="B138" s="2505" t="s">
        <v>2445</v>
      </c>
      <c r="C138" s="2505" t="s">
        <v>2446</v>
      </c>
      <c r="D138" s="2505" t="s">
        <v>2447</v>
      </c>
      <c r="E138" s="2508">
        <v>-0.43007147312164307</v>
      </c>
      <c r="F138" s="2508">
        <v>-0.92545771598815918</v>
      </c>
      <c r="G138" s="2508">
        <v>-1.0434798002243042</v>
      </c>
      <c r="H138" s="2508">
        <v>-0.78532588481903076</v>
      </c>
      <c r="I138" s="2508">
        <v>-0.54849427938461304</v>
      </c>
      <c r="J138" s="2508">
        <v>-0.70126485824584961</v>
      </c>
      <c r="K138" s="2508">
        <v>-0.73901566863059998</v>
      </c>
    </row>
    <row r="139" spans="1:11" x14ac:dyDescent="0.25">
      <c r="A139" s="2505">
        <v>2016</v>
      </c>
      <c r="B139" s="2505" t="s">
        <v>2448</v>
      </c>
      <c r="C139" s="2505" t="s">
        <v>2449</v>
      </c>
      <c r="D139" s="2505" t="s">
        <v>2450</v>
      </c>
      <c r="E139" s="2508">
        <v>1.5696234703063965</v>
      </c>
      <c r="F139" s="2508">
        <v>0.92999845743179321</v>
      </c>
      <c r="G139" s="2508">
        <v>1.8417928218841553</v>
      </c>
      <c r="H139" s="2508">
        <v>1.7688442468643188</v>
      </c>
      <c r="I139" s="2508">
        <v>1.8921108245849609</v>
      </c>
      <c r="J139" s="2508">
        <v>1.9346864223480225</v>
      </c>
      <c r="K139" s="2508">
        <v>1.6561760405699413</v>
      </c>
    </row>
    <row r="140" spans="1:11" x14ac:dyDescent="0.25">
      <c r="A140" s="2505">
        <v>2016</v>
      </c>
      <c r="B140" s="2505" t="s">
        <v>2451</v>
      </c>
      <c r="C140" s="2505"/>
      <c r="D140" s="2505" t="s">
        <v>2452</v>
      </c>
      <c r="E140" s="2508"/>
      <c r="F140" s="2508"/>
      <c r="G140" s="2508"/>
      <c r="H140" s="2508"/>
      <c r="I140" s="2508"/>
      <c r="J140" s="2508"/>
      <c r="K140" s="2508" t="s">
        <v>2186</v>
      </c>
    </row>
    <row r="141" spans="1:11" x14ac:dyDescent="0.25">
      <c r="A141" s="2505">
        <v>2016</v>
      </c>
      <c r="B141" s="2505" t="s">
        <v>2453</v>
      </c>
      <c r="C141" s="2505" t="s">
        <v>2454</v>
      </c>
      <c r="D141" s="2505" t="s">
        <v>2455</v>
      </c>
      <c r="E141" s="2508">
        <v>1.574837327003479</v>
      </c>
      <c r="F141" s="2508">
        <v>1.4908422231674194</v>
      </c>
      <c r="G141" s="2508">
        <v>1.8901094198226929</v>
      </c>
      <c r="H141" s="2508">
        <v>1.9475934505462646</v>
      </c>
      <c r="I141" s="2508">
        <v>2.2912664413452148</v>
      </c>
      <c r="J141" s="2508">
        <v>2.0208773612976074</v>
      </c>
      <c r="K141" s="2508">
        <v>1.8692543705304463</v>
      </c>
    </row>
    <row r="142" spans="1:11" x14ac:dyDescent="0.25">
      <c r="A142" s="2505">
        <v>2016</v>
      </c>
      <c r="B142" s="2505" t="s">
        <v>2456</v>
      </c>
      <c r="C142" s="2505" t="s">
        <v>2457</v>
      </c>
      <c r="D142" s="2505" t="s">
        <v>2458</v>
      </c>
      <c r="E142" s="2508">
        <v>-0.38527265191078186</v>
      </c>
      <c r="F142" s="2508">
        <v>-3.3609986305236816E-2</v>
      </c>
      <c r="G142" s="2508">
        <v>-0.80302226543426514</v>
      </c>
      <c r="H142" s="2508">
        <v>-0.42913305759429932</v>
      </c>
      <c r="I142" s="2508">
        <v>-0.87434226274490356</v>
      </c>
      <c r="J142" s="2508">
        <v>-0.69724786281585693</v>
      </c>
      <c r="K142" s="2508">
        <v>-0.53710468113422394</v>
      </c>
    </row>
    <row r="143" spans="1:11" x14ac:dyDescent="0.25">
      <c r="A143" s="2505">
        <v>2016</v>
      </c>
      <c r="B143" s="2505" t="s">
        <v>2459</v>
      </c>
      <c r="C143" s="2505" t="s">
        <v>2460</v>
      </c>
      <c r="D143" s="2505" t="s">
        <v>2461</v>
      </c>
      <c r="E143" s="2508">
        <v>-0.25258016586303711</v>
      </c>
      <c r="F143" s="2508">
        <v>-0.97755074501037598</v>
      </c>
      <c r="G143" s="2508">
        <v>-0.60729223489761353</v>
      </c>
      <c r="H143" s="2508">
        <v>-0.72568386793136597</v>
      </c>
      <c r="I143" s="2508">
        <v>-0.58401167392730713</v>
      </c>
      <c r="J143" s="2508">
        <v>-0.60641753673553467</v>
      </c>
      <c r="K143" s="2508">
        <v>-0.62558937072753906</v>
      </c>
    </row>
    <row r="144" spans="1:11" x14ac:dyDescent="0.25">
      <c r="A144" s="2505">
        <v>2016</v>
      </c>
      <c r="B144" s="2505" t="s">
        <v>2462</v>
      </c>
      <c r="C144" s="2505" t="s">
        <v>2463</v>
      </c>
      <c r="D144" s="2505" t="s">
        <v>2464</v>
      </c>
      <c r="E144" s="2508">
        <v>-0.4371989369392395</v>
      </c>
      <c r="F144" s="2508">
        <v>-2.0709612369537354</v>
      </c>
      <c r="G144" s="2508">
        <v>-0.95197808742523193</v>
      </c>
      <c r="H144" s="2508">
        <v>-0.8406447172164917</v>
      </c>
      <c r="I144" s="2508">
        <v>-1.096474289894104</v>
      </c>
      <c r="J144" s="2508">
        <v>-1.0446757078170776</v>
      </c>
      <c r="K144" s="2508">
        <v>-1.0736554960409801</v>
      </c>
    </row>
    <row r="145" spans="1:11" x14ac:dyDescent="0.25">
      <c r="A145" s="2505">
        <v>2016</v>
      </c>
      <c r="B145" s="2505" t="s">
        <v>2465</v>
      </c>
      <c r="C145" s="2505"/>
      <c r="D145" s="2505" t="s">
        <v>2466</v>
      </c>
      <c r="E145" s="2508"/>
      <c r="F145" s="2508"/>
      <c r="G145" s="2508"/>
      <c r="H145" s="2508"/>
      <c r="I145" s="2508"/>
      <c r="J145" s="2508"/>
      <c r="K145" s="2508" t="s">
        <v>2186</v>
      </c>
    </row>
    <row r="146" spans="1:11" x14ac:dyDescent="0.25">
      <c r="A146" s="2505">
        <v>2016</v>
      </c>
      <c r="B146" s="2505" t="s">
        <v>2467</v>
      </c>
      <c r="C146" s="2505" t="s">
        <v>104</v>
      </c>
      <c r="D146" s="2505" t="s">
        <v>2468</v>
      </c>
      <c r="E146" s="2508">
        <v>1.7021715641021729</v>
      </c>
      <c r="F146" s="2508">
        <v>1.1479940414428711</v>
      </c>
      <c r="G146" s="2508">
        <v>1.8622260093688965</v>
      </c>
      <c r="H146" s="2508">
        <v>1.6335217952728271</v>
      </c>
      <c r="I146" s="2508">
        <v>2.2612028121948242</v>
      </c>
      <c r="J146" s="2508">
        <v>2.0223805904388428</v>
      </c>
      <c r="K146" s="2508">
        <v>1.771582802136739</v>
      </c>
    </row>
    <row r="147" spans="1:11" x14ac:dyDescent="0.25">
      <c r="A147" s="2505">
        <v>2016</v>
      </c>
      <c r="B147" s="2505" t="s">
        <v>2469</v>
      </c>
      <c r="C147" s="2505" t="s">
        <v>2470</v>
      </c>
      <c r="D147" s="2505" t="s">
        <v>2471</v>
      </c>
      <c r="E147" s="2508">
        <v>-1.0289293527603149</v>
      </c>
      <c r="F147" s="2508">
        <v>0.69464582204818726</v>
      </c>
      <c r="G147" s="2508">
        <v>9.3591451644897461E-2</v>
      </c>
      <c r="H147" s="2508">
        <v>0.58222073316574097</v>
      </c>
      <c r="I147" s="2508">
        <v>0.20044891536235809</v>
      </c>
      <c r="J147" s="2508">
        <v>0.46245741844177246</v>
      </c>
      <c r="K147" s="2508">
        <v>0.16740583131710687</v>
      </c>
    </row>
    <row r="148" spans="1:11" x14ac:dyDescent="0.25">
      <c r="A148" s="2505">
        <v>2016</v>
      </c>
      <c r="B148" s="2505" t="s">
        <v>2472</v>
      </c>
      <c r="C148" s="2505" t="s">
        <v>2473</v>
      </c>
      <c r="D148" s="2505" t="s">
        <v>2474</v>
      </c>
      <c r="E148" s="2508">
        <v>-0.75730836391448975</v>
      </c>
      <c r="F148" s="2508">
        <v>-2.5440554618835449</v>
      </c>
      <c r="G148" s="2508">
        <v>-0.66135817766189575</v>
      </c>
      <c r="H148" s="2508">
        <v>-0.62352347373962402</v>
      </c>
      <c r="I148" s="2508">
        <v>-0.7612188458442688</v>
      </c>
      <c r="J148" s="2508">
        <v>-0.78842854499816895</v>
      </c>
      <c r="K148" s="2508">
        <v>-1.022648811340332</v>
      </c>
    </row>
    <row r="149" spans="1:11" x14ac:dyDescent="0.25">
      <c r="A149" s="2505">
        <v>2016</v>
      </c>
      <c r="B149" s="2505" t="s">
        <v>2475</v>
      </c>
      <c r="C149" s="2505" t="s">
        <v>2476</v>
      </c>
      <c r="D149" s="2505" t="s">
        <v>2477</v>
      </c>
      <c r="E149" s="2508">
        <v>1.2310619354248047</v>
      </c>
      <c r="F149" s="2508">
        <v>0.99643272161483765</v>
      </c>
      <c r="G149" s="2508">
        <v>-0.56581240892410278</v>
      </c>
      <c r="H149" s="2508">
        <v>-0.82253247499465942</v>
      </c>
      <c r="I149" s="2508">
        <v>-0.47576147317886353</v>
      </c>
      <c r="J149" s="2508">
        <v>0.22176393866539001</v>
      </c>
      <c r="K149" s="2508">
        <v>9.7525373101234436E-2</v>
      </c>
    </row>
    <row r="150" spans="1:11" x14ac:dyDescent="0.25">
      <c r="A150" s="2505">
        <v>2016</v>
      </c>
      <c r="B150" s="2505" t="s">
        <v>2478</v>
      </c>
      <c r="C150" s="2505" t="s">
        <v>2479</v>
      </c>
      <c r="D150" s="2505" t="s">
        <v>2480</v>
      </c>
      <c r="E150" s="2508">
        <v>0.5006832480430603</v>
      </c>
      <c r="F150" s="2508">
        <v>0.41258499026298523</v>
      </c>
      <c r="G150" s="2508">
        <v>0.2972748875617981</v>
      </c>
      <c r="H150" s="2508">
        <v>0.37498360872268677</v>
      </c>
      <c r="I150" s="2508">
        <v>-0.34322944283485413</v>
      </c>
      <c r="J150" s="2508">
        <v>-0.11880625039339066</v>
      </c>
      <c r="K150" s="2508">
        <v>0.18724850689371428</v>
      </c>
    </row>
    <row r="151" spans="1:11" x14ac:dyDescent="0.25">
      <c r="A151" s="2505">
        <v>2016</v>
      </c>
      <c r="B151" s="2505" t="s">
        <v>2481</v>
      </c>
      <c r="C151" s="2505" t="s">
        <v>2482</v>
      </c>
      <c r="D151" s="2505" t="s">
        <v>2483</v>
      </c>
      <c r="E151" s="2508">
        <v>6.3382610678672791E-2</v>
      </c>
      <c r="F151" s="2508">
        <v>-0.59673792123794556</v>
      </c>
      <c r="G151" s="2508">
        <v>-0.62090712785720825</v>
      </c>
      <c r="H151" s="2508">
        <v>-0.55417400598526001</v>
      </c>
      <c r="I151" s="2508">
        <v>-0.98734813928604126</v>
      </c>
      <c r="J151" s="2508">
        <v>-0.89320439100265503</v>
      </c>
      <c r="K151" s="2508">
        <v>-0.59816482911507285</v>
      </c>
    </row>
    <row r="152" spans="1:11" x14ac:dyDescent="0.25">
      <c r="A152" s="2505">
        <v>2016</v>
      </c>
      <c r="B152" s="2505" t="s">
        <v>2484</v>
      </c>
      <c r="C152" s="2505" t="s">
        <v>2485</v>
      </c>
      <c r="D152" s="2505" t="s">
        <v>2486</v>
      </c>
      <c r="E152" s="2508">
        <v>-0.11601346731185913</v>
      </c>
      <c r="F152" s="2508">
        <v>-2.3032950237393379E-2</v>
      </c>
      <c r="G152" s="2508">
        <v>-0.94503539800643921</v>
      </c>
      <c r="H152" s="2508">
        <v>-0.26720538735389709</v>
      </c>
      <c r="I152" s="2508">
        <v>-0.9402540922164917</v>
      </c>
      <c r="J152" s="2508">
        <v>-0.69498991966247559</v>
      </c>
      <c r="K152" s="2508">
        <v>-0.49775520246475935</v>
      </c>
    </row>
    <row r="153" spans="1:11" x14ac:dyDescent="0.25">
      <c r="A153" s="2505">
        <v>2016</v>
      </c>
      <c r="B153" s="2505" t="s">
        <v>2487</v>
      </c>
      <c r="C153" s="2505" t="s">
        <v>2488</v>
      </c>
      <c r="D153" s="2505" t="s">
        <v>2489</v>
      </c>
      <c r="E153" s="2508">
        <v>0.16089928150177002</v>
      </c>
      <c r="F153" s="2508">
        <v>-0.5053679347038269</v>
      </c>
      <c r="G153" s="2508">
        <v>-0.27753046154975891</v>
      </c>
      <c r="H153" s="2508">
        <v>0.49356541037559509</v>
      </c>
      <c r="I153" s="2508">
        <v>-0.59701991081237793</v>
      </c>
      <c r="J153" s="2508">
        <v>-0.531150221824646</v>
      </c>
      <c r="K153" s="2508">
        <v>-0.20943397283554077</v>
      </c>
    </row>
    <row r="154" spans="1:11" x14ac:dyDescent="0.25">
      <c r="A154" s="2505">
        <v>2016</v>
      </c>
      <c r="B154" s="2505" t="s">
        <v>2490</v>
      </c>
      <c r="C154" s="2505" t="s">
        <v>2491</v>
      </c>
      <c r="D154" s="2505" t="s">
        <v>2492</v>
      </c>
      <c r="E154" s="2508">
        <v>0.1368289440870285</v>
      </c>
      <c r="F154" s="2508">
        <v>-0.83832621574401855</v>
      </c>
      <c r="G154" s="2508">
        <v>0.10709220916032791</v>
      </c>
      <c r="H154" s="2508">
        <v>-3.6930382251739502E-2</v>
      </c>
      <c r="I154" s="2508">
        <v>-0.43005234003067017</v>
      </c>
      <c r="J154" s="2508">
        <v>-0.3450954258441925</v>
      </c>
      <c r="K154" s="2508">
        <v>-0.23441386843721071</v>
      </c>
    </row>
    <row r="155" spans="1:11" x14ac:dyDescent="0.25">
      <c r="A155" s="2505">
        <v>2016</v>
      </c>
      <c r="B155" s="2505" t="s">
        <v>2493</v>
      </c>
      <c r="C155" s="2505" t="s">
        <v>2494</v>
      </c>
      <c r="D155" s="2505" t="s">
        <v>2495</v>
      </c>
      <c r="E155" s="2508">
        <v>1.0449438095092773</v>
      </c>
      <c r="F155" s="2508">
        <v>0.87407916784286499</v>
      </c>
      <c r="G155" s="2508">
        <v>0.79975652694702148</v>
      </c>
      <c r="H155" s="2508">
        <v>0.99743062257766724</v>
      </c>
      <c r="I155" s="2508">
        <v>0.57971745729446411</v>
      </c>
      <c r="J155" s="2508">
        <v>0.79661089181900024</v>
      </c>
      <c r="K155" s="2508">
        <v>0.8487564126650492</v>
      </c>
    </row>
    <row r="156" spans="1:11" x14ac:dyDescent="0.25">
      <c r="A156" s="2505">
        <v>2016</v>
      </c>
      <c r="B156" s="2505" t="s">
        <v>2496</v>
      </c>
      <c r="C156" s="2505" t="s">
        <v>2497</v>
      </c>
      <c r="D156" s="2505" t="s">
        <v>2498</v>
      </c>
      <c r="E156" s="2508">
        <v>1.1225658655166626</v>
      </c>
      <c r="F156" s="2508">
        <v>0.87387007474899292</v>
      </c>
      <c r="G156" s="2508">
        <v>1.2324576377868652</v>
      </c>
      <c r="H156" s="2508">
        <v>0.94005054235458374</v>
      </c>
      <c r="I156" s="2508">
        <v>0.9183918833732605</v>
      </c>
      <c r="J156" s="2508">
        <v>1.143939733505249</v>
      </c>
      <c r="K156" s="2508">
        <v>1.0385459562142689</v>
      </c>
    </row>
    <row r="157" spans="1:11" x14ac:dyDescent="0.25">
      <c r="A157" s="2505">
        <v>2016</v>
      </c>
      <c r="B157" s="2505" t="s">
        <v>2499</v>
      </c>
      <c r="C157" s="2505" t="s">
        <v>2500</v>
      </c>
      <c r="D157" s="2505" t="s">
        <v>2501</v>
      </c>
      <c r="E157" s="2508">
        <v>0.36386024951934814</v>
      </c>
      <c r="F157" s="2508">
        <v>0.84477788209915161</v>
      </c>
      <c r="G157" s="2508">
        <v>0.37210395932197571</v>
      </c>
      <c r="H157" s="2508">
        <v>0.97783839702606201</v>
      </c>
      <c r="I157" s="2508">
        <v>0.13374988734722137</v>
      </c>
      <c r="J157" s="2508">
        <v>0.77689957618713379</v>
      </c>
      <c r="K157" s="2508">
        <v>0.5782049919168154</v>
      </c>
    </row>
    <row r="158" spans="1:11" x14ac:dyDescent="0.25">
      <c r="A158" s="2505">
        <v>2016</v>
      </c>
      <c r="B158" s="2505" t="s">
        <v>2502</v>
      </c>
      <c r="C158" s="2505" t="s">
        <v>2503</v>
      </c>
      <c r="D158" s="2505" t="s">
        <v>2504</v>
      </c>
      <c r="E158" s="2508">
        <v>-1.0117212533950806</v>
      </c>
      <c r="F158" s="2508">
        <v>0.97714203596115112</v>
      </c>
      <c r="G158" s="2508">
        <v>0.99563950300216675</v>
      </c>
      <c r="H158" s="2508">
        <v>0.69205158948898315</v>
      </c>
      <c r="I158" s="2508">
        <v>0.98433369398117065</v>
      </c>
      <c r="J158" s="2508">
        <v>0.88454675674438477</v>
      </c>
      <c r="K158" s="2508">
        <v>0.58699872096379602</v>
      </c>
    </row>
    <row r="159" spans="1:11" x14ac:dyDescent="0.25">
      <c r="A159" s="2505">
        <v>2016</v>
      </c>
      <c r="B159" s="2505" t="s">
        <v>2505</v>
      </c>
      <c r="C159" s="2505"/>
      <c r="D159" s="2505" t="s">
        <v>2506</v>
      </c>
      <c r="E159" s="2508"/>
      <c r="F159" s="2508">
        <v>0.32199451327323914</v>
      </c>
      <c r="G159" s="2508">
        <v>0.98131477832794189</v>
      </c>
      <c r="H159" s="2508">
        <v>1.2538580894470215</v>
      </c>
      <c r="I159" s="2508">
        <v>0.6671716570854187</v>
      </c>
      <c r="J159" s="2508">
        <v>1.1328566074371338</v>
      </c>
      <c r="K159" s="2508">
        <v>0.871439129114151</v>
      </c>
    </row>
    <row r="160" spans="1:11" x14ac:dyDescent="0.25">
      <c r="A160" s="2505">
        <v>2016</v>
      </c>
      <c r="B160" s="2505" t="s">
        <v>2507</v>
      </c>
      <c r="C160" s="2505" t="s">
        <v>2508</v>
      </c>
      <c r="D160" s="2505" t="s">
        <v>2509</v>
      </c>
      <c r="E160" s="2508">
        <v>0.42916402220726013</v>
      </c>
      <c r="F160" s="2508">
        <v>0.19590631127357483</v>
      </c>
      <c r="G160" s="2508">
        <v>-3.8319572806358337E-2</v>
      </c>
      <c r="H160" s="2508">
        <v>0.59079265594482422</v>
      </c>
      <c r="I160" s="2508">
        <v>-4.5815739780664444E-2</v>
      </c>
      <c r="J160" s="2508">
        <v>0.15341126918792725</v>
      </c>
      <c r="K160" s="2508">
        <v>0.2141898243377606</v>
      </c>
    </row>
    <row r="161" spans="1:11" x14ac:dyDescent="0.25">
      <c r="A161" s="2505">
        <v>2016</v>
      </c>
      <c r="B161" s="2505" t="s">
        <v>2510</v>
      </c>
      <c r="C161" s="2505" t="s">
        <v>2511</v>
      </c>
      <c r="D161" s="2505" t="s">
        <v>2512</v>
      </c>
      <c r="E161" s="2508">
        <v>-1.0674735307693481</v>
      </c>
      <c r="F161" s="2508">
        <v>-1.0490508079528809</v>
      </c>
      <c r="G161" s="2508">
        <v>-0.18261998891830444</v>
      </c>
      <c r="H161" s="2508">
        <v>-0.52240258455276489</v>
      </c>
      <c r="I161" s="2508">
        <v>-0.86261862516403198</v>
      </c>
      <c r="J161" s="2508">
        <v>-0.71967339515686035</v>
      </c>
      <c r="K161" s="2508">
        <v>-0.73397315541903174</v>
      </c>
    </row>
    <row r="162" spans="1:11" x14ac:dyDescent="0.25">
      <c r="A162" s="2505">
        <v>2016</v>
      </c>
      <c r="B162" s="2505" t="s">
        <v>2513</v>
      </c>
      <c r="C162" s="2505" t="s">
        <v>2514</v>
      </c>
      <c r="D162" s="2505" t="s">
        <v>2515</v>
      </c>
      <c r="E162" s="2508">
        <v>-1.130963921546936</v>
      </c>
      <c r="F162" s="2508">
        <v>-8.4811992943286896E-2</v>
      </c>
      <c r="G162" s="2508">
        <v>-3.9430532604455948E-2</v>
      </c>
      <c r="H162" s="2508">
        <v>0.24852848052978516</v>
      </c>
      <c r="I162" s="2508">
        <v>0.67203700542449951</v>
      </c>
      <c r="J162" s="2508">
        <v>7.1458064019680023E-2</v>
      </c>
      <c r="K162" s="2508">
        <v>-4.3863816186785698E-2</v>
      </c>
    </row>
    <row r="163" spans="1:11" x14ac:dyDescent="0.25">
      <c r="A163" s="2505">
        <v>2016</v>
      </c>
      <c r="B163" s="2505" t="s">
        <v>2516</v>
      </c>
      <c r="C163" s="2505" t="s">
        <v>2517</v>
      </c>
      <c r="D163" s="2505" t="s">
        <v>2518</v>
      </c>
      <c r="E163" s="2508">
        <v>0.74457740783691406</v>
      </c>
      <c r="F163" s="2508">
        <v>1.1992330551147461</v>
      </c>
      <c r="G163" s="2508">
        <v>0.48889276385307312</v>
      </c>
      <c r="H163" s="2508">
        <v>-9.7746655344963074E-2</v>
      </c>
      <c r="I163" s="2508">
        <v>0.30955782532691956</v>
      </c>
      <c r="J163" s="2508">
        <v>0.66710376739501953</v>
      </c>
      <c r="K163" s="2508">
        <v>0.55193636069695151</v>
      </c>
    </row>
    <row r="164" spans="1:11" x14ac:dyDescent="0.25">
      <c r="A164" s="2505">
        <v>2016</v>
      </c>
      <c r="B164" s="2505" t="s">
        <v>2519</v>
      </c>
      <c r="C164" s="2505"/>
      <c r="D164" s="2505" t="s">
        <v>2520</v>
      </c>
      <c r="E164" s="2508">
        <v>1.2200065851211548</v>
      </c>
      <c r="F164" s="2508">
        <v>0.99643272161483765</v>
      </c>
      <c r="G164" s="2508"/>
      <c r="H164" s="2508"/>
      <c r="I164" s="2508"/>
      <c r="J164" s="2508"/>
      <c r="K164" s="2508">
        <v>1.1082196533679962</v>
      </c>
    </row>
    <row r="165" spans="1:11" x14ac:dyDescent="0.25">
      <c r="A165" s="2505">
        <v>2016</v>
      </c>
      <c r="B165" s="2505" t="s">
        <v>2521</v>
      </c>
      <c r="C165" s="2505" t="s">
        <v>2522</v>
      </c>
      <c r="D165" s="2505" t="s">
        <v>2523</v>
      </c>
      <c r="E165" s="2508">
        <v>0.26780787110328674</v>
      </c>
      <c r="F165" s="2508">
        <v>0.18456409871578217</v>
      </c>
      <c r="G165" s="2508">
        <v>-0.75845342874526978</v>
      </c>
      <c r="H165" s="2508">
        <v>-0.77482068538665771</v>
      </c>
      <c r="I165" s="2508">
        <v>-0.19636255502700806</v>
      </c>
      <c r="J165" s="2508">
        <v>-0.81168127059936523</v>
      </c>
      <c r="K165" s="2508">
        <v>-0.34815766165653866</v>
      </c>
    </row>
    <row r="166" spans="1:11" x14ac:dyDescent="0.25">
      <c r="A166" s="2505">
        <v>2016</v>
      </c>
      <c r="B166" s="2505" t="s">
        <v>2524</v>
      </c>
      <c r="C166" s="2505" t="s">
        <v>2525</v>
      </c>
      <c r="D166" s="2505" t="s">
        <v>2526</v>
      </c>
      <c r="E166" s="2508">
        <v>-1.7588585615158081</v>
      </c>
      <c r="F166" s="2508">
        <v>-0.54437905550003052</v>
      </c>
      <c r="G166" s="2508">
        <v>0.21018575131893158</v>
      </c>
      <c r="H166" s="2508">
        <v>3.0352212488651276E-2</v>
      </c>
      <c r="I166" s="2508">
        <v>6.4029596745967865E-2</v>
      </c>
      <c r="J166" s="2508">
        <v>0.25393921136856079</v>
      </c>
      <c r="K166" s="2508">
        <v>-0.29078847418228787</v>
      </c>
    </row>
    <row r="167" spans="1:11" x14ac:dyDescent="0.25">
      <c r="A167" s="2505">
        <v>2016</v>
      </c>
      <c r="B167" s="2505" t="s">
        <v>2527</v>
      </c>
      <c r="C167" s="2505" t="s">
        <v>2528</v>
      </c>
      <c r="D167" s="2505" t="s">
        <v>2529</v>
      </c>
      <c r="E167" s="2508">
        <v>0.25176858901977539</v>
      </c>
      <c r="F167" s="2508">
        <v>-0.16936199367046356</v>
      </c>
      <c r="G167" s="2508">
        <v>-0.43514502048492432</v>
      </c>
      <c r="H167" s="2508">
        <v>-0.17893044650554657</v>
      </c>
      <c r="I167" s="2508">
        <v>3.069612942636013E-2</v>
      </c>
      <c r="J167" s="2508">
        <v>-0.15236808359622955</v>
      </c>
      <c r="K167" s="2508">
        <v>-0.10889013763517141</v>
      </c>
    </row>
    <row r="168" spans="1:11" x14ac:dyDescent="0.25">
      <c r="A168" s="2505">
        <v>2016</v>
      </c>
      <c r="B168" s="2505" t="s">
        <v>2530</v>
      </c>
      <c r="C168" s="2505" t="s">
        <v>2531</v>
      </c>
      <c r="D168" s="2505" t="s">
        <v>2532</v>
      </c>
      <c r="E168" s="2508">
        <v>0.23079171776771545</v>
      </c>
      <c r="F168" s="2508">
        <v>0.22656890749931335</v>
      </c>
      <c r="G168" s="2508">
        <v>0.11414071172475815</v>
      </c>
      <c r="H168" s="2508">
        <v>0.13581705093383789</v>
      </c>
      <c r="I168" s="2508">
        <v>-0.23912057280540466</v>
      </c>
      <c r="J168" s="2508">
        <v>-9.4955869019031525E-2</v>
      </c>
      <c r="K168" s="2508">
        <v>6.2206991016864777E-2</v>
      </c>
    </row>
    <row r="169" spans="1:11" x14ac:dyDescent="0.25">
      <c r="A169" s="2505">
        <v>2016</v>
      </c>
      <c r="B169" s="2505" t="s">
        <v>2533</v>
      </c>
      <c r="C169" s="2505" t="s">
        <v>2534</v>
      </c>
      <c r="D169" s="2505" t="s">
        <v>2535</v>
      </c>
      <c r="E169" s="2508">
        <v>6.4377829432487488E-2</v>
      </c>
      <c r="F169" s="2508">
        <v>0.69412600994110107</v>
      </c>
      <c r="G169" s="2508">
        <v>0.42825996875762939</v>
      </c>
      <c r="H169" s="2508">
        <v>-8.8118471205234528E-2</v>
      </c>
      <c r="I169" s="2508">
        <v>0.89011406898498535</v>
      </c>
      <c r="J169" s="2508">
        <v>0.19373711943626404</v>
      </c>
      <c r="K169" s="2508">
        <v>0.36374942089120549</v>
      </c>
    </row>
    <row r="170" spans="1:11" x14ac:dyDescent="0.25">
      <c r="A170" s="2505">
        <v>2016</v>
      </c>
      <c r="B170" s="2505" t="s">
        <v>2536</v>
      </c>
      <c r="C170" s="2505" t="s">
        <v>2537</v>
      </c>
      <c r="D170" s="2505" t="s">
        <v>2538</v>
      </c>
      <c r="E170" s="2508">
        <v>-0.30456084012985229</v>
      </c>
      <c r="F170" s="2508">
        <v>-9.8220705986022949E-2</v>
      </c>
      <c r="G170" s="2508">
        <v>-1.2576936483383179</v>
      </c>
      <c r="H170" s="2508">
        <v>-0.86657357215881348</v>
      </c>
      <c r="I170" s="2508">
        <v>-0.7780110239982605</v>
      </c>
      <c r="J170" s="2508">
        <v>-0.90281409025192261</v>
      </c>
      <c r="K170" s="2508">
        <v>-0.70131231347719825</v>
      </c>
    </row>
    <row r="171" spans="1:11" x14ac:dyDescent="0.25">
      <c r="A171" s="2505">
        <v>2016</v>
      </c>
      <c r="B171" s="2505" t="s">
        <v>2539</v>
      </c>
      <c r="C171" s="2505" t="s">
        <v>2540</v>
      </c>
      <c r="D171" s="2505" t="s">
        <v>2541</v>
      </c>
      <c r="E171" s="2508">
        <v>-0.14022816717624664</v>
      </c>
      <c r="F171" s="2508">
        <v>1.2373545169830322</v>
      </c>
      <c r="G171" s="2508">
        <v>2.2521286010742187</v>
      </c>
      <c r="H171" s="2508">
        <v>2.2628836631774902</v>
      </c>
      <c r="I171" s="2508">
        <v>2.1299276351928711</v>
      </c>
      <c r="J171" s="2508">
        <v>1.8815333843231201</v>
      </c>
      <c r="K171" s="2508">
        <v>1.6039332722624142</v>
      </c>
    </row>
    <row r="172" spans="1:11" x14ac:dyDescent="0.25">
      <c r="A172" s="2505">
        <v>2016</v>
      </c>
      <c r="B172" s="2505" t="s">
        <v>2542</v>
      </c>
      <c r="C172" s="2505" t="s">
        <v>2543</v>
      </c>
      <c r="D172" s="2505" t="s">
        <v>2544</v>
      </c>
      <c r="E172" s="2508">
        <v>0.96562039852142334</v>
      </c>
      <c r="F172" s="2508">
        <v>0.9566880464553833</v>
      </c>
      <c r="G172" s="2508">
        <v>0.84029179811477661</v>
      </c>
      <c r="H172" s="2508">
        <v>0.78785496950149536</v>
      </c>
      <c r="I172" s="2508">
        <v>0.14594745635986328</v>
      </c>
      <c r="J172" s="2508">
        <v>0.48371857404708862</v>
      </c>
      <c r="K172" s="2508">
        <v>0.69668687383333838</v>
      </c>
    </row>
    <row r="173" spans="1:11" x14ac:dyDescent="0.25">
      <c r="A173" s="2505">
        <v>2016</v>
      </c>
      <c r="B173" s="2505" t="s">
        <v>2545</v>
      </c>
      <c r="C173" s="2505" t="s">
        <v>103</v>
      </c>
      <c r="D173" s="2505" t="s">
        <v>2546</v>
      </c>
      <c r="E173" s="2508">
        <v>0.94521725177764893</v>
      </c>
      <c r="F173" s="2508">
        <v>0.91942983865737915</v>
      </c>
      <c r="G173" s="2508">
        <v>0.97397035360336304</v>
      </c>
      <c r="H173" s="2508">
        <v>0.6207384467124939</v>
      </c>
      <c r="I173" s="2508">
        <v>0.72680997848510742</v>
      </c>
      <c r="J173" s="2508">
        <v>0.95371526479721069</v>
      </c>
      <c r="K173" s="2508">
        <v>0.85664685567220056</v>
      </c>
    </row>
    <row r="174" spans="1:11" x14ac:dyDescent="0.25">
      <c r="A174" s="2505">
        <v>2016</v>
      </c>
      <c r="B174" s="2505" t="s">
        <v>2547</v>
      </c>
      <c r="C174" s="2505" t="s">
        <v>2548</v>
      </c>
      <c r="D174" s="2505" t="s">
        <v>2549</v>
      </c>
      <c r="E174" s="2508">
        <v>0.31020933389663696</v>
      </c>
      <c r="F174" s="2508">
        <v>0.73630964756011963</v>
      </c>
      <c r="G174" s="2508">
        <v>-1.0276671648025513</v>
      </c>
      <c r="H174" s="2508">
        <v>-0.96203023195266724</v>
      </c>
      <c r="I174" s="2508">
        <v>-0.35140761733055115</v>
      </c>
      <c r="J174" s="2508">
        <v>-0.53818076848983765</v>
      </c>
      <c r="K174" s="2508">
        <v>-0.30546113351980847</v>
      </c>
    </row>
    <row r="175" spans="1:11" x14ac:dyDescent="0.25">
      <c r="A175" s="2505">
        <v>2016</v>
      </c>
      <c r="B175" s="2505" t="s">
        <v>2550</v>
      </c>
      <c r="C175" s="2505" t="s">
        <v>2551</v>
      </c>
      <c r="D175" s="2505" t="s">
        <v>2552</v>
      </c>
      <c r="E175" s="2508">
        <v>-2.0131285190582275</v>
      </c>
      <c r="F175" s="2508">
        <v>-2.4713790416717529</v>
      </c>
      <c r="G175" s="2508">
        <v>-2.2187387943267822</v>
      </c>
      <c r="H175" s="2508">
        <v>-2.1498589515686035</v>
      </c>
      <c r="I175" s="2508">
        <v>-1.624680757522583</v>
      </c>
      <c r="J175" s="2508">
        <v>-2.3369777202606201</v>
      </c>
      <c r="K175" s="2508">
        <v>-2.1357939640680947</v>
      </c>
    </row>
    <row r="176" spans="1:11" x14ac:dyDescent="0.25">
      <c r="A176" s="2505">
        <v>2016</v>
      </c>
      <c r="B176" s="2505" t="s">
        <v>2553</v>
      </c>
      <c r="C176" s="2505" t="s">
        <v>2554</v>
      </c>
      <c r="D176" s="2505" t="s">
        <v>2555</v>
      </c>
      <c r="E176" s="2508">
        <v>0.63402426242828369</v>
      </c>
      <c r="F176" s="2508">
        <v>-0.17575410008430481</v>
      </c>
      <c r="G176" s="2508">
        <v>0.26526665687561035</v>
      </c>
      <c r="H176" s="2508">
        <v>0.3035622239112854</v>
      </c>
      <c r="I176" s="2508">
        <v>-4.2387794703245163E-2</v>
      </c>
      <c r="J176" s="2508">
        <v>5.5837739259004593E-2</v>
      </c>
      <c r="K176" s="2508">
        <v>0.17342483128110567</v>
      </c>
    </row>
    <row r="177" spans="1:11" x14ac:dyDescent="0.25">
      <c r="A177" s="2505">
        <v>2016</v>
      </c>
      <c r="B177" s="2505" t="s">
        <v>2556</v>
      </c>
      <c r="C177" s="2505"/>
      <c r="D177" s="2505" t="s">
        <v>2557</v>
      </c>
      <c r="E177" s="2508">
        <v>-1.5261832475662231</v>
      </c>
      <c r="F177" s="2508">
        <v>-2.3607606887817383</v>
      </c>
      <c r="G177" s="2508">
        <v>-2.17124342918396</v>
      </c>
      <c r="H177" s="2508">
        <v>-1.6855018138885498</v>
      </c>
      <c r="I177" s="2508">
        <v>-1.7116719484329224</v>
      </c>
      <c r="J177" s="2508">
        <v>-1.8275386095046997</v>
      </c>
      <c r="K177" s="2508">
        <v>-1.8804832895596821</v>
      </c>
    </row>
    <row r="178" spans="1:11" x14ac:dyDescent="0.25">
      <c r="A178" s="2505">
        <v>2016</v>
      </c>
      <c r="B178" s="2505" t="s">
        <v>2558</v>
      </c>
      <c r="C178" s="2505" t="s">
        <v>1954</v>
      </c>
      <c r="D178" s="2505" t="s">
        <v>2559</v>
      </c>
      <c r="E178" s="2508">
        <v>1.0196471214294434</v>
      </c>
      <c r="F178" s="2508">
        <v>0.2877490222454071</v>
      </c>
      <c r="G178" s="2508">
        <v>1.1773155927658081</v>
      </c>
      <c r="H178" s="2508">
        <v>0.78521996736526489</v>
      </c>
      <c r="I178" s="2508">
        <v>0.48585093021392822</v>
      </c>
      <c r="J178" s="2508">
        <v>0.89696776866912842</v>
      </c>
      <c r="K178" s="2508">
        <v>0.77545840044816339</v>
      </c>
    </row>
    <row r="179" spans="1:11" x14ac:dyDescent="0.25">
      <c r="A179" s="2505">
        <v>2016</v>
      </c>
      <c r="B179" s="2505" t="s">
        <v>2560</v>
      </c>
      <c r="C179" s="2505" t="s">
        <v>2561</v>
      </c>
      <c r="D179" s="2505" t="s">
        <v>2562</v>
      </c>
      <c r="E179" s="2508">
        <v>-0.37001186609268188</v>
      </c>
      <c r="F179" s="2508">
        <v>-3.0116194859147072E-2</v>
      </c>
      <c r="G179" s="2508">
        <v>8.7453955784440041E-3</v>
      </c>
      <c r="H179" s="2508">
        <v>-5.2126836031675339E-2</v>
      </c>
      <c r="I179" s="2508">
        <v>-0.36652055382728577</v>
      </c>
      <c r="J179" s="2508">
        <v>6.8625137209892273E-2</v>
      </c>
      <c r="K179" s="2508">
        <v>-0.12356748633707564</v>
      </c>
    </row>
    <row r="180" spans="1:11" x14ac:dyDescent="0.25">
      <c r="A180" s="2505">
        <v>2016</v>
      </c>
      <c r="B180" s="2505" t="s">
        <v>2563</v>
      </c>
      <c r="C180" s="2505" t="s">
        <v>2564</v>
      </c>
      <c r="D180" s="2505" t="s">
        <v>2565</v>
      </c>
      <c r="E180" s="2508">
        <v>0.99153017997741699</v>
      </c>
      <c r="F180" s="2508">
        <v>0.6691594123840332</v>
      </c>
      <c r="G180" s="2508">
        <v>0.10644317418336868</v>
      </c>
      <c r="H180" s="2508">
        <v>0.17387348413467407</v>
      </c>
      <c r="I180" s="2508">
        <v>0.26830607652664185</v>
      </c>
      <c r="J180" s="2508">
        <v>0.34906622767448425</v>
      </c>
      <c r="K180" s="2508">
        <v>0.42639642581343651</v>
      </c>
    </row>
    <row r="181" spans="1:11" x14ac:dyDescent="0.25">
      <c r="A181" s="2505">
        <v>2016</v>
      </c>
      <c r="B181" s="2505" t="s">
        <v>2566</v>
      </c>
      <c r="C181" s="2505" t="s">
        <v>2567</v>
      </c>
      <c r="D181" s="2505" t="s">
        <v>2568</v>
      </c>
      <c r="E181" s="2508">
        <v>1.2042946815490723</v>
      </c>
      <c r="F181" s="2508">
        <v>0.86336928606033325</v>
      </c>
      <c r="G181" s="2508">
        <v>-8.3963938057422638E-2</v>
      </c>
      <c r="H181" s="2508">
        <v>0.27536019682884216</v>
      </c>
      <c r="I181" s="2508">
        <v>0.44622668623924255</v>
      </c>
      <c r="J181" s="2508">
        <v>0.62042039632797241</v>
      </c>
      <c r="K181" s="2508">
        <v>0.55428455149134004</v>
      </c>
    </row>
    <row r="182" spans="1:11" x14ac:dyDescent="0.25">
      <c r="A182" s="2505">
        <v>2016</v>
      </c>
      <c r="B182" s="2505" t="s">
        <v>2569</v>
      </c>
      <c r="C182" s="2505" t="s">
        <v>2570</v>
      </c>
      <c r="D182" s="2505" t="s">
        <v>2571</v>
      </c>
      <c r="E182" s="2508">
        <v>1.2089513540267944</v>
      </c>
      <c r="F182" s="2508">
        <v>0.86336928606033325</v>
      </c>
      <c r="G182" s="2508">
        <v>1.9483724609017372E-2</v>
      </c>
      <c r="H182" s="2508">
        <v>0.26136189699172974</v>
      </c>
      <c r="I182" s="2508">
        <v>0.61652398109436035</v>
      </c>
      <c r="J182" s="2508">
        <v>0.58965921401977539</v>
      </c>
      <c r="K182" s="2508">
        <v>0.59322490946700179</v>
      </c>
    </row>
    <row r="183" spans="1:11" x14ac:dyDescent="0.25">
      <c r="A183" s="2505">
        <v>2016</v>
      </c>
      <c r="B183" s="2505" t="s">
        <v>2572</v>
      </c>
      <c r="C183" s="2505" t="s">
        <v>2573</v>
      </c>
      <c r="D183" s="2505" t="s">
        <v>2574</v>
      </c>
      <c r="E183" s="2508">
        <v>-1.8167811632156372</v>
      </c>
      <c r="F183" s="2508">
        <v>-2.1735403537750244</v>
      </c>
      <c r="G183" s="2508">
        <v>-1.4762482643127441</v>
      </c>
      <c r="H183" s="2508">
        <v>-1.5004314184188843</v>
      </c>
      <c r="I183" s="2508">
        <v>-1.5023798942565918</v>
      </c>
      <c r="J183" s="2508">
        <v>-1.1840285062789917</v>
      </c>
      <c r="K183" s="2508">
        <v>-1.608901600042979</v>
      </c>
    </row>
    <row r="184" spans="1:11" x14ac:dyDescent="0.25">
      <c r="A184" s="2505">
        <v>2016</v>
      </c>
      <c r="B184" s="2505" t="s">
        <v>2575</v>
      </c>
      <c r="C184" s="2505" t="s">
        <v>2576</v>
      </c>
      <c r="D184" s="2505" t="s">
        <v>2577</v>
      </c>
      <c r="E184" s="2508">
        <v>0.454388827085495</v>
      </c>
      <c r="F184" s="2508">
        <v>0.20908473432064056</v>
      </c>
      <c r="G184" s="2508">
        <v>-0.35614857077598572</v>
      </c>
      <c r="H184" s="2508">
        <v>-0.66416269540786743</v>
      </c>
      <c r="I184" s="2508">
        <v>-0.56846135854721069</v>
      </c>
      <c r="J184" s="2508">
        <v>-0.24871133267879486</v>
      </c>
      <c r="K184" s="2508">
        <v>-0.19566839933395386</v>
      </c>
    </row>
    <row r="185" spans="1:11" x14ac:dyDescent="0.25">
      <c r="A185" s="2505">
        <v>2016</v>
      </c>
      <c r="B185" s="2505" t="s">
        <v>2578</v>
      </c>
      <c r="C185" s="2505" t="s">
        <v>2579</v>
      </c>
      <c r="D185" s="2505" t="s">
        <v>2580</v>
      </c>
      <c r="E185" s="2508">
        <v>-1.3261263370513916</v>
      </c>
      <c r="F185" s="2508">
        <v>-0.45741450786590576</v>
      </c>
      <c r="G185" s="2508">
        <v>-0.52813625335693359</v>
      </c>
      <c r="H185" s="2508">
        <v>-0.50380641222000122</v>
      </c>
      <c r="I185" s="2508">
        <v>-0.3248099684715271</v>
      </c>
      <c r="J185" s="2508">
        <v>-0.26824495196342468</v>
      </c>
      <c r="K185" s="2508">
        <v>-0.56808973848819733</v>
      </c>
    </row>
    <row r="186" spans="1:11" x14ac:dyDescent="0.25">
      <c r="A186" s="2505">
        <v>2016</v>
      </c>
      <c r="B186" s="2505" t="s">
        <v>2581</v>
      </c>
      <c r="C186" s="2505" t="s">
        <v>2582</v>
      </c>
      <c r="D186" s="2505" t="s">
        <v>2583</v>
      </c>
      <c r="E186" s="2508">
        <v>1.595634937286377</v>
      </c>
      <c r="F186" s="2508">
        <v>0.9652169942855835</v>
      </c>
      <c r="G186" s="2508">
        <v>1.8113703727722168</v>
      </c>
      <c r="H186" s="2508">
        <v>1.8083429336547852</v>
      </c>
      <c r="I186" s="2508">
        <v>2.2456033229827881</v>
      </c>
      <c r="J186" s="2508">
        <v>2.0444672107696533</v>
      </c>
      <c r="K186" s="2508">
        <v>1.7451059619585674</v>
      </c>
    </row>
    <row r="187" spans="1:11" x14ac:dyDescent="0.25">
      <c r="A187" s="2505">
        <v>2016</v>
      </c>
      <c r="B187" s="2505" t="s">
        <v>2584</v>
      </c>
      <c r="C187" s="2505" t="s">
        <v>2585</v>
      </c>
      <c r="D187" s="2505" t="s">
        <v>2586</v>
      </c>
      <c r="E187" s="2508">
        <v>1.5761517286300659</v>
      </c>
      <c r="F187" s="2508">
        <v>1.3112014532089233</v>
      </c>
      <c r="G187" s="2508">
        <v>2.0098199844360352</v>
      </c>
      <c r="H187" s="2508">
        <v>1.755790114402771</v>
      </c>
      <c r="I187" s="2508">
        <v>2.1691064834594727</v>
      </c>
      <c r="J187" s="2508">
        <v>1.9661990404129028</v>
      </c>
      <c r="K187" s="2508">
        <v>1.7980448007583618</v>
      </c>
    </row>
    <row r="188" spans="1:11" x14ac:dyDescent="0.25">
      <c r="A188" s="2505">
        <v>2016</v>
      </c>
      <c r="B188" s="2505" t="s">
        <v>2587</v>
      </c>
      <c r="C188" s="2505" t="s">
        <v>2588</v>
      </c>
      <c r="D188" s="2505" t="s">
        <v>2589</v>
      </c>
      <c r="E188" s="2508">
        <v>-1.848913311958313</v>
      </c>
      <c r="F188" s="2508">
        <v>-2.9381992816925049</v>
      </c>
      <c r="G188" s="2508">
        <v>-1.6338951587677002</v>
      </c>
      <c r="H188" s="2508">
        <v>-1.6325682401657104</v>
      </c>
      <c r="I188" s="2508">
        <v>-1.5330299139022827</v>
      </c>
      <c r="J188" s="2508">
        <v>-1.4306507110595703</v>
      </c>
      <c r="K188" s="2508">
        <v>-1.8362094362576802</v>
      </c>
    </row>
    <row r="189" spans="1:11" x14ac:dyDescent="0.25">
      <c r="A189" s="2505">
        <v>2016</v>
      </c>
      <c r="B189" s="2505" t="s">
        <v>2590</v>
      </c>
      <c r="C189" s="2505" t="s">
        <v>2591</v>
      </c>
      <c r="D189" s="2505" t="s">
        <v>2592</v>
      </c>
      <c r="E189" s="2508">
        <v>0.89156657457351685</v>
      </c>
      <c r="F189" s="2508">
        <v>0.83874690532684326</v>
      </c>
      <c r="G189" s="2508">
        <v>1.4098497629165649</v>
      </c>
      <c r="H189" s="2508">
        <v>1.3458245992660522</v>
      </c>
      <c r="I189" s="2508">
        <v>0.79901528358459473</v>
      </c>
      <c r="J189" s="2508">
        <v>1.1693902015686035</v>
      </c>
      <c r="K189" s="2508">
        <v>1.0757322212060292</v>
      </c>
    </row>
    <row r="190" spans="1:11" x14ac:dyDescent="0.25">
      <c r="A190" s="2505">
        <v>2016</v>
      </c>
      <c r="B190" s="2505" t="s">
        <v>2593</v>
      </c>
      <c r="C190" s="2505" t="s">
        <v>2594</v>
      </c>
      <c r="D190" s="2505" t="s">
        <v>2595</v>
      </c>
      <c r="E190" s="2508">
        <v>-1.512955904006958</v>
      </c>
      <c r="F190" s="2508">
        <v>-0.86673647165298462</v>
      </c>
      <c r="G190" s="2508">
        <v>-0.81939619779586792</v>
      </c>
      <c r="H190" s="2508">
        <v>-1.0061079263687134</v>
      </c>
      <c r="I190" s="2508">
        <v>-0.99793499708175659</v>
      </c>
      <c r="J190" s="2508">
        <v>-1.009642481803894</v>
      </c>
      <c r="K190" s="2508">
        <v>-1.0354623297850292</v>
      </c>
    </row>
    <row r="191" spans="1:11" x14ac:dyDescent="0.25">
      <c r="A191" s="2505">
        <v>2016</v>
      </c>
      <c r="B191" s="2505" t="s">
        <v>2596</v>
      </c>
      <c r="C191" s="2505" t="s">
        <v>2597</v>
      </c>
      <c r="D191" s="2505" t="s">
        <v>2598</v>
      </c>
      <c r="E191" s="2508">
        <v>-0.2111334353685379</v>
      </c>
      <c r="F191" s="2508">
        <v>-0.44894754886627197</v>
      </c>
      <c r="G191" s="2508">
        <v>-0.59887123107910156</v>
      </c>
      <c r="H191" s="2508">
        <v>-0.3627324104309082</v>
      </c>
      <c r="I191" s="2508">
        <v>-0.71679878234863281</v>
      </c>
      <c r="J191" s="2508">
        <v>-0.42535173892974854</v>
      </c>
      <c r="K191" s="2508">
        <v>-0.46063919117053348</v>
      </c>
    </row>
    <row r="192" spans="1:11" x14ac:dyDescent="0.25">
      <c r="A192" s="2505">
        <v>2016</v>
      </c>
      <c r="B192" s="2505" t="s">
        <v>2599</v>
      </c>
      <c r="C192" s="2505" t="s">
        <v>2600</v>
      </c>
      <c r="D192" s="2505" t="s">
        <v>2601</v>
      </c>
      <c r="E192" s="2508">
        <v>-0.89717113971710205</v>
      </c>
      <c r="F192" s="2508">
        <v>-0.9556085467338562</v>
      </c>
      <c r="G192" s="2508">
        <v>0.35681024193763733</v>
      </c>
      <c r="H192" s="2508">
        <v>0.2991148829460144</v>
      </c>
      <c r="I192" s="2508">
        <v>-0.40043133497238159</v>
      </c>
      <c r="J192" s="2508">
        <v>-0.10611594468355179</v>
      </c>
      <c r="K192" s="2508">
        <v>-0.28390030687053996</v>
      </c>
    </row>
    <row r="193" spans="1:11" x14ac:dyDescent="0.25">
      <c r="A193" s="2505">
        <v>2016</v>
      </c>
      <c r="B193" s="2505" t="s">
        <v>2602</v>
      </c>
      <c r="C193" s="2505" t="s">
        <v>2603</v>
      </c>
      <c r="D193" s="2505" t="s">
        <v>2604</v>
      </c>
      <c r="E193" s="2508">
        <v>0.14914143085479736</v>
      </c>
      <c r="F193" s="2508">
        <v>-0.22415423393249512</v>
      </c>
      <c r="G193" s="2508">
        <v>-1.0453567504882813</v>
      </c>
      <c r="H193" s="2508">
        <v>-0.96659606695175171</v>
      </c>
      <c r="I193" s="2508">
        <v>-0.69078397750854492</v>
      </c>
      <c r="J193" s="2508">
        <v>-1.1763211488723755</v>
      </c>
      <c r="K193" s="2508">
        <v>-0.65901179114977515</v>
      </c>
    </row>
    <row r="194" spans="1:11" x14ac:dyDescent="0.25">
      <c r="A194" s="2505">
        <v>2016</v>
      </c>
      <c r="B194" s="2505" t="s">
        <v>2605</v>
      </c>
      <c r="C194" s="2505" t="s">
        <v>2606</v>
      </c>
      <c r="D194" s="2505" t="s">
        <v>2607</v>
      </c>
      <c r="E194" s="2508">
        <v>-0.74667149782180786</v>
      </c>
      <c r="F194" s="2508">
        <v>-0.17464503645896912</v>
      </c>
      <c r="G194" s="2508">
        <v>-1.1790981292724609</v>
      </c>
      <c r="H194" s="2508">
        <v>-0.82037466764450073</v>
      </c>
      <c r="I194" s="2508">
        <v>-0.71284288167953491</v>
      </c>
      <c r="J194" s="2508">
        <v>-0.79972684383392334</v>
      </c>
      <c r="K194" s="2508">
        <v>-0.73889317611853278</v>
      </c>
    </row>
    <row r="195" spans="1:11" x14ac:dyDescent="0.25">
      <c r="A195" s="2505">
        <v>2016</v>
      </c>
      <c r="B195" s="2505" t="s">
        <v>2608</v>
      </c>
      <c r="C195" s="2505" t="s">
        <v>2609</v>
      </c>
      <c r="D195" s="2505" t="s">
        <v>2610</v>
      </c>
      <c r="E195" s="2508">
        <v>0.67828112840652466</v>
      </c>
      <c r="F195" s="2508">
        <v>0.93419623374938965</v>
      </c>
      <c r="G195" s="2508">
        <v>-0.32945367693901062</v>
      </c>
      <c r="H195" s="2508">
        <v>-0.43805253505706787</v>
      </c>
      <c r="I195" s="2508">
        <v>-0.44640699028968811</v>
      </c>
      <c r="J195" s="2508">
        <v>-0.19803056120872498</v>
      </c>
      <c r="K195" s="2508">
        <v>3.3422266443570457E-2</v>
      </c>
    </row>
    <row r="196" spans="1:11" x14ac:dyDescent="0.25">
      <c r="A196" s="2505">
        <v>2016</v>
      </c>
      <c r="B196" s="2505" t="s">
        <v>2611</v>
      </c>
      <c r="C196" s="2505" t="s">
        <v>2612</v>
      </c>
      <c r="D196" s="2505" t="s">
        <v>2613</v>
      </c>
      <c r="E196" s="2508">
        <v>0.48606625199317932</v>
      </c>
      <c r="F196" s="2508">
        <v>0.27099862694740295</v>
      </c>
      <c r="G196" s="2508">
        <v>0.23712810873985291</v>
      </c>
      <c r="H196" s="2508">
        <v>0.14544244110584259</v>
      </c>
      <c r="I196" s="2508">
        <v>-0.54169774055480957</v>
      </c>
      <c r="J196" s="2508">
        <v>-0.14362901449203491</v>
      </c>
      <c r="K196" s="2508">
        <v>7.5718112289905548E-2</v>
      </c>
    </row>
    <row r="197" spans="1:11" x14ac:dyDescent="0.25">
      <c r="A197" s="2505">
        <v>2016</v>
      </c>
      <c r="B197" s="2505" t="s">
        <v>2614</v>
      </c>
      <c r="C197" s="2505" t="s">
        <v>2615</v>
      </c>
      <c r="D197" s="2505" t="s">
        <v>2616</v>
      </c>
      <c r="E197" s="2508">
        <v>0.19214285910129547</v>
      </c>
      <c r="F197" s="2508">
        <v>-0.86701124906539917</v>
      </c>
      <c r="G197" s="2508">
        <v>-0.10389266908168793</v>
      </c>
      <c r="H197" s="2508">
        <v>-0.39445942640304565</v>
      </c>
      <c r="I197" s="2508">
        <v>-0.1106770858168602</v>
      </c>
      <c r="J197" s="2508">
        <v>-5.2563313394784927E-2</v>
      </c>
      <c r="K197" s="2508">
        <v>-0.22274348077674708</v>
      </c>
    </row>
    <row r="198" spans="1:11" x14ac:dyDescent="0.25">
      <c r="A198" s="2505">
        <v>2016</v>
      </c>
      <c r="B198" s="2505" t="s">
        <v>2617</v>
      </c>
      <c r="C198" s="2505" t="s">
        <v>2618</v>
      </c>
      <c r="D198" s="2505" t="s">
        <v>2619</v>
      </c>
      <c r="E198" s="2508">
        <v>-0.37439441680908203</v>
      </c>
      <c r="F198" s="2508">
        <v>-1.2758008241653442</v>
      </c>
      <c r="G198" s="2508">
        <v>0.23291079699993134</v>
      </c>
      <c r="H198" s="2508">
        <v>0.33028438687324524</v>
      </c>
      <c r="I198" s="2508">
        <v>-0.1147046685218811</v>
      </c>
      <c r="J198" s="2508">
        <v>-6.0295328497886658E-2</v>
      </c>
      <c r="K198" s="2508">
        <v>-0.2103333423535029</v>
      </c>
    </row>
    <row r="199" spans="1:11" x14ac:dyDescent="0.25">
      <c r="A199" s="2505">
        <v>2016</v>
      </c>
      <c r="B199" s="2505" t="s">
        <v>2620</v>
      </c>
      <c r="C199" s="2505" t="s">
        <v>2621</v>
      </c>
      <c r="D199" s="2505" t="s">
        <v>2622</v>
      </c>
      <c r="E199" s="2508">
        <v>-2.1982369422912598</v>
      </c>
      <c r="F199" s="2508">
        <v>-0.10645893961191177</v>
      </c>
      <c r="G199" s="2508">
        <v>-0.8743739128112793</v>
      </c>
      <c r="H199" s="2508">
        <v>-2.091221809387207</v>
      </c>
      <c r="I199" s="2508">
        <v>-1.2628169059753418</v>
      </c>
      <c r="J199" s="2508">
        <v>-1.3905214071273804</v>
      </c>
      <c r="K199" s="2508">
        <v>-1.3206049862007301</v>
      </c>
    </row>
    <row r="200" spans="1:11" x14ac:dyDescent="0.25">
      <c r="A200" s="2505">
        <v>2016</v>
      </c>
      <c r="B200" s="2505" t="s">
        <v>2623</v>
      </c>
      <c r="C200" s="2505" t="s">
        <v>2624</v>
      </c>
      <c r="D200" s="2505" t="s">
        <v>2625</v>
      </c>
      <c r="E200" s="2508">
        <v>1.0983982086181641</v>
      </c>
      <c r="F200" s="2508">
        <v>1.4058388471603394</v>
      </c>
      <c r="G200" s="2508">
        <v>-0.96908962726593018</v>
      </c>
      <c r="H200" s="2508">
        <v>-0.71888446807861328</v>
      </c>
      <c r="I200" s="2508">
        <v>-6.1117243021726608E-3</v>
      </c>
      <c r="J200" s="2508">
        <v>0.337982177734375</v>
      </c>
      <c r="K200" s="2508">
        <v>0.19135556897769371</v>
      </c>
    </row>
    <row r="201" spans="1:11" x14ac:dyDescent="0.25">
      <c r="A201" s="2505">
        <v>2016</v>
      </c>
      <c r="B201" s="2505" t="s">
        <v>2626</v>
      </c>
      <c r="C201" s="2505" t="s">
        <v>2627</v>
      </c>
      <c r="D201" s="2505" t="s">
        <v>2628</v>
      </c>
      <c r="E201" s="2508">
        <v>-0.58632636070251465</v>
      </c>
      <c r="F201" s="2508">
        <v>-0.86196398735046387</v>
      </c>
      <c r="G201" s="2508">
        <v>-0.48298698663711548</v>
      </c>
      <c r="H201" s="2508">
        <v>-0.2420707643032074</v>
      </c>
      <c r="I201" s="2508">
        <v>-1.051720142364502</v>
      </c>
      <c r="J201" s="2508">
        <v>-0.34080362319946289</v>
      </c>
      <c r="K201" s="2508">
        <v>-0.594311977426211</v>
      </c>
    </row>
    <row r="202" spans="1:11" x14ac:dyDescent="0.25">
      <c r="A202" s="2505">
        <v>2016</v>
      </c>
      <c r="B202" s="2505" t="s">
        <v>2629</v>
      </c>
      <c r="C202" s="2505" t="s">
        <v>2630</v>
      </c>
      <c r="D202" s="2505" t="s">
        <v>2631</v>
      </c>
      <c r="E202" s="2508">
        <v>-3.1106119975447655E-2</v>
      </c>
      <c r="F202" s="2508">
        <v>-1.932921290397644</v>
      </c>
      <c r="G202" s="2508">
        <v>-0.51378494501113892</v>
      </c>
      <c r="H202" s="2508">
        <v>-0.5797652006149292</v>
      </c>
      <c r="I202" s="2508">
        <v>-0.98008722066879272</v>
      </c>
      <c r="J202" s="2508">
        <v>-0.80121469497680664</v>
      </c>
      <c r="K202" s="2508">
        <v>-0.80647991194079316</v>
      </c>
    </row>
    <row r="203" spans="1:11" x14ac:dyDescent="0.25">
      <c r="A203" s="2505">
        <v>2016</v>
      </c>
      <c r="B203" s="2505" t="s">
        <v>2632</v>
      </c>
      <c r="C203" s="2505" t="s">
        <v>2633</v>
      </c>
      <c r="D203" s="2505" t="s">
        <v>2634</v>
      </c>
      <c r="E203" s="2508">
        <v>-1.0669863224029541</v>
      </c>
      <c r="F203" s="2508">
        <v>0.75540316104888916</v>
      </c>
      <c r="G203" s="2508">
        <v>1.5369008779525757</v>
      </c>
      <c r="H203" s="2508">
        <v>1.133450984954834</v>
      </c>
      <c r="I203" s="2508">
        <v>1.1238574981689453</v>
      </c>
      <c r="J203" s="2508">
        <v>0.70778542757034302</v>
      </c>
      <c r="K203" s="2508">
        <v>0.69840193788210547</v>
      </c>
    </row>
    <row r="204" spans="1:11" x14ac:dyDescent="0.25">
      <c r="A204" s="2505">
        <v>2016</v>
      </c>
      <c r="B204" s="2505" t="s">
        <v>2635</v>
      </c>
      <c r="C204" s="2505" t="s">
        <v>2636</v>
      </c>
      <c r="D204" s="2505" t="s">
        <v>2637</v>
      </c>
      <c r="E204" s="2508">
        <v>1.2700899839401245</v>
      </c>
      <c r="F204" s="2508">
        <v>0.55685621500015259</v>
      </c>
      <c r="G204" s="2508">
        <v>1.7387553453445435</v>
      </c>
      <c r="H204" s="2508">
        <v>1.8556177616119385</v>
      </c>
      <c r="I204" s="2508">
        <v>1.8673925399780273</v>
      </c>
      <c r="J204" s="2508">
        <v>1.8050568103790283</v>
      </c>
      <c r="K204" s="2508">
        <v>1.5156281093756359</v>
      </c>
    </row>
    <row r="205" spans="1:11" x14ac:dyDescent="0.25">
      <c r="A205" s="2505">
        <v>2016</v>
      </c>
      <c r="B205" s="2505" t="s">
        <v>2638</v>
      </c>
      <c r="C205" s="2505" t="s">
        <v>1955</v>
      </c>
      <c r="D205" s="2505" t="s">
        <v>2639</v>
      </c>
      <c r="E205" s="2508">
        <v>1.075169563293457</v>
      </c>
      <c r="F205" s="2508">
        <v>0.69909489154815674</v>
      </c>
      <c r="G205" s="2508">
        <v>1.4619953632354736</v>
      </c>
      <c r="H205" s="2508">
        <v>1.297576904296875</v>
      </c>
      <c r="I205" s="2508">
        <v>1.3785274028778076</v>
      </c>
      <c r="J205" s="2508">
        <v>1.6037057638168335</v>
      </c>
      <c r="K205" s="2508">
        <v>1.2526783148447673</v>
      </c>
    </row>
    <row r="206" spans="1:11" x14ac:dyDescent="0.25">
      <c r="A206" s="2505">
        <v>2016</v>
      </c>
      <c r="B206" s="2505" t="s">
        <v>2640</v>
      </c>
      <c r="C206" s="2505" t="s">
        <v>2641</v>
      </c>
      <c r="D206" s="2505" t="s">
        <v>2642</v>
      </c>
      <c r="E206" s="2508">
        <v>1.1216495037078857</v>
      </c>
      <c r="F206" s="2508">
        <v>0.98989969491958618</v>
      </c>
      <c r="G206" s="2508">
        <v>0.54012429714202881</v>
      </c>
      <c r="H206" s="2508">
        <v>0.45242816209793091</v>
      </c>
      <c r="I206" s="2508">
        <v>1.2981538772583008</v>
      </c>
      <c r="J206" s="2508">
        <v>0.67522454261779785</v>
      </c>
      <c r="K206" s="2508">
        <v>0.84624667962392175</v>
      </c>
    </row>
    <row r="207" spans="1:11" x14ac:dyDescent="0.25">
      <c r="A207" s="2505">
        <v>2016</v>
      </c>
      <c r="B207" s="2505" t="s">
        <v>2643</v>
      </c>
      <c r="C207" s="2505" t="s">
        <v>2644</v>
      </c>
      <c r="D207" s="2505" t="s">
        <v>2645</v>
      </c>
      <c r="E207" s="2508">
        <v>-1.9017235040664673</v>
      </c>
      <c r="F207" s="2508">
        <v>-0.42032453417778015</v>
      </c>
      <c r="G207" s="2508">
        <v>-0.68205475807189941</v>
      </c>
      <c r="H207" s="2508">
        <v>-1.6853983402252197</v>
      </c>
      <c r="I207" s="2508">
        <v>-1.1620092391967773</v>
      </c>
      <c r="J207" s="2508">
        <v>-1.0651403665542603</v>
      </c>
      <c r="K207" s="2508">
        <v>-1.1527751237154007</v>
      </c>
    </row>
    <row r="208" spans="1:11" x14ac:dyDescent="0.25">
      <c r="A208" s="2505">
        <v>2016</v>
      </c>
      <c r="B208" s="2505" t="s">
        <v>2646</v>
      </c>
      <c r="C208" s="2505" t="s">
        <v>2647</v>
      </c>
      <c r="D208" s="2505" t="s">
        <v>2648</v>
      </c>
      <c r="E208" s="2508">
        <v>0.72304576635360718</v>
      </c>
      <c r="F208" s="2508">
        <v>0.5689273476600647</v>
      </c>
      <c r="G208" s="2508">
        <v>-0.7863655686378479</v>
      </c>
      <c r="H208" s="2508">
        <v>-0.37307164072990417</v>
      </c>
      <c r="I208" s="2508">
        <v>-0.17712722718715668</v>
      </c>
      <c r="J208" s="2508">
        <v>3.4484181553125381E-2</v>
      </c>
      <c r="K208" s="2508">
        <v>-1.6845234980185826E-3</v>
      </c>
    </row>
    <row r="209" spans="1:11" x14ac:dyDescent="0.25">
      <c r="A209" s="2505">
        <v>2016</v>
      </c>
      <c r="B209" s="2505" t="s">
        <v>2649</v>
      </c>
      <c r="C209" s="2505" t="s">
        <v>2650</v>
      </c>
      <c r="D209" s="2505" t="s">
        <v>2651</v>
      </c>
      <c r="E209" s="2508">
        <v>-1.1219850778579712</v>
      </c>
      <c r="F209" s="2508">
        <v>-1.0073778629302979</v>
      </c>
      <c r="G209" s="2508">
        <v>-1.220160961151123</v>
      </c>
      <c r="H209" s="2508">
        <v>-1.857714056968689</v>
      </c>
      <c r="I209" s="2508">
        <v>-1.3282555341720581</v>
      </c>
      <c r="J209" s="2508">
        <v>-1.9905811548233032</v>
      </c>
      <c r="K209" s="2508">
        <v>-1.4210124413172405</v>
      </c>
    </row>
    <row r="210" spans="1:11" x14ac:dyDescent="0.25">
      <c r="A210" s="2505">
        <v>2016</v>
      </c>
      <c r="B210" s="2505" t="s">
        <v>2652</v>
      </c>
      <c r="C210" s="2505" t="s">
        <v>2653</v>
      </c>
      <c r="D210" s="2505" t="s">
        <v>2654</v>
      </c>
      <c r="E210" s="2508">
        <v>-1.3289147615432739</v>
      </c>
      <c r="F210" s="2508">
        <v>1.0676498524844646E-2</v>
      </c>
      <c r="G210" s="2508">
        <v>7.6964221894741058E-2</v>
      </c>
      <c r="H210" s="2508">
        <v>-0.49635368585586548</v>
      </c>
      <c r="I210" s="2508">
        <v>-0.44704344868659973</v>
      </c>
      <c r="J210" s="2508">
        <v>-0.26854208111763</v>
      </c>
      <c r="K210" s="2508">
        <v>-0.40886887613063055</v>
      </c>
    </row>
    <row r="211" spans="1:11" x14ac:dyDescent="0.25">
      <c r="A211" s="2505">
        <v>2016</v>
      </c>
      <c r="B211" s="2505" t="s">
        <v>2655</v>
      </c>
      <c r="C211" s="2505" t="s">
        <v>2656</v>
      </c>
      <c r="D211" s="2505" t="s">
        <v>2657</v>
      </c>
      <c r="E211" s="2508"/>
      <c r="F211" s="2508">
        <v>1.3206520080566406</v>
      </c>
      <c r="G211" s="2508">
        <v>1.238328218460083</v>
      </c>
      <c r="H211" s="2508">
        <v>0.53025984764099121</v>
      </c>
      <c r="I211" s="2508">
        <v>0.6671716570854187</v>
      </c>
      <c r="J211" s="2508">
        <v>0.90198451280593872</v>
      </c>
      <c r="K211" s="2508">
        <v>0.93167924880981445</v>
      </c>
    </row>
    <row r="212" spans="1:11" x14ac:dyDescent="0.25">
      <c r="A212" s="2505">
        <v>2016</v>
      </c>
      <c r="B212" s="2505" t="s">
        <v>2658</v>
      </c>
      <c r="C212" s="2505"/>
      <c r="D212" s="2505" t="s">
        <v>2659</v>
      </c>
      <c r="E212" s="2508">
        <v>-0.94032132625579834</v>
      </c>
      <c r="F212" s="2508">
        <v>-2.1282672882080078</v>
      </c>
      <c r="G212" s="2508">
        <v>-0.50473982095718384</v>
      </c>
      <c r="H212" s="2508">
        <v>0.13251228630542755</v>
      </c>
      <c r="I212" s="2508">
        <v>-0.69940948486328125</v>
      </c>
      <c r="J212" s="2508">
        <v>-0.56440889835357666</v>
      </c>
      <c r="K212" s="2508">
        <v>-0.78410575538873672</v>
      </c>
    </row>
    <row r="213" spans="1:11" x14ac:dyDescent="0.25">
      <c r="A213" s="2505">
        <v>2016</v>
      </c>
      <c r="B213" s="2505" t="s">
        <v>2660</v>
      </c>
      <c r="C213" s="2505" t="s">
        <v>2661</v>
      </c>
      <c r="D213" s="2505" t="s">
        <v>2662</v>
      </c>
      <c r="E213" s="2508">
        <v>-1.4938528537750244</v>
      </c>
      <c r="F213" s="2508">
        <v>-2.6323578357696533</v>
      </c>
      <c r="G213" s="2508">
        <v>-1.6408907175064087</v>
      </c>
      <c r="H213" s="2508">
        <v>-1.1010162830352783</v>
      </c>
      <c r="I213" s="2508">
        <v>-1.448111891746521</v>
      </c>
      <c r="J213" s="2508">
        <v>-1.2379367351531982</v>
      </c>
      <c r="K213" s="2508">
        <v>-1.5923610528310139</v>
      </c>
    </row>
    <row r="214" spans="1:11" x14ac:dyDescent="0.25">
      <c r="A214" s="2505">
        <v>2016</v>
      </c>
      <c r="B214" s="2505" t="s">
        <v>2663</v>
      </c>
      <c r="C214" s="2505" t="s">
        <v>2664</v>
      </c>
      <c r="D214" s="2505" t="s">
        <v>2665</v>
      </c>
      <c r="E214" s="2508">
        <v>-0.1127542108297348</v>
      </c>
      <c r="F214" s="2508">
        <v>8.5539385676383972E-2</v>
      </c>
      <c r="G214" s="2508">
        <v>-0.55447947978973389</v>
      </c>
      <c r="H214" s="2508">
        <v>-0.42234355211257935</v>
      </c>
      <c r="I214" s="2508">
        <v>-0.40513879060745239</v>
      </c>
      <c r="J214" s="2508">
        <v>-0.25282701849937439</v>
      </c>
      <c r="K214" s="2508">
        <v>-0.27700061102708179</v>
      </c>
    </row>
    <row r="215" spans="1:11" x14ac:dyDescent="0.25">
      <c r="A215" s="2505">
        <v>2016</v>
      </c>
      <c r="B215" s="2509" t="s">
        <v>2666</v>
      </c>
      <c r="C215" s="2505" t="s">
        <v>2667</v>
      </c>
      <c r="D215" s="2510" t="s">
        <v>2668</v>
      </c>
      <c r="E215" s="2508">
        <v>-1.1926939487457275</v>
      </c>
      <c r="F215" s="2508">
        <v>-0.57725155353546143</v>
      </c>
      <c r="G215" s="2508">
        <v>-1.1479687690734863</v>
      </c>
      <c r="H215" s="2508">
        <v>-1.6469014883041382</v>
      </c>
      <c r="I215" s="2508">
        <v>-1.2868920564651489</v>
      </c>
      <c r="J215" s="2508">
        <v>-1.3490862846374512</v>
      </c>
      <c r="K215" s="2508">
        <v>-1.2001323501269023</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dimension ref="A1:E265"/>
  <sheetViews>
    <sheetView topLeftCell="A55" workbookViewId="0">
      <selection sqref="A1:XFD1048576"/>
    </sheetView>
  </sheetViews>
  <sheetFormatPr baseColWidth="10" defaultRowHeight="11.25" x14ac:dyDescent="0.2"/>
  <cols>
    <col min="1" max="16384" width="11.42578125" style="2505"/>
  </cols>
  <sheetData>
    <row r="1" spans="1:5" x14ac:dyDescent="0.2">
      <c r="A1" s="2505" t="s">
        <v>2669</v>
      </c>
      <c r="B1" s="2505" t="s">
        <v>2670</v>
      </c>
      <c r="C1" s="2505" t="s">
        <v>2671</v>
      </c>
      <c r="D1" s="2505" t="s">
        <v>2672</v>
      </c>
      <c r="E1" s="2505" t="s">
        <v>2673</v>
      </c>
    </row>
    <row r="2" spans="1:5" x14ac:dyDescent="0.2">
      <c r="A2" s="2505">
        <v>2016</v>
      </c>
      <c r="B2" s="2505" t="s">
        <v>2674</v>
      </c>
      <c r="C2" s="2505" t="s">
        <v>2080</v>
      </c>
      <c r="D2" s="2505" t="s">
        <v>2081</v>
      </c>
    </row>
    <row r="3" spans="1:5" x14ac:dyDescent="0.2">
      <c r="A3" s="2505">
        <v>2016</v>
      </c>
      <c r="B3" s="2505" t="s">
        <v>2675</v>
      </c>
      <c r="C3" s="2505" t="s">
        <v>2676</v>
      </c>
    </row>
    <row r="4" spans="1:5" x14ac:dyDescent="0.2">
      <c r="A4" s="2505">
        <v>2016</v>
      </c>
      <c r="B4" s="2505" t="s">
        <v>2677</v>
      </c>
      <c r="C4" s="2505" t="s">
        <v>2054</v>
      </c>
      <c r="D4" s="2505" t="s">
        <v>2055</v>
      </c>
      <c r="E4" s="2505">
        <v>0.84071852799227997</v>
      </c>
    </row>
    <row r="5" spans="1:5" x14ac:dyDescent="0.2">
      <c r="A5" s="2505">
        <v>2016</v>
      </c>
      <c r="B5" s="2505" t="s">
        <v>2678</v>
      </c>
      <c r="C5" s="2505" t="s">
        <v>2067</v>
      </c>
      <c r="D5" s="2505" t="s">
        <v>2068</v>
      </c>
      <c r="E5" s="2505">
        <v>3.006980545041543</v>
      </c>
    </row>
    <row r="6" spans="1:5" x14ac:dyDescent="0.2">
      <c r="A6" s="2505">
        <v>2016</v>
      </c>
      <c r="B6" s="2505" t="s">
        <v>2679</v>
      </c>
      <c r="C6" s="2505" t="s">
        <v>2057</v>
      </c>
      <c r="D6" s="2505" t="s">
        <v>2058</v>
      </c>
      <c r="E6" s="2505">
        <v>2.8000000005355901</v>
      </c>
    </row>
    <row r="7" spans="1:5" x14ac:dyDescent="0.2">
      <c r="A7" s="2505">
        <v>2016</v>
      </c>
      <c r="B7" s="2505" t="s">
        <v>2680</v>
      </c>
      <c r="C7" s="2505" t="s">
        <v>2681</v>
      </c>
      <c r="E7" s="2505">
        <v>3.1947996678314752</v>
      </c>
    </row>
    <row r="8" spans="1:5" x14ac:dyDescent="0.2">
      <c r="A8" s="2505">
        <v>2016</v>
      </c>
      <c r="B8" s="2505" t="s">
        <v>2682</v>
      </c>
      <c r="C8" s="2505" t="s">
        <v>2632</v>
      </c>
      <c r="D8" s="2505" t="s">
        <v>2633</v>
      </c>
      <c r="E8" s="2505">
        <v>3.7576428527010535</v>
      </c>
    </row>
    <row r="9" spans="1:5" x14ac:dyDescent="0.2">
      <c r="A9" s="2505">
        <v>2016</v>
      </c>
      <c r="B9" s="2505" t="s">
        <v>2683</v>
      </c>
      <c r="C9" s="2505" t="s">
        <v>2074</v>
      </c>
      <c r="D9" s="2505" t="s">
        <v>2075</v>
      </c>
      <c r="E9" s="2505">
        <v>2.3722960170126157</v>
      </c>
    </row>
    <row r="10" spans="1:5" x14ac:dyDescent="0.2">
      <c r="A10" s="2505">
        <v>2016</v>
      </c>
      <c r="B10" s="2505" t="s">
        <v>2684</v>
      </c>
      <c r="C10" s="2505" t="s">
        <v>2077</v>
      </c>
      <c r="D10" s="2505" t="s">
        <v>2078</v>
      </c>
      <c r="E10" s="2505">
        <v>2.9999999999998295</v>
      </c>
    </row>
    <row r="11" spans="1:5" x14ac:dyDescent="0.2">
      <c r="A11" s="2505">
        <v>2016</v>
      </c>
      <c r="B11" s="2505" t="s">
        <v>2685</v>
      </c>
      <c r="C11" s="2505" t="s">
        <v>2063</v>
      </c>
    </row>
    <row r="12" spans="1:5" x14ac:dyDescent="0.2">
      <c r="A12" s="2505">
        <v>2016</v>
      </c>
      <c r="B12" s="2505" t="s">
        <v>2686</v>
      </c>
      <c r="C12" s="2505" t="s">
        <v>2072</v>
      </c>
      <c r="E12" s="2505">
        <v>4.126998335351189</v>
      </c>
    </row>
    <row r="13" spans="1:5" x14ac:dyDescent="0.2">
      <c r="A13" s="2505">
        <v>2016</v>
      </c>
      <c r="B13" s="2505" t="s">
        <v>2687</v>
      </c>
      <c r="C13" s="2505" t="s">
        <v>2083</v>
      </c>
      <c r="D13" s="2505" t="s">
        <v>2084</v>
      </c>
      <c r="E13" s="2505">
        <v>2.2400285754314382</v>
      </c>
    </row>
    <row r="14" spans="1:5" x14ac:dyDescent="0.2">
      <c r="A14" s="2505">
        <v>2016</v>
      </c>
      <c r="B14" s="2505" t="s">
        <v>2688</v>
      </c>
      <c r="C14" s="2505" t="s">
        <v>2086</v>
      </c>
      <c r="D14" s="2505" t="s">
        <v>2087</v>
      </c>
      <c r="E14" s="2505">
        <v>0.96305839893334166</v>
      </c>
    </row>
    <row r="15" spans="1:5" x14ac:dyDescent="0.2">
      <c r="A15" s="2505">
        <v>2016</v>
      </c>
      <c r="B15" s="2505" t="s">
        <v>2689</v>
      </c>
      <c r="C15" s="2505" t="s">
        <v>2089</v>
      </c>
      <c r="D15" s="2505" t="s">
        <v>2090</v>
      </c>
      <c r="E15" s="2505">
        <v>1.0999999999999943</v>
      </c>
    </row>
    <row r="16" spans="1:5" x14ac:dyDescent="0.2">
      <c r="A16" s="2505">
        <v>2016</v>
      </c>
      <c r="B16" s="2505" t="s">
        <v>2690</v>
      </c>
      <c r="C16" s="2505" t="s">
        <v>2142</v>
      </c>
      <c r="D16" s="2505" t="s">
        <v>2143</v>
      </c>
      <c r="E16" s="2505">
        <v>-3.9049193526436596</v>
      </c>
    </row>
    <row r="17" spans="1:5" x14ac:dyDescent="0.2">
      <c r="A17" s="2505">
        <v>2016</v>
      </c>
      <c r="B17" s="2505" t="s">
        <v>2691</v>
      </c>
      <c r="C17" s="2505" t="s">
        <v>2106</v>
      </c>
      <c r="D17" s="2505" t="s">
        <v>2107</v>
      </c>
      <c r="E17" s="2505">
        <v>1.5002296793888803</v>
      </c>
    </row>
    <row r="18" spans="1:5" x14ac:dyDescent="0.2">
      <c r="A18" s="2505">
        <v>2016</v>
      </c>
      <c r="B18" s="2505" t="s">
        <v>2692</v>
      </c>
      <c r="C18" s="2505" t="s">
        <v>2112</v>
      </c>
      <c r="D18" s="2505" t="s">
        <v>2113</v>
      </c>
      <c r="E18" s="2505">
        <v>2.0944579812328215</v>
      </c>
    </row>
    <row r="19" spans="1:5" x14ac:dyDescent="0.2">
      <c r="A19" s="2505">
        <v>2016</v>
      </c>
      <c r="B19" s="2505" t="s">
        <v>2693</v>
      </c>
      <c r="C19" s="2505" t="s">
        <v>2139</v>
      </c>
      <c r="D19" s="2505" t="s">
        <v>2140</v>
      </c>
      <c r="E19" s="2505">
        <v>4.0210494090787705</v>
      </c>
    </row>
    <row r="20" spans="1:5" x14ac:dyDescent="0.2">
      <c r="A20" s="2505">
        <v>2016</v>
      </c>
      <c r="B20" s="2505" t="s">
        <v>2694</v>
      </c>
      <c r="C20" s="2505" t="s">
        <v>2098</v>
      </c>
      <c r="D20" s="2505" t="s">
        <v>2099</v>
      </c>
      <c r="E20" s="2505">
        <v>6.5526333160280217</v>
      </c>
    </row>
    <row r="21" spans="1:5" x14ac:dyDescent="0.2">
      <c r="A21" s="2505">
        <v>2016</v>
      </c>
      <c r="B21" s="2505" t="s">
        <v>2695</v>
      </c>
      <c r="C21" s="2505" t="s">
        <v>2136</v>
      </c>
      <c r="D21" s="2505" t="s">
        <v>2137</v>
      </c>
      <c r="E21" s="2505">
        <v>3.6174426325092668</v>
      </c>
    </row>
    <row r="22" spans="1:5" x14ac:dyDescent="0.2">
      <c r="A22" s="2505">
        <v>2016</v>
      </c>
      <c r="B22" s="2505" t="s">
        <v>2696</v>
      </c>
      <c r="C22" s="2505" t="s">
        <v>2095</v>
      </c>
      <c r="D22" s="2505" t="s">
        <v>2096</v>
      </c>
      <c r="E22" s="2505">
        <v>2.8629558752814006</v>
      </c>
    </row>
    <row r="23" spans="1:5" x14ac:dyDescent="0.2">
      <c r="A23" s="2505">
        <v>2016</v>
      </c>
      <c r="B23" s="2505" t="s">
        <v>2697</v>
      </c>
      <c r="C23" s="2505" t="s">
        <v>2092</v>
      </c>
      <c r="D23" s="2505" t="s">
        <v>2093</v>
      </c>
      <c r="E23" s="2505">
        <v>-1.6636441073191577</v>
      </c>
    </row>
    <row r="24" spans="1:5" x14ac:dyDescent="0.2">
      <c r="A24" s="2505">
        <v>2016</v>
      </c>
      <c r="B24" s="2505" t="s">
        <v>2698</v>
      </c>
      <c r="C24" s="2505" t="s">
        <v>2124</v>
      </c>
      <c r="D24" s="2505" t="s">
        <v>2125</v>
      </c>
      <c r="E24" s="2505">
        <v>3.0348267237576749</v>
      </c>
    </row>
    <row r="25" spans="1:5" x14ac:dyDescent="0.2">
      <c r="A25" s="2505">
        <v>2016</v>
      </c>
      <c r="B25" s="2505" t="s">
        <v>2699</v>
      </c>
      <c r="C25" s="2505" t="s">
        <v>2103</v>
      </c>
      <c r="D25" s="2505" t="s">
        <v>2104</v>
      </c>
      <c r="E25" s="2505">
        <v>-3.8876985023515971</v>
      </c>
    </row>
    <row r="26" spans="1:5" x14ac:dyDescent="0.2">
      <c r="A26" s="2505">
        <v>2016</v>
      </c>
      <c r="B26" s="2505" t="s">
        <v>2700</v>
      </c>
      <c r="C26" s="2505" t="s">
        <v>2109</v>
      </c>
      <c r="D26" s="2505" t="s">
        <v>2110</v>
      </c>
      <c r="E26" s="2505">
        <v>1.0438010550798253</v>
      </c>
    </row>
    <row r="27" spans="1:5" x14ac:dyDescent="0.2">
      <c r="A27" s="2505">
        <v>2016</v>
      </c>
      <c r="B27" s="2505" t="s">
        <v>2701</v>
      </c>
      <c r="C27" s="2505" t="s">
        <v>2115</v>
      </c>
      <c r="D27" s="2505" t="s">
        <v>2116</v>
      </c>
    </row>
    <row r="28" spans="1:5" x14ac:dyDescent="0.2">
      <c r="A28" s="2505">
        <v>2016</v>
      </c>
      <c r="B28" s="2505" t="s">
        <v>2702</v>
      </c>
      <c r="C28" s="2505" t="s">
        <v>2121</v>
      </c>
      <c r="D28" s="2505" t="s">
        <v>2122</v>
      </c>
      <c r="E28" s="2505">
        <v>4.848723760717462</v>
      </c>
    </row>
    <row r="29" spans="1:5" x14ac:dyDescent="0.2">
      <c r="A29" s="2505">
        <v>2016</v>
      </c>
      <c r="B29" s="2505" t="s">
        <v>2703</v>
      </c>
      <c r="C29" s="2505" t="s">
        <v>2130</v>
      </c>
      <c r="D29" s="2505" t="s">
        <v>2131</v>
      </c>
      <c r="E29" s="2505">
        <v>-3.8473624947110494</v>
      </c>
    </row>
    <row r="30" spans="1:5" x14ac:dyDescent="0.2">
      <c r="A30" s="2505">
        <v>2016</v>
      </c>
      <c r="B30" s="2505" t="s">
        <v>2704</v>
      </c>
      <c r="C30" s="2505" t="s">
        <v>2101</v>
      </c>
      <c r="D30" s="2505" t="s">
        <v>1421</v>
      </c>
      <c r="E30" s="2505">
        <v>0.88240590671708219</v>
      </c>
    </row>
    <row r="31" spans="1:5" x14ac:dyDescent="0.2">
      <c r="A31" s="2505">
        <v>2016</v>
      </c>
      <c r="B31" s="2505" t="s">
        <v>2705</v>
      </c>
      <c r="C31" s="2505" t="s">
        <v>2133</v>
      </c>
      <c r="D31" s="2505" t="s">
        <v>2134</v>
      </c>
      <c r="E31" s="2505">
        <v>-0.56681460884445301</v>
      </c>
    </row>
    <row r="32" spans="1:5" x14ac:dyDescent="0.2">
      <c r="A32" s="2505">
        <v>2016</v>
      </c>
      <c r="B32" s="2505" t="s">
        <v>2706</v>
      </c>
      <c r="C32" s="2505" t="s">
        <v>2118</v>
      </c>
      <c r="D32" s="2505" t="s">
        <v>2119</v>
      </c>
      <c r="E32" s="2505">
        <v>6.4913705872106533</v>
      </c>
    </row>
    <row r="33" spans="1:5" x14ac:dyDescent="0.2">
      <c r="A33" s="2505">
        <v>2016</v>
      </c>
      <c r="B33" s="2505" t="s">
        <v>2707</v>
      </c>
      <c r="C33" s="2505" t="s">
        <v>2127</v>
      </c>
      <c r="D33" s="2505" t="s">
        <v>2128</v>
      </c>
      <c r="E33" s="2505">
        <v>-0.25494143642312395</v>
      </c>
    </row>
    <row r="34" spans="1:5" x14ac:dyDescent="0.2">
      <c r="A34" s="2505">
        <v>2016</v>
      </c>
      <c r="B34" s="2505" t="s">
        <v>2708</v>
      </c>
      <c r="C34" s="2505" t="s">
        <v>2160</v>
      </c>
      <c r="D34" s="2505" t="s">
        <v>2161</v>
      </c>
      <c r="E34" s="2505">
        <v>4.7998860811566288</v>
      </c>
    </row>
    <row r="35" spans="1:5" x14ac:dyDescent="0.2">
      <c r="A35" s="2505">
        <v>2016</v>
      </c>
      <c r="B35" s="2505" t="s">
        <v>2709</v>
      </c>
      <c r="C35" s="2505" t="s">
        <v>2151</v>
      </c>
      <c r="D35" s="2505" t="s">
        <v>2152</v>
      </c>
      <c r="E35" s="2505">
        <v>1.0782687507538071</v>
      </c>
    </row>
    <row r="36" spans="1:5" x14ac:dyDescent="0.2">
      <c r="A36" s="2505">
        <v>2016</v>
      </c>
      <c r="B36" s="2505" t="s">
        <v>2710</v>
      </c>
      <c r="C36" s="2505" t="s">
        <v>2711</v>
      </c>
      <c r="E36" s="2505">
        <v>3.6154990596501904</v>
      </c>
    </row>
    <row r="37" spans="1:5" x14ac:dyDescent="0.2">
      <c r="A37" s="2505">
        <v>2016</v>
      </c>
      <c r="B37" s="2505" t="s">
        <v>2712</v>
      </c>
      <c r="C37" s="2505" t="s">
        <v>2584</v>
      </c>
      <c r="D37" s="2505" t="s">
        <v>2585</v>
      </c>
      <c r="E37" s="2505">
        <v>0.84223693757714102</v>
      </c>
    </row>
    <row r="38" spans="1:5" x14ac:dyDescent="0.2">
      <c r="A38" s="2505">
        <v>2016</v>
      </c>
      <c r="B38" s="2505" t="s">
        <v>2713</v>
      </c>
      <c r="C38" s="2505" t="s">
        <v>2714</v>
      </c>
    </row>
    <row r="39" spans="1:5" x14ac:dyDescent="0.2">
      <c r="A39" s="2505">
        <v>2016</v>
      </c>
      <c r="B39" s="2505" t="s">
        <v>2715</v>
      </c>
      <c r="C39" s="2505" t="s">
        <v>2166</v>
      </c>
      <c r="D39" s="2505" t="s">
        <v>2167</v>
      </c>
      <c r="E39" s="2505">
        <v>2.3055669945707393</v>
      </c>
    </row>
    <row r="40" spans="1:5" x14ac:dyDescent="0.2">
      <c r="A40" s="2505">
        <v>2016</v>
      </c>
      <c r="B40" s="2505" t="s">
        <v>2716</v>
      </c>
      <c r="C40" s="2505" t="s">
        <v>2169</v>
      </c>
      <c r="D40" s="2505" t="s">
        <v>2170</v>
      </c>
      <c r="E40" s="2505">
        <v>6.9143301080584365</v>
      </c>
    </row>
    <row r="41" spans="1:5" x14ac:dyDescent="0.2">
      <c r="A41" s="2505">
        <v>2016</v>
      </c>
      <c r="B41" s="2505" t="s">
        <v>2717</v>
      </c>
      <c r="C41" s="2505" t="s">
        <v>2190</v>
      </c>
      <c r="D41" s="2505" t="s">
        <v>2191</v>
      </c>
      <c r="E41" s="2505">
        <v>9.1633807029076024</v>
      </c>
    </row>
    <row r="42" spans="1:5" x14ac:dyDescent="0.2">
      <c r="A42" s="2505">
        <v>2016</v>
      </c>
      <c r="B42" s="2505" t="s">
        <v>2718</v>
      </c>
      <c r="C42" s="2505" t="s">
        <v>2148</v>
      </c>
      <c r="D42" s="2505" t="s">
        <v>2149</v>
      </c>
      <c r="E42" s="2505">
        <v>5.7732475806071477</v>
      </c>
    </row>
    <row r="43" spans="1:5" x14ac:dyDescent="0.2">
      <c r="A43" s="2505">
        <v>2016</v>
      </c>
      <c r="B43" s="2505" t="s">
        <v>2719</v>
      </c>
      <c r="C43" s="2505" t="s">
        <v>2181</v>
      </c>
      <c r="D43" s="2505" t="s">
        <v>2182</v>
      </c>
      <c r="E43" s="2505">
        <v>2.6464479353397934</v>
      </c>
    </row>
    <row r="44" spans="1:5" x14ac:dyDescent="0.2">
      <c r="A44" s="2505">
        <v>2016</v>
      </c>
      <c r="B44" s="2505" t="s">
        <v>1859</v>
      </c>
      <c r="C44" s="2505" t="s">
        <v>2172</v>
      </c>
      <c r="D44" s="2505" t="s">
        <v>2173</v>
      </c>
      <c r="E44" s="2505">
        <v>3.0832859673048318</v>
      </c>
    </row>
    <row r="45" spans="1:5" x14ac:dyDescent="0.2">
      <c r="A45" s="2505">
        <v>2016</v>
      </c>
      <c r="B45" s="2505" t="s">
        <v>2720</v>
      </c>
      <c r="C45" s="2505" t="s">
        <v>2175</v>
      </c>
      <c r="D45" s="2505" t="s">
        <v>2176</v>
      </c>
      <c r="E45" s="2505">
        <v>1.0151184160334594</v>
      </c>
    </row>
    <row r="46" spans="1:5" x14ac:dyDescent="0.2">
      <c r="A46" s="2505">
        <v>2016</v>
      </c>
      <c r="B46" s="2505" t="s">
        <v>2721</v>
      </c>
      <c r="C46" s="2505" t="s">
        <v>2154</v>
      </c>
      <c r="D46" s="2505" t="s">
        <v>2155</v>
      </c>
      <c r="E46" s="2505">
        <v>1.4546605208981731</v>
      </c>
    </row>
    <row r="47" spans="1:5" x14ac:dyDescent="0.2">
      <c r="A47" s="2505">
        <v>2016</v>
      </c>
      <c r="B47" s="2505" t="s">
        <v>2722</v>
      </c>
      <c r="C47" s="2505" t="s">
        <v>2187</v>
      </c>
      <c r="D47" s="2505" t="s">
        <v>2188</v>
      </c>
      <c r="E47" s="2505">
        <v>3.7491448297983965</v>
      </c>
    </row>
    <row r="48" spans="1:5" x14ac:dyDescent="0.2">
      <c r="A48" s="2505">
        <v>2016</v>
      </c>
      <c r="B48" s="2505" t="s">
        <v>2723</v>
      </c>
      <c r="C48" s="2505" t="s">
        <v>2724</v>
      </c>
      <c r="E48" s="2505">
        <v>0.24243210673758142</v>
      </c>
    </row>
    <row r="49" spans="1:5" x14ac:dyDescent="0.2">
      <c r="A49" s="2505">
        <v>2016</v>
      </c>
      <c r="B49" s="2505" t="s">
        <v>2725</v>
      </c>
      <c r="C49" s="2505" t="s">
        <v>2196</v>
      </c>
      <c r="D49" s="2505" t="s">
        <v>2197</v>
      </c>
    </row>
    <row r="50" spans="1:5" x14ac:dyDescent="0.2">
      <c r="A50" s="2505">
        <v>2016</v>
      </c>
      <c r="B50" s="2505" t="s">
        <v>2726</v>
      </c>
      <c r="C50" s="2505" t="s">
        <v>2727</v>
      </c>
    </row>
    <row r="51" spans="1:5" x14ac:dyDescent="0.2">
      <c r="A51" s="2505">
        <v>2016</v>
      </c>
      <c r="B51" s="2505" t="s">
        <v>2728</v>
      </c>
      <c r="C51" s="2505" t="s">
        <v>2157</v>
      </c>
      <c r="D51" s="2505" t="s">
        <v>2158</v>
      </c>
    </row>
    <row r="52" spans="1:5" x14ac:dyDescent="0.2">
      <c r="A52" s="2505">
        <v>2016</v>
      </c>
      <c r="B52" s="2505" t="s">
        <v>2729</v>
      </c>
      <c r="C52" s="2505" t="s">
        <v>2199</v>
      </c>
      <c r="D52" s="2505" t="s">
        <v>2200</v>
      </c>
      <c r="E52" s="2505">
        <v>1.6792737287969715</v>
      </c>
    </row>
    <row r="53" spans="1:5" x14ac:dyDescent="0.2">
      <c r="A53" s="2505">
        <v>2016</v>
      </c>
      <c r="B53" s="2505" t="s">
        <v>2730</v>
      </c>
      <c r="C53" s="2505" t="s">
        <v>2202</v>
      </c>
      <c r="D53" s="2505" t="s">
        <v>2203</v>
      </c>
      <c r="E53" s="2505">
        <v>4.5356286985865921</v>
      </c>
    </row>
    <row r="54" spans="1:5" x14ac:dyDescent="0.2">
      <c r="A54" s="2505">
        <v>2016</v>
      </c>
      <c r="B54" s="2505" t="s">
        <v>2731</v>
      </c>
      <c r="C54" s="2505" t="s">
        <v>2258</v>
      </c>
      <c r="D54" s="2505" t="s">
        <v>2259</v>
      </c>
      <c r="E54" s="2505">
        <v>1.7207335002515975</v>
      </c>
    </row>
    <row r="55" spans="1:5" x14ac:dyDescent="0.2">
      <c r="A55" s="2505">
        <v>2016</v>
      </c>
      <c r="B55" s="2505" t="s">
        <v>2732</v>
      </c>
      <c r="C55" s="2505" t="s">
        <v>2208</v>
      </c>
      <c r="D55" s="2505" t="s">
        <v>2209</v>
      </c>
      <c r="E55" s="2505">
        <v>6.5005083079179258</v>
      </c>
    </row>
    <row r="56" spans="1:5" x14ac:dyDescent="0.2">
      <c r="A56" s="2505">
        <v>2016</v>
      </c>
      <c r="B56" s="2505" t="s">
        <v>2733</v>
      </c>
      <c r="C56" s="2505" t="s">
        <v>2211</v>
      </c>
      <c r="D56" s="2505" t="s">
        <v>2212</v>
      </c>
      <c r="E56" s="2505">
        <v>-1.7621450052978105</v>
      </c>
    </row>
    <row r="57" spans="1:5" x14ac:dyDescent="0.2">
      <c r="A57" s="2505">
        <v>2016</v>
      </c>
      <c r="B57" s="2505" t="s">
        <v>2734</v>
      </c>
      <c r="C57" s="2505" t="s">
        <v>2205</v>
      </c>
      <c r="D57" s="2505" t="s">
        <v>2206</v>
      </c>
      <c r="E57" s="2505">
        <v>0.98802499548051514</v>
      </c>
    </row>
    <row r="58" spans="1:5" x14ac:dyDescent="0.2">
      <c r="A58" s="2505">
        <v>2016</v>
      </c>
      <c r="B58" s="2505" t="s">
        <v>2735</v>
      </c>
      <c r="C58" s="2505" t="s">
        <v>2214</v>
      </c>
      <c r="D58" s="2505" t="s">
        <v>2215</v>
      </c>
      <c r="E58" s="2505">
        <v>7.0409361889940243</v>
      </c>
    </row>
    <row r="59" spans="1:5" x14ac:dyDescent="0.2">
      <c r="A59" s="2505">
        <v>2016</v>
      </c>
      <c r="B59" s="2505" t="s">
        <v>2736</v>
      </c>
      <c r="C59" s="2505" t="s">
        <v>2060</v>
      </c>
      <c r="D59" s="2505" t="s">
        <v>2061</v>
      </c>
      <c r="E59" s="2505">
        <v>3.8999999999999204</v>
      </c>
    </row>
    <row r="60" spans="1:5" x14ac:dyDescent="0.2">
      <c r="A60" s="2505">
        <v>2016</v>
      </c>
      <c r="B60" s="2505" t="s">
        <v>2737</v>
      </c>
      <c r="C60" s="2505" t="s">
        <v>2738</v>
      </c>
      <c r="E60" s="2505">
        <v>6.4847251881690511</v>
      </c>
    </row>
    <row r="61" spans="1:5" x14ac:dyDescent="0.2">
      <c r="A61" s="2505">
        <v>2016</v>
      </c>
      <c r="B61" s="2505" t="s">
        <v>2739</v>
      </c>
      <c r="C61" s="2505" t="s">
        <v>2740</v>
      </c>
      <c r="E61" s="2505">
        <v>4.5022412264135596</v>
      </c>
    </row>
    <row r="62" spans="1:5" x14ac:dyDescent="0.2">
      <c r="A62" s="2505">
        <v>2016</v>
      </c>
      <c r="B62" s="2505" t="s">
        <v>2741</v>
      </c>
      <c r="C62" s="2505" t="s">
        <v>2742</v>
      </c>
      <c r="E62" s="2505">
        <v>3.9180597147723688</v>
      </c>
    </row>
    <row r="63" spans="1:5" x14ac:dyDescent="0.2">
      <c r="A63" s="2505">
        <v>2016</v>
      </c>
      <c r="B63" s="2505" t="s">
        <v>2743</v>
      </c>
      <c r="C63" s="2505" t="s">
        <v>2744</v>
      </c>
      <c r="E63" s="2505">
        <v>-0.64439036666523464</v>
      </c>
    </row>
    <row r="64" spans="1:5" x14ac:dyDescent="0.2">
      <c r="A64" s="2505">
        <v>2016</v>
      </c>
      <c r="B64" s="2505" t="s">
        <v>2745</v>
      </c>
      <c r="C64" s="2505" t="s">
        <v>2746</v>
      </c>
      <c r="E64" s="2505">
        <v>1.7018902727065068</v>
      </c>
    </row>
    <row r="65" spans="1:5" x14ac:dyDescent="0.2">
      <c r="A65" s="2505">
        <v>2016</v>
      </c>
      <c r="B65" s="2505" t="s">
        <v>2747</v>
      </c>
      <c r="C65" s="2505" t="s">
        <v>2217</v>
      </c>
      <c r="D65" s="2505" t="s">
        <v>2218</v>
      </c>
      <c r="E65" s="2505">
        <v>0.15774372433267558</v>
      </c>
    </row>
    <row r="66" spans="1:5" x14ac:dyDescent="0.2">
      <c r="A66" s="2505">
        <v>2016</v>
      </c>
      <c r="B66" s="2505" t="s">
        <v>2748</v>
      </c>
      <c r="C66" s="2505" t="s">
        <v>2220</v>
      </c>
      <c r="D66" s="2505" t="s">
        <v>2221</v>
      </c>
      <c r="E66" s="2505">
        <v>4.2</v>
      </c>
    </row>
    <row r="67" spans="1:5" x14ac:dyDescent="0.2">
      <c r="A67" s="2505">
        <v>2016</v>
      </c>
      <c r="B67" s="2505" t="s">
        <v>2749</v>
      </c>
      <c r="C67" s="2505" t="s">
        <v>2750</v>
      </c>
      <c r="E67" s="2505">
        <v>2.0359375233007597</v>
      </c>
    </row>
    <row r="68" spans="1:5" x14ac:dyDescent="0.2">
      <c r="A68" s="2505">
        <v>2016</v>
      </c>
      <c r="B68" s="2505" t="s">
        <v>2751</v>
      </c>
      <c r="C68" s="2505" t="s">
        <v>2229</v>
      </c>
      <c r="D68" s="2505" t="s">
        <v>2230</v>
      </c>
    </row>
    <row r="69" spans="1:5" x14ac:dyDescent="0.2">
      <c r="A69" s="2505">
        <v>2016</v>
      </c>
      <c r="B69" s="2505" t="s">
        <v>2752</v>
      </c>
      <c r="C69" s="2505" t="s">
        <v>2558</v>
      </c>
      <c r="D69" s="2505" t="s">
        <v>1954</v>
      </c>
      <c r="E69" s="2505">
        <v>3.2142864020366204</v>
      </c>
    </row>
    <row r="70" spans="1:5" x14ac:dyDescent="0.2">
      <c r="A70" s="2505">
        <v>2016</v>
      </c>
      <c r="B70" s="2505" t="s">
        <v>2753</v>
      </c>
      <c r="C70" s="2505" t="s">
        <v>2232</v>
      </c>
      <c r="D70" s="2505" t="s">
        <v>2233</v>
      </c>
      <c r="E70" s="2505">
        <v>1.4442131030086216</v>
      </c>
    </row>
    <row r="71" spans="1:5" x14ac:dyDescent="0.2">
      <c r="A71" s="2505">
        <v>2016</v>
      </c>
      <c r="B71" s="2505" t="s">
        <v>2754</v>
      </c>
      <c r="C71" s="2505" t="s">
        <v>2235</v>
      </c>
      <c r="D71" s="2505" t="s">
        <v>2236</v>
      </c>
      <c r="E71" s="2505">
        <v>9.6075180010107886</v>
      </c>
    </row>
    <row r="72" spans="1:5" x14ac:dyDescent="0.2">
      <c r="A72" s="2505">
        <v>2016</v>
      </c>
      <c r="B72" s="2505" t="s">
        <v>2755</v>
      </c>
      <c r="C72" s="2505" t="s">
        <v>2756</v>
      </c>
      <c r="E72" s="2505">
        <v>2.224415942884761</v>
      </c>
    </row>
    <row r="73" spans="1:5" x14ac:dyDescent="0.2">
      <c r="A73" s="2505">
        <v>2016</v>
      </c>
      <c r="B73" s="2505" t="s">
        <v>2757</v>
      </c>
      <c r="C73" s="2505" t="s">
        <v>2758</v>
      </c>
      <c r="E73" s="2505">
        <v>2.2932712063365841</v>
      </c>
    </row>
    <row r="74" spans="1:5" x14ac:dyDescent="0.2">
      <c r="A74" s="2505">
        <v>2016</v>
      </c>
      <c r="B74" s="2505" t="s">
        <v>2759</v>
      </c>
      <c r="C74" s="2505" t="s">
        <v>2241</v>
      </c>
      <c r="D74" s="2505" t="s">
        <v>2242</v>
      </c>
      <c r="E74" s="2505">
        <v>0.21029027568411607</v>
      </c>
    </row>
    <row r="75" spans="1:5" x14ac:dyDescent="0.2">
      <c r="A75" s="2505">
        <v>2016</v>
      </c>
      <c r="B75" s="2505" t="s">
        <v>2760</v>
      </c>
      <c r="C75" s="2505" t="s">
        <v>2238</v>
      </c>
      <c r="D75" s="2505" t="s">
        <v>2239</v>
      </c>
      <c r="E75" s="2505">
        <v>5.563460807465745</v>
      </c>
    </row>
    <row r="76" spans="1:5" x14ac:dyDescent="0.2">
      <c r="A76" s="2505">
        <v>2016</v>
      </c>
      <c r="B76" s="2505" t="s">
        <v>2761</v>
      </c>
      <c r="C76" s="2505" t="s">
        <v>2244</v>
      </c>
      <c r="D76" s="2505" t="s">
        <v>2245</v>
      </c>
      <c r="E76" s="2505">
        <v>1.2741803246989321</v>
      </c>
    </row>
    <row r="77" spans="1:5" x14ac:dyDescent="0.2">
      <c r="A77" s="2505">
        <v>2016</v>
      </c>
      <c r="B77" s="2505" t="s">
        <v>2762</v>
      </c>
      <c r="C77" s="2505" t="s">
        <v>2763</v>
      </c>
    </row>
    <row r="78" spans="1:5" x14ac:dyDescent="0.2">
      <c r="A78" s="2505">
        <v>2016</v>
      </c>
      <c r="B78" s="2505" t="s">
        <v>2764</v>
      </c>
      <c r="C78" s="2505" t="s">
        <v>2419</v>
      </c>
      <c r="D78" s="2505" t="s">
        <v>2420</v>
      </c>
      <c r="E78" s="2505">
        <v>3.7726855348610115</v>
      </c>
    </row>
    <row r="79" spans="1:5" x14ac:dyDescent="0.2">
      <c r="A79" s="2505">
        <v>2016</v>
      </c>
      <c r="B79" s="2505" t="s">
        <v>2765</v>
      </c>
      <c r="C79" s="2505" t="s">
        <v>2249</v>
      </c>
      <c r="D79" s="2505" t="s">
        <v>2250</v>
      </c>
      <c r="E79" s="2505">
        <v>4.0128275649133656</v>
      </c>
    </row>
    <row r="80" spans="1:5" x14ac:dyDescent="0.2">
      <c r="A80" s="2505">
        <v>2016</v>
      </c>
      <c r="B80" s="2505" t="s">
        <v>2766</v>
      </c>
      <c r="C80" s="2505" t="s">
        <v>2635</v>
      </c>
      <c r="D80" s="2505" t="s">
        <v>2636</v>
      </c>
      <c r="E80" s="2505">
        <v>2.2215021283306271</v>
      </c>
    </row>
    <row r="81" spans="1:5" x14ac:dyDescent="0.2">
      <c r="A81" s="2505">
        <v>2016</v>
      </c>
      <c r="B81" s="2505" t="s">
        <v>2767</v>
      </c>
      <c r="C81" s="2505" t="s">
        <v>2255</v>
      </c>
      <c r="D81" s="2505" t="s">
        <v>2256</v>
      </c>
      <c r="E81" s="2505">
        <v>2.774928094540499</v>
      </c>
    </row>
    <row r="82" spans="1:5" x14ac:dyDescent="0.2">
      <c r="A82" s="2505">
        <v>2016</v>
      </c>
      <c r="B82" s="2505" t="s">
        <v>2768</v>
      </c>
      <c r="C82" s="2505" t="s">
        <v>2261</v>
      </c>
      <c r="D82" s="2505" t="s">
        <v>2262</v>
      </c>
      <c r="E82" s="2505">
        <v>3.9172216443425185</v>
      </c>
    </row>
    <row r="83" spans="1:5" x14ac:dyDescent="0.2">
      <c r="A83" s="2505">
        <v>2016</v>
      </c>
      <c r="B83" s="2505" t="s">
        <v>2769</v>
      </c>
      <c r="C83" s="2505" t="s">
        <v>2770</v>
      </c>
    </row>
    <row r="84" spans="1:5" x14ac:dyDescent="0.2">
      <c r="A84" s="2505">
        <v>2016</v>
      </c>
      <c r="B84" s="2505" t="s">
        <v>2771</v>
      </c>
      <c r="C84" s="2505" t="s">
        <v>2277</v>
      </c>
      <c r="D84" s="2505" t="s">
        <v>2278</v>
      </c>
      <c r="E84" s="2505">
        <v>9.9994527774470043E-2</v>
      </c>
    </row>
    <row r="85" spans="1:5" x14ac:dyDescent="0.2">
      <c r="A85" s="2505">
        <v>2016</v>
      </c>
      <c r="B85" s="2505" t="s">
        <v>2772</v>
      </c>
      <c r="C85" s="2505" t="s">
        <v>2252</v>
      </c>
      <c r="D85" s="2505" t="s">
        <v>2253</v>
      </c>
      <c r="E85" s="2505">
        <v>4.7158791337820389</v>
      </c>
    </row>
    <row r="86" spans="1:5" x14ac:dyDescent="0.2">
      <c r="A86" s="2505">
        <v>2016</v>
      </c>
      <c r="B86" s="2505" t="s">
        <v>2773</v>
      </c>
      <c r="C86" s="2505" t="s">
        <v>2280</v>
      </c>
      <c r="D86" s="2505" t="s">
        <v>2281</v>
      </c>
      <c r="E86" s="2505">
        <v>4.7967798313801637</v>
      </c>
    </row>
    <row r="87" spans="1:5" x14ac:dyDescent="0.2">
      <c r="A87" s="2505">
        <v>2016</v>
      </c>
      <c r="B87" s="2505" t="s">
        <v>2774</v>
      </c>
      <c r="C87" s="2505" t="s">
        <v>2226</v>
      </c>
      <c r="D87" s="2505" t="s">
        <v>2227</v>
      </c>
      <c r="E87" s="2505">
        <v>-8.2849688554576346</v>
      </c>
    </row>
    <row r="88" spans="1:5" x14ac:dyDescent="0.2">
      <c r="A88" s="2505">
        <v>2016</v>
      </c>
      <c r="B88" s="2505" t="s">
        <v>2775</v>
      </c>
      <c r="C88" s="2505" t="s">
        <v>2264</v>
      </c>
      <c r="D88" s="2505" t="s">
        <v>2265</v>
      </c>
      <c r="E88" s="2505">
        <v>-0.21914717826305719</v>
      </c>
    </row>
    <row r="89" spans="1:5" x14ac:dyDescent="0.2">
      <c r="A89" s="2505">
        <v>2016</v>
      </c>
      <c r="B89" s="2505" t="s">
        <v>2776</v>
      </c>
      <c r="C89" s="2505" t="s">
        <v>2269</v>
      </c>
      <c r="D89" s="2505" t="s">
        <v>2270</v>
      </c>
      <c r="E89" s="2505">
        <v>6.228710462287097</v>
      </c>
    </row>
    <row r="90" spans="1:5" x14ac:dyDescent="0.2">
      <c r="A90" s="2505">
        <v>2016</v>
      </c>
      <c r="B90" s="2505" t="s">
        <v>2777</v>
      </c>
      <c r="C90" s="2505" t="s">
        <v>2267</v>
      </c>
    </row>
    <row r="91" spans="1:5" x14ac:dyDescent="0.2">
      <c r="A91" s="2505">
        <v>2016</v>
      </c>
      <c r="B91" s="2505" t="s">
        <v>2778</v>
      </c>
      <c r="C91" s="2505" t="s">
        <v>2274</v>
      </c>
      <c r="D91" s="2505" t="s">
        <v>2275</v>
      </c>
      <c r="E91" s="2505">
        <v>4.1487844747838807</v>
      </c>
    </row>
    <row r="92" spans="1:5" x14ac:dyDescent="0.2">
      <c r="A92" s="2505">
        <v>2016</v>
      </c>
      <c r="B92" s="2505" t="s">
        <v>2779</v>
      </c>
      <c r="C92" s="2505" t="s">
        <v>2272</v>
      </c>
    </row>
    <row r="93" spans="1:5" x14ac:dyDescent="0.2">
      <c r="A93" s="2505">
        <v>2016</v>
      </c>
      <c r="B93" s="2505" t="s">
        <v>2780</v>
      </c>
      <c r="C93" s="2505" t="s">
        <v>2283</v>
      </c>
      <c r="D93" s="2505" t="s">
        <v>2284</v>
      </c>
      <c r="E93" s="2505">
        <v>3.005814077845173</v>
      </c>
    </row>
    <row r="94" spans="1:5" x14ac:dyDescent="0.2">
      <c r="A94" s="2505">
        <v>2016</v>
      </c>
      <c r="B94" s="2505" t="s">
        <v>2781</v>
      </c>
      <c r="C94" s="2505" t="s">
        <v>2782</v>
      </c>
      <c r="E94" s="2505">
        <v>2.083584775042624</v>
      </c>
    </row>
    <row r="95" spans="1:5" x14ac:dyDescent="0.2">
      <c r="A95" s="2505">
        <v>2016</v>
      </c>
      <c r="B95" s="2505" t="s">
        <v>2783</v>
      </c>
      <c r="C95" s="2505" t="s">
        <v>2292</v>
      </c>
      <c r="D95" s="2505" t="s">
        <v>2293</v>
      </c>
      <c r="E95" s="2505">
        <v>2.4367918909404125</v>
      </c>
    </row>
    <row r="96" spans="1:5" x14ac:dyDescent="0.2">
      <c r="A96" s="2505">
        <v>2016</v>
      </c>
      <c r="B96" s="2505" t="s">
        <v>2784</v>
      </c>
      <c r="C96" s="2505" t="s">
        <v>2289</v>
      </c>
      <c r="D96" s="2505" t="s">
        <v>2290</v>
      </c>
      <c r="E96" s="2505">
        <v>3.6430171908645264</v>
      </c>
    </row>
    <row r="97" spans="1:5" x14ac:dyDescent="0.2">
      <c r="A97" s="2505">
        <v>2016</v>
      </c>
      <c r="B97" s="2505" t="s">
        <v>2785</v>
      </c>
      <c r="C97" s="2505" t="s">
        <v>2786</v>
      </c>
      <c r="E97" s="2505">
        <v>4.9802807112261149</v>
      </c>
    </row>
    <row r="98" spans="1:5" x14ac:dyDescent="0.2">
      <c r="A98" s="2505">
        <v>2016</v>
      </c>
      <c r="B98" s="2505" t="s">
        <v>2787</v>
      </c>
      <c r="C98" s="2505" t="s">
        <v>2193</v>
      </c>
      <c r="D98" s="2505" t="s">
        <v>2194</v>
      </c>
      <c r="E98" s="2505">
        <v>1.6446132588368698</v>
      </c>
    </row>
    <row r="99" spans="1:5" x14ac:dyDescent="0.2">
      <c r="A99" s="2505">
        <v>2016</v>
      </c>
      <c r="B99" s="2505" t="s">
        <v>2788</v>
      </c>
      <c r="C99" s="2505" t="s">
        <v>2286</v>
      </c>
      <c r="D99" s="2505" t="s">
        <v>2287</v>
      </c>
      <c r="E99" s="2505">
        <v>1.1854634967934317</v>
      </c>
    </row>
    <row r="100" spans="1:5" x14ac:dyDescent="0.2">
      <c r="A100" s="2505">
        <v>2016</v>
      </c>
      <c r="B100" s="2505" t="s">
        <v>2789</v>
      </c>
      <c r="C100" s="2505" t="s">
        <v>2295</v>
      </c>
      <c r="D100" s="2505" t="s">
        <v>2296</v>
      </c>
      <c r="E100" s="2505">
        <v>3.1480838290241877</v>
      </c>
    </row>
    <row r="101" spans="1:5" x14ac:dyDescent="0.2">
      <c r="A101" s="2505">
        <v>2016</v>
      </c>
      <c r="B101" s="2505" t="s">
        <v>2790</v>
      </c>
      <c r="C101" s="2505" t="s">
        <v>2791</v>
      </c>
      <c r="E101" s="2505">
        <v>3.6472006231252436</v>
      </c>
    </row>
    <row r="102" spans="1:5" x14ac:dyDescent="0.2">
      <c r="A102" s="2505">
        <v>2016</v>
      </c>
      <c r="B102" s="2505" t="s">
        <v>2792</v>
      </c>
      <c r="C102" s="2505" t="s">
        <v>2793</v>
      </c>
      <c r="E102" s="2505">
        <v>3.6882195245879927</v>
      </c>
    </row>
    <row r="103" spans="1:5" x14ac:dyDescent="0.2">
      <c r="A103" s="2505">
        <v>2016</v>
      </c>
      <c r="B103" s="2505" t="s">
        <v>2794</v>
      </c>
      <c r="C103" s="2505" t="s">
        <v>2795</v>
      </c>
      <c r="E103" s="2505">
        <v>4.183055873963724</v>
      </c>
    </row>
    <row r="104" spans="1:5" x14ac:dyDescent="0.2">
      <c r="A104" s="2505">
        <v>2016</v>
      </c>
      <c r="B104" s="2505" t="s">
        <v>2796</v>
      </c>
      <c r="C104" s="2505" t="s">
        <v>2797</v>
      </c>
      <c r="E104" s="2505">
        <v>4.1414897377548385</v>
      </c>
    </row>
    <row r="105" spans="1:5" x14ac:dyDescent="0.2">
      <c r="A105" s="2505">
        <v>2016</v>
      </c>
      <c r="B105" s="2505" t="s">
        <v>2798</v>
      </c>
      <c r="C105" s="2505" t="s">
        <v>2304</v>
      </c>
      <c r="D105" s="2505" t="s">
        <v>2305</v>
      </c>
      <c r="E105" s="2505">
        <v>4.7939213038223443</v>
      </c>
    </row>
    <row r="106" spans="1:5" x14ac:dyDescent="0.2">
      <c r="A106" s="2505">
        <v>2016</v>
      </c>
      <c r="B106" s="2505" t="s">
        <v>2799</v>
      </c>
      <c r="C106" s="2505" t="s">
        <v>2800</v>
      </c>
      <c r="E106" s="2505">
        <v>4.2324324038167163</v>
      </c>
    </row>
    <row r="107" spans="1:5" x14ac:dyDescent="0.2">
      <c r="A107" s="2505">
        <v>2016</v>
      </c>
      <c r="B107" s="2505" t="s">
        <v>2801</v>
      </c>
      <c r="C107" s="2505" t="s">
        <v>2802</v>
      </c>
    </row>
    <row r="108" spans="1:5" x14ac:dyDescent="0.2">
      <c r="A108" s="2505">
        <v>2016</v>
      </c>
      <c r="B108" s="2505" t="s">
        <v>2803</v>
      </c>
      <c r="C108" s="2505" t="s">
        <v>2301</v>
      </c>
      <c r="D108" s="2505" t="s">
        <v>2302</v>
      </c>
      <c r="E108" s="2505">
        <v>7.5633671795075657</v>
      </c>
    </row>
    <row r="109" spans="1:5" x14ac:dyDescent="0.2">
      <c r="A109" s="2505">
        <v>2016</v>
      </c>
      <c r="B109" s="2505" t="s">
        <v>2804</v>
      </c>
      <c r="C109" s="2505" t="s">
        <v>2805</v>
      </c>
    </row>
    <row r="110" spans="1:5" x14ac:dyDescent="0.2">
      <c r="A110" s="2505">
        <v>2016</v>
      </c>
      <c r="B110" s="2505" t="s">
        <v>2806</v>
      </c>
      <c r="C110" s="2505" t="s">
        <v>2313</v>
      </c>
      <c r="D110" s="2505" t="s">
        <v>2314</v>
      </c>
      <c r="E110" s="2505">
        <v>26.276057269431604</v>
      </c>
    </row>
    <row r="111" spans="1:5" x14ac:dyDescent="0.2">
      <c r="A111" s="2505">
        <v>2016</v>
      </c>
      <c r="B111" s="2505" t="s">
        <v>2807</v>
      </c>
      <c r="C111" s="2505" t="s">
        <v>2307</v>
      </c>
      <c r="D111" s="2505" t="s">
        <v>2308</v>
      </c>
    </row>
    <row r="112" spans="1:5" x14ac:dyDescent="0.2">
      <c r="A112" s="2505">
        <v>2016</v>
      </c>
      <c r="B112" s="2505" t="s">
        <v>2808</v>
      </c>
      <c r="C112" s="2505" t="s">
        <v>2310</v>
      </c>
      <c r="D112" s="2505" t="s">
        <v>2311</v>
      </c>
      <c r="E112" s="2505">
        <v>3.0199245635576375</v>
      </c>
    </row>
    <row r="113" spans="1:5" x14ac:dyDescent="0.2">
      <c r="A113" s="2505">
        <v>2016</v>
      </c>
      <c r="B113" s="2505" t="s">
        <v>2809</v>
      </c>
      <c r="C113" s="2505" t="s">
        <v>2298</v>
      </c>
      <c r="D113" s="2505" t="s">
        <v>2299</v>
      </c>
      <c r="E113" s="2505">
        <v>3.9571222006085804</v>
      </c>
    </row>
    <row r="114" spans="1:5" x14ac:dyDescent="0.2">
      <c r="A114" s="2505">
        <v>2016</v>
      </c>
      <c r="B114" s="2505" t="s">
        <v>2810</v>
      </c>
      <c r="C114" s="2505" t="s">
        <v>2316</v>
      </c>
      <c r="D114" s="2505" t="s">
        <v>2317</v>
      </c>
      <c r="E114" s="2505">
        <v>2.5078360615900124</v>
      </c>
    </row>
    <row r="115" spans="1:5" x14ac:dyDescent="0.2">
      <c r="A115" s="2505">
        <v>2016</v>
      </c>
      <c r="B115" s="2505" t="s">
        <v>2811</v>
      </c>
      <c r="C115" s="2505" t="s">
        <v>2319</v>
      </c>
      <c r="D115" s="2505" t="s">
        <v>2320</v>
      </c>
      <c r="E115" s="2505">
        <v>0.73173056131507508</v>
      </c>
    </row>
    <row r="116" spans="1:5" x14ac:dyDescent="0.2">
      <c r="A116" s="2505">
        <v>2016</v>
      </c>
      <c r="B116" s="2505" t="s">
        <v>2812</v>
      </c>
      <c r="C116" s="2505" t="s">
        <v>2322</v>
      </c>
      <c r="D116" s="2505" t="s">
        <v>2323</v>
      </c>
      <c r="E116" s="2505">
        <v>0.99649891520670053</v>
      </c>
    </row>
    <row r="117" spans="1:5" x14ac:dyDescent="0.2">
      <c r="A117" s="2505">
        <v>2016</v>
      </c>
      <c r="B117" s="2505" t="s">
        <v>2813</v>
      </c>
      <c r="C117" s="2505" t="s">
        <v>2330</v>
      </c>
      <c r="D117" s="2505" t="s">
        <v>2331</v>
      </c>
      <c r="E117" s="2505">
        <v>2.3826868563636907</v>
      </c>
    </row>
    <row r="118" spans="1:5" x14ac:dyDescent="0.2">
      <c r="A118" s="2505">
        <v>2016</v>
      </c>
      <c r="B118" s="2505" t="s">
        <v>2814</v>
      </c>
      <c r="C118" s="2505" t="s">
        <v>2325</v>
      </c>
      <c r="D118" s="2505" t="s">
        <v>2326</v>
      </c>
      <c r="E118" s="2505">
        <v>1.2194381389459892</v>
      </c>
    </row>
    <row r="119" spans="1:5" x14ac:dyDescent="0.2">
      <c r="A119" s="2505">
        <v>2016</v>
      </c>
      <c r="B119" s="2505" t="s">
        <v>2815</v>
      </c>
      <c r="C119" s="2505" t="s">
        <v>2333</v>
      </c>
      <c r="D119" s="2505" t="s">
        <v>2334</v>
      </c>
      <c r="E119" s="2505">
        <v>1.1999999999995623</v>
      </c>
    </row>
    <row r="120" spans="1:5" x14ac:dyDescent="0.2">
      <c r="A120" s="2505">
        <v>2016</v>
      </c>
      <c r="B120" s="2505" t="s">
        <v>2816</v>
      </c>
      <c r="C120" s="2505" t="s">
        <v>2336</v>
      </c>
      <c r="D120" s="2505" t="s">
        <v>2337</v>
      </c>
      <c r="E120" s="2505">
        <v>5.6491970777029223</v>
      </c>
    </row>
    <row r="121" spans="1:5" x14ac:dyDescent="0.2">
      <c r="A121" s="2505">
        <v>2016</v>
      </c>
      <c r="B121" s="2505" t="s">
        <v>2817</v>
      </c>
      <c r="C121" s="2505" t="s">
        <v>2353</v>
      </c>
      <c r="D121" s="2505" t="s">
        <v>2354</v>
      </c>
      <c r="E121" s="2505">
        <v>3.4692810259757607</v>
      </c>
    </row>
    <row r="122" spans="1:5" x14ac:dyDescent="0.2">
      <c r="A122" s="2505">
        <v>2016</v>
      </c>
      <c r="B122" s="2505" t="s">
        <v>2818</v>
      </c>
      <c r="C122" s="2505" t="s">
        <v>2145</v>
      </c>
      <c r="D122" s="2505" t="s">
        <v>2146</v>
      </c>
      <c r="E122" s="2505">
        <v>7.0360871792963167</v>
      </c>
    </row>
    <row r="123" spans="1:5" x14ac:dyDescent="0.2">
      <c r="A123" s="2505">
        <v>2016</v>
      </c>
      <c r="B123" s="2505" t="s">
        <v>2819</v>
      </c>
      <c r="C123" s="2505" t="s">
        <v>2339</v>
      </c>
      <c r="D123" s="2505" t="s">
        <v>2340</v>
      </c>
      <c r="E123" s="2505">
        <v>3.4970484032485984</v>
      </c>
    </row>
    <row r="124" spans="1:5" x14ac:dyDescent="0.2">
      <c r="A124" s="2505">
        <v>2016</v>
      </c>
      <c r="B124" s="2505" t="s">
        <v>2820</v>
      </c>
      <c r="C124" s="2505" t="s">
        <v>2563</v>
      </c>
      <c r="D124" s="2505" t="s">
        <v>2564</v>
      </c>
      <c r="E124" s="2505">
        <v>3.7629115502165575</v>
      </c>
    </row>
    <row r="125" spans="1:5" x14ac:dyDescent="0.2">
      <c r="A125" s="2505">
        <v>2016</v>
      </c>
      <c r="B125" s="2505" t="s">
        <v>2821</v>
      </c>
      <c r="C125" s="2505" t="s">
        <v>2345</v>
      </c>
      <c r="D125" s="2505" t="s">
        <v>2346</v>
      </c>
      <c r="E125" s="2505">
        <v>2.6119354087061879</v>
      </c>
    </row>
    <row r="126" spans="1:5" x14ac:dyDescent="0.2">
      <c r="A126" s="2505">
        <v>2016</v>
      </c>
      <c r="B126" s="2505" t="s">
        <v>2822</v>
      </c>
      <c r="C126" s="2505" t="s">
        <v>2823</v>
      </c>
      <c r="E126" s="2505">
        <v>3.9157723368249577</v>
      </c>
    </row>
    <row r="127" spans="1:5" x14ac:dyDescent="0.2">
      <c r="A127" s="2505">
        <v>2016</v>
      </c>
      <c r="B127" s="2505" t="s">
        <v>2824</v>
      </c>
      <c r="C127" s="2505" t="s">
        <v>2350</v>
      </c>
      <c r="D127" s="2505" t="s">
        <v>2351</v>
      </c>
      <c r="E127" s="2505">
        <v>1.8469992622179348</v>
      </c>
    </row>
    <row r="128" spans="1:5" x14ac:dyDescent="0.2">
      <c r="A128" s="2505">
        <v>2016</v>
      </c>
      <c r="B128" s="2505" t="s">
        <v>2825</v>
      </c>
      <c r="C128" s="2505" t="s">
        <v>2826</v>
      </c>
      <c r="E128" s="2505">
        <v>-0.44009337857201558</v>
      </c>
    </row>
    <row r="129" spans="1:5" x14ac:dyDescent="0.2">
      <c r="A129" s="2505">
        <v>2016</v>
      </c>
      <c r="B129" s="2505" t="s">
        <v>2827</v>
      </c>
      <c r="C129" s="2505" t="s">
        <v>2356</v>
      </c>
      <c r="D129" s="2505" t="s">
        <v>2357</v>
      </c>
      <c r="E129" s="2505">
        <v>7.3503860077323964</v>
      </c>
    </row>
    <row r="130" spans="1:5" x14ac:dyDescent="0.2">
      <c r="A130" s="2505">
        <v>2016</v>
      </c>
      <c r="B130" s="2505" t="s">
        <v>2828</v>
      </c>
      <c r="C130" s="2505" t="s">
        <v>2362</v>
      </c>
      <c r="D130" s="2505" t="s">
        <v>2363</v>
      </c>
      <c r="E130" s="2505">
        <v>1.3000000000575653</v>
      </c>
    </row>
    <row r="131" spans="1:5" x14ac:dyDescent="0.2">
      <c r="A131" s="2505">
        <v>2016</v>
      </c>
      <c r="B131" s="2505" t="s">
        <v>2829</v>
      </c>
      <c r="C131" s="2505" t="s">
        <v>2368</v>
      </c>
      <c r="D131" s="2505" t="s">
        <v>2369</v>
      </c>
      <c r="E131" s="2505">
        <v>0</v>
      </c>
    </row>
    <row r="132" spans="1:5" x14ac:dyDescent="0.2">
      <c r="A132" s="2505">
        <v>2016</v>
      </c>
      <c r="B132" s="2505" t="s">
        <v>2830</v>
      </c>
      <c r="C132" s="2505" t="s">
        <v>2371</v>
      </c>
      <c r="D132" s="2505" t="s">
        <v>2372</v>
      </c>
    </row>
    <row r="133" spans="1:5" x14ac:dyDescent="0.2">
      <c r="A133" s="2505">
        <v>2016</v>
      </c>
      <c r="B133" s="2505" t="s">
        <v>2831</v>
      </c>
      <c r="C133" s="2505" t="s">
        <v>2566</v>
      </c>
      <c r="D133" s="2505" t="s">
        <v>2567</v>
      </c>
      <c r="E133" s="2505">
        <v>2.3700131591480016</v>
      </c>
    </row>
    <row r="134" spans="1:5" x14ac:dyDescent="0.2">
      <c r="A134" s="2505">
        <v>2016</v>
      </c>
      <c r="B134" s="2505" t="s">
        <v>2832</v>
      </c>
      <c r="C134" s="2505" t="s">
        <v>2833</v>
      </c>
      <c r="E134" s="2505">
        <v>-0.29447777916038831</v>
      </c>
    </row>
    <row r="135" spans="1:5" x14ac:dyDescent="0.2">
      <c r="A135" s="2505">
        <v>2016</v>
      </c>
      <c r="B135" s="2505" t="s">
        <v>2834</v>
      </c>
      <c r="C135" s="2505" t="s">
        <v>2835</v>
      </c>
      <c r="E135" s="2505">
        <v>3.5529378896787875</v>
      </c>
    </row>
    <row r="136" spans="1:5" x14ac:dyDescent="0.2">
      <c r="A136" s="2505">
        <v>2016</v>
      </c>
      <c r="B136" s="2505" t="s">
        <v>2836</v>
      </c>
      <c r="C136" s="2505" t="s">
        <v>2837</v>
      </c>
      <c r="E136" s="2505">
        <v>4.4147888337279824</v>
      </c>
    </row>
    <row r="137" spans="1:5" x14ac:dyDescent="0.2">
      <c r="A137" s="2505">
        <v>2016</v>
      </c>
      <c r="B137" s="2505" t="s">
        <v>2838</v>
      </c>
      <c r="C137" s="2505" t="s">
        <v>2374</v>
      </c>
    </row>
    <row r="138" spans="1:5" x14ac:dyDescent="0.2">
      <c r="A138" s="2505">
        <v>2016</v>
      </c>
      <c r="B138" s="2505" t="s">
        <v>2839</v>
      </c>
      <c r="C138" s="2505" t="s">
        <v>2560</v>
      </c>
      <c r="D138" s="2505" t="s">
        <v>2561</v>
      </c>
      <c r="E138" s="2505">
        <v>4.7859845672358716</v>
      </c>
    </row>
    <row r="139" spans="1:5" x14ac:dyDescent="0.2">
      <c r="A139" s="2505">
        <v>2016</v>
      </c>
      <c r="B139" s="2505" t="s">
        <v>2840</v>
      </c>
      <c r="C139" s="2505" t="s">
        <v>2841</v>
      </c>
      <c r="E139" s="2505">
        <v>5.3026149091672323</v>
      </c>
    </row>
    <row r="140" spans="1:5" x14ac:dyDescent="0.2">
      <c r="A140" s="2505">
        <v>2016</v>
      </c>
      <c r="B140" s="2505" t="s">
        <v>2842</v>
      </c>
      <c r="C140" s="2505" t="s">
        <v>2843</v>
      </c>
      <c r="E140" s="2505">
        <v>3.7154747704494042</v>
      </c>
    </row>
    <row r="141" spans="1:5" x14ac:dyDescent="0.2">
      <c r="A141" s="2505">
        <v>2016</v>
      </c>
      <c r="B141" s="2505" t="s">
        <v>2844</v>
      </c>
      <c r="C141" s="2505" t="s">
        <v>2365</v>
      </c>
      <c r="D141" s="2505" t="s">
        <v>2366</v>
      </c>
      <c r="E141" s="2505">
        <v>1.6119404351861988</v>
      </c>
    </row>
    <row r="142" spans="1:5" x14ac:dyDescent="0.2">
      <c r="A142" s="2505">
        <v>2016</v>
      </c>
      <c r="B142" s="2505" t="s">
        <v>2845</v>
      </c>
      <c r="C142" s="2505" t="s">
        <v>2846</v>
      </c>
      <c r="E142" s="2505">
        <v>3.7065147062825332</v>
      </c>
    </row>
    <row r="143" spans="1:5" x14ac:dyDescent="0.2">
      <c r="A143" s="2505">
        <v>2016</v>
      </c>
      <c r="B143" s="2505" t="s">
        <v>2847</v>
      </c>
      <c r="C143" s="2505" t="s">
        <v>2376</v>
      </c>
      <c r="D143" s="2505" t="s">
        <v>2377</v>
      </c>
      <c r="E143" s="2505">
        <v>1.6167899781656558</v>
      </c>
    </row>
    <row r="144" spans="1:5" x14ac:dyDescent="0.2">
      <c r="A144" s="2505">
        <v>2016</v>
      </c>
      <c r="B144" s="2505" t="s">
        <v>2848</v>
      </c>
      <c r="C144" s="2505" t="s">
        <v>2379</v>
      </c>
      <c r="D144" s="2505" t="s">
        <v>2380</v>
      </c>
      <c r="E144" s="2505">
        <v>4.849233222299091</v>
      </c>
    </row>
    <row r="145" spans="1:5" x14ac:dyDescent="0.2">
      <c r="A145" s="2505">
        <v>2016</v>
      </c>
      <c r="B145" s="2505" t="s">
        <v>2849</v>
      </c>
      <c r="C145" s="2505" t="s">
        <v>2359</v>
      </c>
      <c r="D145" s="2505" t="s">
        <v>2360</v>
      </c>
      <c r="E145" s="2505">
        <v>2.7383702002186965</v>
      </c>
    </row>
    <row r="146" spans="1:5" x14ac:dyDescent="0.2">
      <c r="A146" s="2505">
        <v>2016</v>
      </c>
      <c r="B146" s="2505" t="s">
        <v>2850</v>
      </c>
      <c r="C146" s="2505" t="s">
        <v>2382</v>
      </c>
      <c r="D146" s="2505" t="s">
        <v>2383</v>
      </c>
      <c r="E146" s="2505">
        <v>-20.348732557310839</v>
      </c>
    </row>
    <row r="147" spans="1:5" x14ac:dyDescent="0.2">
      <c r="A147" s="2505">
        <v>2016</v>
      </c>
      <c r="B147" s="2505" t="s">
        <v>2851</v>
      </c>
      <c r="C147" s="2505" t="s">
        <v>2852</v>
      </c>
    </row>
    <row r="148" spans="1:5" x14ac:dyDescent="0.2">
      <c r="A148" s="2505">
        <v>2016</v>
      </c>
      <c r="B148" s="2505" t="s">
        <v>2853</v>
      </c>
      <c r="C148" s="2505" t="s">
        <v>2432</v>
      </c>
      <c r="D148" s="2505" t="s">
        <v>2433</v>
      </c>
      <c r="E148" s="2505">
        <v>4.5084874647031796</v>
      </c>
    </row>
    <row r="149" spans="1:5" x14ac:dyDescent="0.2">
      <c r="A149" s="2505">
        <v>2016</v>
      </c>
      <c r="B149" s="2505" t="s">
        <v>2854</v>
      </c>
      <c r="C149" s="2505" t="s">
        <v>2425</v>
      </c>
    </row>
    <row r="150" spans="1:5" x14ac:dyDescent="0.2">
      <c r="A150" s="2505">
        <v>2016</v>
      </c>
      <c r="B150" s="2505" t="s">
        <v>2855</v>
      </c>
      <c r="C150" s="2505" t="s">
        <v>2422</v>
      </c>
      <c r="D150" s="2505" t="s">
        <v>2423</v>
      </c>
      <c r="E150" s="2505">
        <v>-0.50000000622645757</v>
      </c>
    </row>
    <row r="151" spans="1:5" x14ac:dyDescent="0.2">
      <c r="A151" s="2505">
        <v>2016</v>
      </c>
      <c r="B151" s="2505" t="s">
        <v>2856</v>
      </c>
      <c r="C151" s="2505" t="s">
        <v>2388</v>
      </c>
      <c r="D151" s="2505" t="s">
        <v>2389</v>
      </c>
      <c r="E151" s="2505">
        <v>3.0541560161452281</v>
      </c>
    </row>
    <row r="152" spans="1:5" x14ac:dyDescent="0.2">
      <c r="A152" s="2505">
        <v>2016</v>
      </c>
      <c r="B152" s="2505" t="s">
        <v>2857</v>
      </c>
      <c r="C152" s="2505" t="s">
        <v>2397</v>
      </c>
      <c r="E152" s="2505">
        <v>2.8466434979827113</v>
      </c>
    </row>
    <row r="153" spans="1:5" x14ac:dyDescent="0.2">
      <c r="A153" s="2505">
        <v>2016</v>
      </c>
      <c r="B153" s="2505" t="s">
        <v>2858</v>
      </c>
      <c r="C153" s="2505" t="s">
        <v>2859</v>
      </c>
      <c r="E153" s="2505">
        <v>3.0869867906246071</v>
      </c>
    </row>
    <row r="154" spans="1:5" x14ac:dyDescent="0.2">
      <c r="A154" s="2505">
        <v>2016</v>
      </c>
      <c r="B154" s="2505" t="s">
        <v>2860</v>
      </c>
      <c r="C154" s="2505" t="s">
        <v>2416</v>
      </c>
      <c r="D154" s="2505" t="s">
        <v>2417</v>
      </c>
      <c r="E154" s="2505">
        <v>2.464955925370532</v>
      </c>
    </row>
    <row r="155" spans="1:5" x14ac:dyDescent="0.2">
      <c r="A155" s="2505">
        <v>2016</v>
      </c>
      <c r="B155" s="2505" t="s">
        <v>2861</v>
      </c>
      <c r="C155" s="2505" t="s">
        <v>2405</v>
      </c>
      <c r="D155" s="2505" t="s">
        <v>2406</v>
      </c>
      <c r="E155" s="2505">
        <v>0.63442118363788325</v>
      </c>
    </row>
    <row r="156" spans="1:5" x14ac:dyDescent="0.2">
      <c r="A156" s="2505">
        <v>2016</v>
      </c>
      <c r="B156" s="2505" t="s">
        <v>2862</v>
      </c>
      <c r="C156" s="2505" t="s">
        <v>2863</v>
      </c>
      <c r="E156" s="2505">
        <v>3.7056097124183367</v>
      </c>
    </row>
    <row r="157" spans="1:5" x14ac:dyDescent="0.2">
      <c r="A157" s="2505">
        <v>2016</v>
      </c>
      <c r="B157" s="2505" t="s">
        <v>2864</v>
      </c>
      <c r="C157" s="2505" t="s">
        <v>2385</v>
      </c>
      <c r="D157" s="2505" t="s">
        <v>2386</v>
      </c>
      <c r="E157" s="2505">
        <v>3.6652803609358955</v>
      </c>
    </row>
    <row r="158" spans="1:5" x14ac:dyDescent="0.2">
      <c r="A158" s="2505">
        <v>2016</v>
      </c>
      <c r="B158" s="2505" t="s">
        <v>2865</v>
      </c>
      <c r="C158" s="2505" t="s">
        <v>2399</v>
      </c>
      <c r="D158" s="2505" t="s">
        <v>2400</v>
      </c>
      <c r="E158" s="2505">
        <v>5.9625815905151711</v>
      </c>
    </row>
    <row r="159" spans="1:5" x14ac:dyDescent="0.2">
      <c r="A159" s="2505">
        <v>2016</v>
      </c>
      <c r="B159" s="2505" t="s">
        <v>2866</v>
      </c>
      <c r="C159" s="2505" t="s">
        <v>2402</v>
      </c>
      <c r="D159" s="2505" t="s">
        <v>2403</v>
      </c>
      <c r="E159" s="2505">
        <v>6.1549582351681238</v>
      </c>
    </row>
    <row r="160" spans="1:5" x14ac:dyDescent="0.2">
      <c r="A160" s="2505">
        <v>2016</v>
      </c>
      <c r="B160" s="2505" t="s">
        <v>2867</v>
      </c>
      <c r="C160" s="2505" t="s">
        <v>2438</v>
      </c>
      <c r="D160" s="2505" t="s">
        <v>861</v>
      </c>
      <c r="E160" s="2505">
        <v>7.294031845397015</v>
      </c>
    </row>
    <row r="161" spans="1:5" x14ac:dyDescent="0.2">
      <c r="A161" s="2505">
        <v>2016</v>
      </c>
      <c r="B161" s="2505" t="s">
        <v>2868</v>
      </c>
      <c r="C161" s="2505" t="s">
        <v>2869</v>
      </c>
    </row>
    <row r="162" spans="1:5" x14ac:dyDescent="0.2">
      <c r="A162" s="2505">
        <v>2016</v>
      </c>
      <c r="B162" s="2505" t="s">
        <v>2870</v>
      </c>
      <c r="C162" s="2505" t="s">
        <v>2430</v>
      </c>
      <c r="E162" s="2505">
        <v>3.1511913809289638</v>
      </c>
    </row>
    <row r="163" spans="1:5" x14ac:dyDescent="0.2">
      <c r="A163" s="2505">
        <v>2016</v>
      </c>
      <c r="B163" s="2505" t="s">
        <v>2871</v>
      </c>
      <c r="C163" s="2505" t="s">
        <v>2427</v>
      </c>
      <c r="D163" s="2505" t="s">
        <v>2428</v>
      </c>
      <c r="E163" s="2505">
        <v>2.3571711892347764</v>
      </c>
    </row>
    <row r="164" spans="1:5" x14ac:dyDescent="0.2">
      <c r="A164" s="2505">
        <v>2016</v>
      </c>
      <c r="B164" s="2505" t="s">
        <v>2872</v>
      </c>
      <c r="C164" s="2505" t="s">
        <v>2873</v>
      </c>
    </row>
    <row r="165" spans="1:5" x14ac:dyDescent="0.2">
      <c r="A165" s="2505">
        <v>2016</v>
      </c>
      <c r="B165" s="2505" t="s">
        <v>2874</v>
      </c>
      <c r="C165" s="2505" t="s">
        <v>2435</v>
      </c>
      <c r="D165" s="2505" t="s">
        <v>2436</v>
      </c>
      <c r="E165" s="2505">
        <v>6.609723213823429</v>
      </c>
    </row>
    <row r="166" spans="1:5" x14ac:dyDescent="0.2">
      <c r="A166" s="2505">
        <v>2016</v>
      </c>
      <c r="B166" s="2505" t="s">
        <v>2875</v>
      </c>
      <c r="C166" s="2505" t="s">
        <v>2410</v>
      </c>
      <c r="D166" s="2505" t="s">
        <v>2411</v>
      </c>
    </row>
    <row r="167" spans="1:5" x14ac:dyDescent="0.2">
      <c r="A167" s="2505">
        <v>2016</v>
      </c>
      <c r="B167" s="2505" t="s">
        <v>2876</v>
      </c>
      <c r="C167" s="2505" t="s">
        <v>2413</v>
      </c>
      <c r="D167" s="2505" t="s">
        <v>2414</v>
      </c>
      <c r="E167" s="2505">
        <v>3.468664132161777</v>
      </c>
    </row>
    <row r="168" spans="1:5" x14ac:dyDescent="0.2">
      <c r="A168" s="2505">
        <v>2016</v>
      </c>
      <c r="B168" s="2505" t="s">
        <v>2877</v>
      </c>
      <c r="C168" s="2505" t="s">
        <v>2391</v>
      </c>
      <c r="D168" s="2505" t="s">
        <v>2392</v>
      </c>
      <c r="E168" s="2505">
        <v>2.826181331360317</v>
      </c>
    </row>
    <row r="169" spans="1:5" x14ac:dyDescent="0.2">
      <c r="A169" s="2505">
        <v>2016</v>
      </c>
      <c r="B169" s="2505" t="s">
        <v>2878</v>
      </c>
      <c r="C169" s="2505" t="s">
        <v>2394</v>
      </c>
      <c r="D169" s="2505" t="s">
        <v>2395</v>
      </c>
      <c r="E169" s="2505">
        <v>4.9687852160146093</v>
      </c>
    </row>
    <row r="170" spans="1:5" x14ac:dyDescent="0.2">
      <c r="A170" s="2505">
        <v>2016</v>
      </c>
      <c r="B170" s="2505" t="s">
        <v>2879</v>
      </c>
      <c r="C170" s="2505" t="s">
        <v>2880</v>
      </c>
      <c r="E170" s="2505">
        <v>2.4461872456447367</v>
      </c>
    </row>
    <row r="171" spans="1:5" x14ac:dyDescent="0.2">
      <c r="A171" s="2505">
        <v>2016</v>
      </c>
      <c r="B171" s="2505" t="s">
        <v>2881</v>
      </c>
      <c r="C171" s="2505" t="s">
        <v>2440</v>
      </c>
      <c r="D171" s="2505" t="s">
        <v>2441</v>
      </c>
      <c r="E171" s="2505">
        <v>5.2952223484042946</v>
      </c>
    </row>
    <row r="172" spans="1:5" x14ac:dyDescent="0.2">
      <c r="A172" s="2505">
        <v>2016</v>
      </c>
      <c r="B172" s="2505" t="s">
        <v>2882</v>
      </c>
      <c r="C172" s="2505" t="s">
        <v>2883</v>
      </c>
    </row>
    <row r="173" spans="1:5" x14ac:dyDescent="0.2">
      <c r="A173" s="2505">
        <v>2016</v>
      </c>
      <c r="B173" s="2505" t="s">
        <v>2884</v>
      </c>
      <c r="C173" s="2505" t="s">
        <v>2459</v>
      </c>
      <c r="D173" s="2505" t="s">
        <v>2460</v>
      </c>
      <c r="E173" s="2505">
        <v>3.6053016052253355</v>
      </c>
    </row>
    <row r="174" spans="1:5" x14ac:dyDescent="0.2">
      <c r="A174" s="2505">
        <v>2016</v>
      </c>
      <c r="B174" s="2505" t="s">
        <v>2885</v>
      </c>
      <c r="C174" s="2505" t="s">
        <v>2462</v>
      </c>
      <c r="D174" s="2505" t="s">
        <v>2463</v>
      </c>
      <c r="E174" s="2505">
        <v>2.6526936230434757</v>
      </c>
    </row>
    <row r="175" spans="1:5" x14ac:dyDescent="0.2">
      <c r="A175" s="2505">
        <v>2016</v>
      </c>
      <c r="B175" s="2505" t="s">
        <v>2886</v>
      </c>
      <c r="C175" s="2505" t="s">
        <v>2456</v>
      </c>
      <c r="D175" s="2505" t="s">
        <v>2457</v>
      </c>
      <c r="E175" s="2505">
        <v>4.9289543915839999</v>
      </c>
    </row>
    <row r="176" spans="1:5" x14ac:dyDescent="0.2">
      <c r="A176" s="2505">
        <v>2016</v>
      </c>
      <c r="B176" s="2505" t="s">
        <v>2887</v>
      </c>
      <c r="C176" s="2505" t="s">
        <v>2448</v>
      </c>
      <c r="D176" s="2505" t="s">
        <v>2449</v>
      </c>
      <c r="E176" s="2505">
        <v>1.9517109823091232</v>
      </c>
    </row>
    <row r="177" spans="1:5" x14ac:dyDescent="0.2">
      <c r="A177" s="2505">
        <v>2016</v>
      </c>
      <c r="B177" s="2505" t="s">
        <v>2888</v>
      </c>
      <c r="C177" s="2505" t="s">
        <v>2467</v>
      </c>
      <c r="D177" s="2505" t="s">
        <v>104</v>
      </c>
      <c r="E177" s="2505">
        <v>1.6110271080602416</v>
      </c>
    </row>
    <row r="178" spans="1:5" x14ac:dyDescent="0.2">
      <c r="A178" s="2505">
        <v>2016</v>
      </c>
      <c r="B178" s="2505" t="s">
        <v>2889</v>
      </c>
      <c r="C178" s="2505" t="s">
        <v>2445</v>
      </c>
      <c r="D178" s="2505" t="s">
        <v>2446</v>
      </c>
      <c r="E178" s="2505">
        <v>2.7252721909615047</v>
      </c>
    </row>
    <row r="179" spans="1:5" x14ac:dyDescent="0.2">
      <c r="A179" s="2505">
        <v>2016</v>
      </c>
      <c r="B179" s="2505" t="s">
        <v>2890</v>
      </c>
      <c r="C179" s="2505" t="s">
        <v>2443</v>
      </c>
      <c r="E179" s="2505">
        <v>2.8081883152408977</v>
      </c>
    </row>
    <row r="180" spans="1:5" x14ac:dyDescent="0.2">
      <c r="A180" s="2505">
        <v>2016</v>
      </c>
      <c r="B180" s="2505" t="s">
        <v>2891</v>
      </c>
      <c r="C180" s="2505" t="s">
        <v>2453</v>
      </c>
      <c r="D180" s="2505" t="s">
        <v>2454</v>
      </c>
      <c r="E180" s="2505">
        <v>3.3929999330519962</v>
      </c>
    </row>
    <row r="181" spans="1:5" x14ac:dyDescent="0.2">
      <c r="A181" s="2505">
        <v>2016</v>
      </c>
      <c r="B181" s="2505" t="s">
        <v>2892</v>
      </c>
      <c r="C181" s="2505" t="s">
        <v>2893</v>
      </c>
      <c r="E181" s="2505">
        <v>2.1240025989473565</v>
      </c>
    </row>
    <row r="182" spans="1:5" x14ac:dyDescent="0.2">
      <c r="A182" s="2505">
        <v>2016</v>
      </c>
      <c r="B182" s="2505" t="s">
        <v>2894</v>
      </c>
      <c r="C182" s="2505" t="s">
        <v>2469</v>
      </c>
      <c r="D182" s="2505" t="s">
        <v>2470</v>
      </c>
      <c r="E182" s="2505">
        <v>5.6530737390771151</v>
      </c>
    </row>
    <row r="183" spans="1:5" x14ac:dyDescent="0.2">
      <c r="A183" s="2505">
        <v>2016</v>
      </c>
      <c r="B183" s="2505" t="s">
        <v>2895</v>
      </c>
      <c r="C183" s="2505" t="s">
        <v>2896</v>
      </c>
      <c r="E183" s="2505">
        <v>2.5241658249842516</v>
      </c>
    </row>
    <row r="184" spans="1:5" x14ac:dyDescent="0.2">
      <c r="A184" s="2505">
        <v>2016</v>
      </c>
      <c r="B184" s="2505" t="s">
        <v>2897</v>
      </c>
      <c r="C184" s="2505" t="s">
        <v>2472</v>
      </c>
      <c r="D184" s="2505" t="s">
        <v>2473</v>
      </c>
      <c r="E184" s="2505">
        <v>4.7124578036947185</v>
      </c>
    </row>
    <row r="185" spans="1:5" x14ac:dyDescent="0.2">
      <c r="A185" s="2505">
        <v>2016</v>
      </c>
      <c r="B185" s="2505" t="s">
        <v>2898</v>
      </c>
      <c r="C185" s="2505" t="s">
        <v>2478</v>
      </c>
      <c r="D185" s="2505" t="s">
        <v>2479</v>
      </c>
      <c r="E185" s="2505">
        <v>5.7773936308178833</v>
      </c>
    </row>
    <row r="186" spans="1:5" x14ac:dyDescent="0.2">
      <c r="A186" s="2505">
        <v>2016</v>
      </c>
      <c r="B186" s="2505" t="s">
        <v>2899</v>
      </c>
      <c r="C186" s="2505" t="s">
        <v>2487</v>
      </c>
      <c r="D186" s="2505" t="s">
        <v>2488</v>
      </c>
      <c r="E186" s="2505">
        <v>3.2512024247561584</v>
      </c>
    </row>
    <row r="187" spans="1:5" x14ac:dyDescent="0.2">
      <c r="A187" s="2505">
        <v>2016</v>
      </c>
      <c r="B187" s="2505" t="s">
        <v>2900</v>
      </c>
      <c r="C187" s="2505" t="s">
        <v>2490</v>
      </c>
      <c r="D187" s="2505" t="s">
        <v>2491</v>
      </c>
      <c r="E187" s="2505">
        <v>5.9050145623096029</v>
      </c>
    </row>
    <row r="188" spans="1:5" x14ac:dyDescent="0.2">
      <c r="A188" s="2505">
        <v>2016</v>
      </c>
      <c r="B188" s="2505" t="s">
        <v>2901</v>
      </c>
      <c r="C188" s="2505" t="s">
        <v>2475</v>
      </c>
      <c r="D188" s="2505" t="s">
        <v>2476</v>
      </c>
      <c r="E188" s="2505">
        <v>9.3630919978225222</v>
      </c>
    </row>
    <row r="189" spans="1:5" x14ac:dyDescent="0.2">
      <c r="A189" s="2505">
        <v>2016</v>
      </c>
      <c r="B189" s="2505" t="s">
        <v>2902</v>
      </c>
      <c r="C189" s="2505" t="s">
        <v>2481</v>
      </c>
      <c r="D189" s="2505" t="s">
        <v>2482</v>
      </c>
    </row>
    <row r="190" spans="1:5" x14ac:dyDescent="0.2">
      <c r="A190" s="2505">
        <v>2016</v>
      </c>
      <c r="B190" s="2505" t="s">
        <v>2903</v>
      </c>
      <c r="C190" s="2505" t="s">
        <v>2493</v>
      </c>
      <c r="D190" s="2505" t="s">
        <v>2494</v>
      </c>
      <c r="E190" s="2505">
        <v>3.9409107622656165</v>
      </c>
    </row>
    <row r="191" spans="1:5" x14ac:dyDescent="0.2">
      <c r="A191" s="2505">
        <v>2016</v>
      </c>
      <c r="B191" s="2505" t="s">
        <v>2904</v>
      </c>
      <c r="C191" s="2505" t="s">
        <v>2905</v>
      </c>
      <c r="E191" s="2505">
        <v>3.3104069404880789</v>
      </c>
    </row>
    <row r="192" spans="1:5" x14ac:dyDescent="0.2">
      <c r="A192" s="2505">
        <v>2016</v>
      </c>
      <c r="B192" s="2505" t="s">
        <v>2906</v>
      </c>
      <c r="C192" s="2505" t="s">
        <v>2499</v>
      </c>
      <c r="D192" s="2505" t="s">
        <v>2500</v>
      </c>
    </row>
    <row r="193" spans="1:5" x14ac:dyDescent="0.2">
      <c r="A193" s="2505">
        <v>2016</v>
      </c>
      <c r="B193" s="2505" t="s">
        <v>2907</v>
      </c>
      <c r="C193" s="2505" t="s">
        <v>2342</v>
      </c>
      <c r="D193" s="2505" t="s">
        <v>2343</v>
      </c>
    </row>
    <row r="194" spans="1:5" x14ac:dyDescent="0.2">
      <c r="A194" s="2505">
        <v>2016</v>
      </c>
      <c r="B194" s="2505" t="s">
        <v>2908</v>
      </c>
      <c r="C194" s="2505" t="s">
        <v>2496</v>
      </c>
      <c r="D194" s="2505" t="s">
        <v>2497</v>
      </c>
      <c r="E194" s="2505">
        <v>1.4502479722216037</v>
      </c>
    </row>
    <row r="195" spans="1:5" x14ac:dyDescent="0.2">
      <c r="A195" s="2505">
        <v>2016</v>
      </c>
      <c r="B195" s="2505" t="s">
        <v>2909</v>
      </c>
      <c r="C195" s="2505" t="s">
        <v>2484</v>
      </c>
      <c r="D195" s="2505" t="s">
        <v>2485</v>
      </c>
      <c r="E195" s="2505">
        <v>2.9622363111696473</v>
      </c>
    </row>
    <row r="196" spans="1:5" x14ac:dyDescent="0.2">
      <c r="A196" s="2505">
        <v>2016</v>
      </c>
      <c r="B196" s="2505" t="s">
        <v>2910</v>
      </c>
      <c r="C196" s="2505" t="s">
        <v>2911</v>
      </c>
      <c r="E196" s="2505">
        <v>4.0441858651774965</v>
      </c>
    </row>
    <row r="197" spans="1:5" x14ac:dyDescent="0.2">
      <c r="A197" s="2505">
        <v>2016</v>
      </c>
      <c r="B197" s="2505" t="s">
        <v>2912</v>
      </c>
      <c r="C197" s="2505" t="s">
        <v>2913</v>
      </c>
      <c r="E197" s="2505">
        <v>1.8566084104634228</v>
      </c>
    </row>
    <row r="198" spans="1:5" x14ac:dyDescent="0.2">
      <c r="A198" s="2505">
        <v>2016</v>
      </c>
      <c r="B198" s="2505" t="s">
        <v>2914</v>
      </c>
      <c r="C198" s="2505" t="s">
        <v>2915</v>
      </c>
    </row>
    <row r="199" spans="1:5" x14ac:dyDescent="0.2">
      <c r="A199" s="2505">
        <v>2016</v>
      </c>
      <c r="B199" s="2505" t="s">
        <v>2916</v>
      </c>
      <c r="C199" s="2505" t="s">
        <v>2502</v>
      </c>
      <c r="D199" s="2505" t="s">
        <v>2503</v>
      </c>
      <c r="E199" s="2505">
        <v>3.5510156870096665</v>
      </c>
    </row>
    <row r="200" spans="1:5" x14ac:dyDescent="0.2">
      <c r="A200" s="2505">
        <v>2016</v>
      </c>
      <c r="B200" s="2505" t="s">
        <v>2917</v>
      </c>
      <c r="C200" s="2505" t="s">
        <v>2918</v>
      </c>
      <c r="E200" s="2505">
        <v>3.662959689889675</v>
      </c>
    </row>
    <row r="201" spans="1:5" x14ac:dyDescent="0.2">
      <c r="A201" s="2505">
        <v>2016</v>
      </c>
      <c r="B201" s="2505" t="s">
        <v>2919</v>
      </c>
      <c r="C201" s="2505" t="s">
        <v>2510</v>
      </c>
      <c r="D201" s="2505" t="s">
        <v>2511</v>
      </c>
      <c r="E201" s="2505">
        <v>-3.7266734400142099</v>
      </c>
    </row>
    <row r="202" spans="1:5" x14ac:dyDescent="0.2">
      <c r="A202" s="2505">
        <v>2016</v>
      </c>
      <c r="B202" s="2505" t="s">
        <v>2920</v>
      </c>
      <c r="C202" s="2505" t="s">
        <v>2513</v>
      </c>
      <c r="D202" s="2505" t="s">
        <v>2514</v>
      </c>
      <c r="E202" s="2505">
        <v>6.9042031149989356</v>
      </c>
    </row>
    <row r="203" spans="1:5" x14ac:dyDescent="0.2">
      <c r="A203" s="2505">
        <v>2016</v>
      </c>
      <c r="B203" s="2505" t="s">
        <v>2921</v>
      </c>
      <c r="C203" s="2505" t="s">
        <v>2922</v>
      </c>
      <c r="E203" s="2505">
        <v>7.1097272619193177</v>
      </c>
    </row>
    <row r="204" spans="1:5" x14ac:dyDescent="0.2">
      <c r="A204" s="2505">
        <v>2016</v>
      </c>
      <c r="B204" s="2505" t="s">
        <v>2923</v>
      </c>
      <c r="C204" s="2505" t="s">
        <v>2524</v>
      </c>
      <c r="D204" s="2505" t="s">
        <v>2525</v>
      </c>
      <c r="E204" s="2505">
        <v>3.4856167915214797</v>
      </c>
    </row>
    <row r="205" spans="1:5" x14ac:dyDescent="0.2">
      <c r="A205" s="2505">
        <v>2016</v>
      </c>
      <c r="B205" s="2505" t="s">
        <v>2924</v>
      </c>
      <c r="C205" s="2505" t="s">
        <v>2572</v>
      </c>
      <c r="D205" s="2505" t="s">
        <v>2573</v>
      </c>
      <c r="E205" s="2505">
        <v>4.9060451745281739</v>
      </c>
    </row>
    <row r="206" spans="1:5" x14ac:dyDescent="0.2">
      <c r="A206" s="2505">
        <v>2016</v>
      </c>
      <c r="B206" s="2505" t="s">
        <v>2925</v>
      </c>
      <c r="C206" s="2505" t="s">
        <v>2527</v>
      </c>
      <c r="D206" s="2505" t="s">
        <v>2528</v>
      </c>
      <c r="E206" s="2505">
        <v>6.4851947535384085</v>
      </c>
    </row>
    <row r="207" spans="1:5" x14ac:dyDescent="0.2">
      <c r="A207" s="2505">
        <v>2016</v>
      </c>
      <c r="B207" s="2505" t="s">
        <v>2926</v>
      </c>
      <c r="C207" s="2505" t="s">
        <v>2539</v>
      </c>
      <c r="D207" s="2505" t="s">
        <v>2540</v>
      </c>
      <c r="E207" s="2505">
        <v>2.0083723451949993</v>
      </c>
    </row>
    <row r="208" spans="1:5" x14ac:dyDescent="0.2">
      <c r="A208" s="2505">
        <v>2016</v>
      </c>
      <c r="B208" s="2505" t="s">
        <v>2927</v>
      </c>
      <c r="C208" s="2505" t="s">
        <v>2547</v>
      </c>
      <c r="D208" s="2505" t="s">
        <v>2548</v>
      </c>
      <c r="E208" s="2505">
        <v>3.7344398340249114</v>
      </c>
    </row>
    <row r="209" spans="1:5" x14ac:dyDescent="0.2">
      <c r="A209" s="2505">
        <v>2016</v>
      </c>
      <c r="B209" s="2505" t="s">
        <v>2928</v>
      </c>
      <c r="C209" s="2505" t="s">
        <v>2536</v>
      </c>
      <c r="D209" s="2505" t="s">
        <v>2537</v>
      </c>
      <c r="E209" s="2505">
        <v>-20.598770715339171</v>
      </c>
    </row>
    <row r="210" spans="1:5" x14ac:dyDescent="0.2">
      <c r="A210" s="2505">
        <v>2016</v>
      </c>
      <c r="B210" s="2505" t="s">
        <v>2929</v>
      </c>
      <c r="C210" s="2505" t="s">
        <v>2223</v>
      </c>
      <c r="D210" s="2505" t="s">
        <v>2224</v>
      </c>
      <c r="E210" s="2505">
        <v>2.4550622215394213</v>
      </c>
    </row>
    <row r="211" spans="1:5" x14ac:dyDescent="0.2">
      <c r="A211" s="2505">
        <v>2016</v>
      </c>
      <c r="B211" s="2505" t="s">
        <v>2930</v>
      </c>
      <c r="C211" s="2505" t="s">
        <v>2519</v>
      </c>
    </row>
    <row r="212" spans="1:5" x14ac:dyDescent="0.2">
      <c r="A212" s="2505">
        <v>2016</v>
      </c>
      <c r="B212" s="2505" t="s">
        <v>2931</v>
      </c>
      <c r="C212" s="2505" t="s">
        <v>2550</v>
      </c>
      <c r="D212" s="2505" t="s">
        <v>2551</v>
      </c>
    </row>
    <row r="213" spans="1:5" x14ac:dyDescent="0.2">
      <c r="A213" s="2505">
        <v>2016</v>
      </c>
      <c r="B213" s="2505" t="s">
        <v>2932</v>
      </c>
      <c r="C213" s="2505" t="s">
        <v>2530</v>
      </c>
      <c r="D213" s="2505" t="s">
        <v>2531</v>
      </c>
      <c r="E213" s="2505">
        <v>0.75771515311595294</v>
      </c>
    </row>
    <row r="214" spans="1:5" x14ac:dyDescent="0.2">
      <c r="A214" s="2505">
        <v>2016</v>
      </c>
      <c r="B214" s="2505" t="s">
        <v>2933</v>
      </c>
      <c r="C214" s="2505" t="s">
        <v>2934</v>
      </c>
      <c r="E214" s="2505">
        <v>3.0127553059233065</v>
      </c>
    </row>
    <row r="215" spans="1:5" x14ac:dyDescent="0.2">
      <c r="A215" s="2505">
        <v>2016</v>
      </c>
      <c r="B215" s="2505" t="s">
        <v>2935</v>
      </c>
      <c r="C215" s="2505" t="s">
        <v>2556</v>
      </c>
      <c r="E215" s="2505">
        <v>-6.3497779521387514</v>
      </c>
    </row>
    <row r="216" spans="1:5" x14ac:dyDescent="0.2">
      <c r="A216" s="2505">
        <v>2016</v>
      </c>
      <c r="B216" s="2505" t="s">
        <v>2936</v>
      </c>
      <c r="C216" s="2505" t="s">
        <v>2937</v>
      </c>
      <c r="E216" s="2505">
        <v>3.0131250383084165</v>
      </c>
    </row>
    <row r="217" spans="1:5" x14ac:dyDescent="0.2">
      <c r="A217" s="2505">
        <v>2016</v>
      </c>
      <c r="B217" s="2505" t="s">
        <v>2938</v>
      </c>
      <c r="C217" s="2505" t="s">
        <v>2939</v>
      </c>
      <c r="E217" s="2505">
        <v>2.2257708842505366</v>
      </c>
    </row>
    <row r="218" spans="1:5" x14ac:dyDescent="0.2">
      <c r="A218" s="2505">
        <v>2016</v>
      </c>
      <c r="B218" s="2505" t="s">
        <v>2940</v>
      </c>
      <c r="C218" s="2505" t="s">
        <v>2521</v>
      </c>
      <c r="D218" s="2505" t="s">
        <v>2522</v>
      </c>
      <c r="E218" s="2505">
        <v>3.9732551122377373</v>
      </c>
    </row>
    <row r="219" spans="1:5" x14ac:dyDescent="0.2">
      <c r="A219" s="2505">
        <v>2016</v>
      </c>
      <c r="B219" s="2505" t="s">
        <v>2941</v>
      </c>
      <c r="C219" s="2505" t="s">
        <v>2575</v>
      </c>
      <c r="D219" s="2505" t="s">
        <v>2576</v>
      </c>
      <c r="E219" s="2505">
        <v>-0.29998064640992084</v>
      </c>
    </row>
    <row r="220" spans="1:5" x14ac:dyDescent="0.2">
      <c r="A220" s="2505">
        <v>2016</v>
      </c>
      <c r="B220" s="2505" t="s">
        <v>2942</v>
      </c>
      <c r="C220" s="2505" t="s">
        <v>2542</v>
      </c>
      <c r="D220" s="2505" t="s">
        <v>2543</v>
      </c>
      <c r="E220" s="2505">
        <v>3.8310847799018433</v>
      </c>
    </row>
    <row r="221" spans="1:5" x14ac:dyDescent="0.2">
      <c r="A221" s="2505">
        <v>2016</v>
      </c>
      <c r="B221" s="2505" t="s">
        <v>2943</v>
      </c>
      <c r="C221" s="2505" t="s">
        <v>2545</v>
      </c>
      <c r="D221" s="2505" t="s">
        <v>103</v>
      </c>
      <c r="E221" s="2505">
        <v>2.3166448593976838</v>
      </c>
    </row>
    <row r="222" spans="1:5" x14ac:dyDescent="0.2">
      <c r="A222" s="2505">
        <v>2016</v>
      </c>
      <c r="B222" s="2505" t="s">
        <v>2944</v>
      </c>
      <c r="C222" s="2505" t="s">
        <v>2581</v>
      </c>
      <c r="D222" s="2505" t="s">
        <v>2582</v>
      </c>
      <c r="E222" s="2505">
        <v>4.1238843012740602</v>
      </c>
    </row>
    <row r="223" spans="1:5" x14ac:dyDescent="0.2">
      <c r="A223" s="2505">
        <v>2016</v>
      </c>
      <c r="B223" s="2505" t="s">
        <v>2945</v>
      </c>
      <c r="C223" s="2505" t="s">
        <v>2578</v>
      </c>
      <c r="D223" s="2505" t="s">
        <v>2579</v>
      </c>
      <c r="E223" s="2505">
        <v>1.8672033112330269</v>
      </c>
    </row>
    <row r="224" spans="1:5" x14ac:dyDescent="0.2">
      <c r="A224" s="2505">
        <v>2016</v>
      </c>
      <c r="B224" s="2505" t="s">
        <v>2946</v>
      </c>
      <c r="C224" s="2505" t="s">
        <v>2947</v>
      </c>
    </row>
    <row r="225" spans="1:5" x14ac:dyDescent="0.2">
      <c r="A225" s="2505">
        <v>2016</v>
      </c>
      <c r="B225" s="2505" t="s">
        <v>2948</v>
      </c>
      <c r="C225" s="2505" t="s">
        <v>2533</v>
      </c>
      <c r="D225" s="2505" t="s">
        <v>2534</v>
      </c>
      <c r="E225" s="2505">
        <v>3.4978138663335443</v>
      </c>
    </row>
    <row r="226" spans="1:5" x14ac:dyDescent="0.2">
      <c r="A226" s="2505">
        <v>2016</v>
      </c>
      <c r="B226" s="2505" t="s">
        <v>2949</v>
      </c>
      <c r="C226" s="2505" t="s">
        <v>2587</v>
      </c>
      <c r="D226" s="2505" t="s">
        <v>2588</v>
      </c>
    </row>
    <row r="227" spans="1:5" x14ac:dyDescent="0.2">
      <c r="A227" s="2505">
        <v>2016</v>
      </c>
      <c r="B227" s="2505" t="s">
        <v>2950</v>
      </c>
      <c r="C227" s="2505" t="s">
        <v>2951</v>
      </c>
    </row>
    <row r="228" spans="1:5" x14ac:dyDescent="0.2">
      <c r="A228" s="2505">
        <v>2016</v>
      </c>
      <c r="B228" s="2505" t="s">
        <v>2952</v>
      </c>
      <c r="C228" s="2505" t="s">
        <v>2163</v>
      </c>
      <c r="D228" s="2505" t="s">
        <v>2164</v>
      </c>
      <c r="E228" s="2505">
        <v>1.7999995211984441</v>
      </c>
    </row>
    <row r="229" spans="1:5" x14ac:dyDescent="0.2">
      <c r="A229" s="2505">
        <v>2016</v>
      </c>
      <c r="B229" s="2505" t="s">
        <v>2953</v>
      </c>
      <c r="C229" s="2505" t="s">
        <v>2954</v>
      </c>
      <c r="E229" s="2505">
        <v>6.484686256155598</v>
      </c>
    </row>
    <row r="230" spans="1:5" x14ac:dyDescent="0.2">
      <c r="A230" s="2505">
        <v>2016</v>
      </c>
      <c r="B230" s="2505" t="s">
        <v>2955</v>
      </c>
      <c r="C230" s="2505" t="s">
        <v>2956</v>
      </c>
      <c r="E230" s="2505">
        <v>-4.3942153448881527E-3</v>
      </c>
    </row>
    <row r="231" spans="1:5" x14ac:dyDescent="0.2">
      <c r="A231" s="2505">
        <v>2016</v>
      </c>
      <c r="B231" s="2505" t="s">
        <v>2957</v>
      </c>
      <c r="C231" s="2505" t="s">
        <v>2605</v>
      </c>
      <c r="D231" s="2505" t="s">
        <v>2606</v>
      </c>
      <c r="E231" s="2505">
        <v>5.3658875818622249</v>
      </c>
    </row>
    <row r="232" spans="1:5" x14ac:dyDescent="0.2">
      <c r="A232" s="2505">
        <v>2016</v>
      </c>
      <c r="B232" s="2505" t="s">
        <v>2958</v>
      </c>
      <c r="C232" s="2505" t="s">
        <v>2599</v>
      </c>
      <c r="D232" s="2505" t="s">
        <v>2600</v>
      </c>
      <c r="E232" s="2505">
        <v>2.8283352875791934</v>
      </c>
    </row>
    <row r="233" spans="1:5" x14ac:dyDescent="0.2">
      <c r="A233" s="2505">
        <v>2016</v>
      </c>
      <c r="B233" s="2505" t="s">
        <v>2959</v>
      </c>
      <c r="C233" s="2505" t="s">
        <v>2593</v>
      </c>
      <c r="D233" s="2505" t="s">
        <v>2594</v>
      </c>
      <c r="E233" s="2505">
        <v>6</v>
      </c>
    </row>
    <row r="234" spans="1:5" x14ac:dyDescent="0.2">
      <c r="A234" s="2505">
        <v>2016</v>
      </c>
      <c r="B234" s="2505" t="s">
        <v>2960</v>
      </c>
      <c r="C234" s="2505" t="s">
        <v>2620</v>
      </c>
      <c r="D234" s="2505" t="s">
        <v>2621</v>
      </c>
      <c r="E234" s="2505">
        <v>6.4999999095166601</v>
      </c>
    </row>
    <row r="235" spans="1:5" x14ac:dyDescent="0.2">
      <c r="A235" s="2505">
        <v>2016</v>
      </c>
      <c r="B235" s="2505" t="s">
        <v>2961</v>
      </c>
      <c r="C235" s="2505" t="s">
        <v>2962</v>
      </c>
      <c r="E235" s="2505">
        <v>-0.29337094134322683</v>
      </c>
    </row>
    <row r="236" spans="1:5" x14ac:dyDescent="0.2">
      <c r="A236" s="2505">
        <v>2016</v>
      </c>
      <c r="B236" s="2505" t="s">
        <v>2963</v>
      </c>
      <c r="C236" s="2505" t="s">
        <v>2964</v>
      </c>
    </row>
    <row r="237" spans="1:5" x14ac:dyDescent="0.2">
      <c r="A237" s="2505">
        <v>2016</v>
      </c>
      <c r="B237" s="2505" t="s">
        <v>2965</v>
      </c>
      <c r="C237" s="2505" t="s">
        <v>2966</v>
      </c>
      <c r="E237" s="2505">
        <v>4.3</v>
      </c>
    </row>
    <row r="238" spans="1:5" x14ac:dyDescent="0.2">
      <c r="A238" s="2505">
        <v>2016</v>
      </c>
      <c r="B238" s="2505" t="s">
        <v>2967</v>
      </c>
      <c r="C238" s="2505" t="s">
        <v>2608</v>
      </c>
      <c r="D238" s="2505" t="s">
        <v>2609</v>
      </c>
      <c r="E238" s="2505">
        <v>3.7062011170149418</v>
      </c>
    </row>
    <row r="239" spans="1:5" x14ac:dyDescent="0.2">
      <c r="A239" s="2505">
        <v>2016</v>
      </c>
      <c r="B239" s="2505" t="s">
        <v>2968</v>
      </c>
      <c r="C239" s="2505" t="s">
        <v>2969</v>
      </c>
      <c r="E239" s="2505">
        <v>7.1097272619193177</v>
      </c>
    </row>
    <row r="240" spans="1:5" x14ac:dyDescent="0.2">
      <c r="A240" s="2505">
        <v>2016</v>
      </c>
      <c r="B240" s="2505" t="s">
        <v>2970</v>
      </c>
      <c r="C240" s="2505" t="s">
        <v>2971</v>
      </c>
      <c r="E240" s="2505">
        <v>3.0131250383084165</v>
      </c>
    </row>
    <row r="241" spans="1:5" x14ac:dyDescent="0.2">
      <c r="A241" s="2505">
        <v>2016</v>
      </c>
      <c r="B241" s="2505" t="s">
        <v>2972</v>
      </c>
      <c r="C241" s="2505" t="s">
        <v>2611</v>
      </c>
      <c r="D241" s="2505" t="s">
        <v>2612</v>
      </c>
      <c r="E241" s="2505">
        <v>-0.57852156773637375</v>
      </c>
    </row>
    <row r="242" spans="1:5" x14ac:dyDescent="0.2">
      <c r="A242" s="2505">
        <v>2016</v>
      </c>
      <c r="B242" s="2505" t="s">
        <v>2973</v>
      </c>
      <c r="C242" s="2505" t="s">
        <v>2614</v>
      </c>
      <c r="D242" s="2505" t="s">
        <v>2615</v>
      </c>
      <c r="E242" s="2505">
        <v>0.99464252335170045</v>
      </c>
    </row>
    <row r="243" spans="1:5" x14ac:dyDescent="0.2">
      <c r="A243" s="2505">
        <v>2016</v>
      </c>
      <c r="B243" s="2505" t="s">
        <v>2974</v>
      </c>
      <c r="C243" s="2505" t="s">
        <v>2617</v>
      </c>
      <c r="D243" s="2505" t="s">
        <v>2618</v>
      </c>
      <c r="E243" s="2505">
        <v>3.9719451495955411</v>
      </c>
    </row>
    <row r="244" spans="1:5" x14ac:dyDescent="0.2">
      <c r="A244" s="2505">
        <v>2016</v>
      </c>
      <c r="B244" s="2505" t="s">
        <v>2975</v>
      </c>
      <c r="C244" s="2505" t="s">
        <v>2623</v>
      </c>
      <c r="D244" s="2505" t="s">
        <v>2624</v>
      </c>
      <c r="E244" s="2505">
        <v>2.6421472362911942</v>
      </c>
    </row>
    <row r="245" spans="1:5" x14ac:dyDescent="0.2">
      <c r="A245" s="2505">
        <v>2016</v>
      </c>
      <c r="B245" s="2505" t="s">
        <v>2976</v>
      </c>
      <c r="C245" s="2505" t="s">
        <v>2596</v>
      </c>
      <c r="D245" s="2505" t="s">
        <v>2597</v>
      </c>
      <c r="E245" s="2505">
        <v>6.9593744218600335</v>
      </c>
    </row>
    <row r="246" spans="1:5" x14ac:dyDescent="0.2">
      <c r="A246" s="2505">
        <v>2016</v>
      </c>
      <c r="B246" s="2505" t="s">
        <v>2977</v>
      </c>
      <c r="C246" s="2505" t="s">
        <v>2626</v>
      </c>
      <c r="D246" s="2505" t="s">
        <v>2627</v>
      </c>
      <c r="E246" s="2505">
        <v>5.1438377269663818</v>
      </c>
    </row>
    <row r="247" spans="1:5" x14ac:dyDescent="0.2">
      <c r="A247" s="2505">
        <v>2016</v>
      </c>
      <c r="B247" s="2505" t="s">
        <v>2978</v>
      </c>
      <c r="C247" s="2505" t="s">
        <v>2629</v>
      </c>
      <c r="D247" s="2505" t="s">
        <v>2630</v>
      </c>
      <c r="E247" s="2505">
        <v>-9.869784362303605</v>
      </c>
    </row>
    <row r="248" spans="1:5" x14ac:dyDescent="0.2">
      <c r="A248" s="2505">
        <v>2016</v>
      </c>
      <c r="B248" s="2505" t="s">
        <v>2979</v>
      </c>
      <c r="C248" s="2505" t="s">
        <v>2980</v>
      </c>
      <c r="E248" s="2505">
        <v>3.2198580820293188</v>
      </c>
    </row>
    <row r="249" spans="1:5" x14ac:dyDescent="0.2">
      <c r="A249" s="2505">
        <v>2016</v>
      </c>
      <c r="B249" s="2505" t="s">
        <v>2981</v>
      </c>
      <c r="C249" s="2505" t="s">
        <v>2640</v>
      </c>
      <c r="D249" s="2505" t="s">
        <v>2641</v>
      </c>
      <c r="E249" s="2505">
        <v>0.98225864299914178</v>
      </c>
    </row>
    <row r="250" spans="1:5" x14ac:dyDescent="0.2">
      <c r="A250" s="2505">
        <v>2016</v>
      </c>
      <c r="B250" s="2505" t="s">
        <v>2982</v>
      </c>
      <c r="C250" s="2505" t="s">
        <v>2638</v>
      </c>
      <c r="D250" s="2505" t="s">
        <v>1955</v>
      </c>
      <c r="E250" s="2505">
        <v>2.5961480405097319</v>
      </c>
    </row>
    <row r="251" spans="1:5" x14ac:dyDescent="0.2">
      <c r="A251" s="2505">
        <v>2016</v>
      </c>
      <c r="B251" s="2505" t="s">
        <v>2983</v>
      </c>
      <c r="C251" s="2505" t="s">
        <v>2643</v>
      </c>
      <c r="D251" s="2505" t="s">
        <v>2644</v>
      </c>
      <c r="E251" s="2505">
        <v>7.9999999971630302</v>
      </c>
    </row>
    <row r="252" spans="1:5" x14ac:dyDescent="0.2">
      <c r="A252" s="2505">
        <v>2016</v>
      </c>
      <c r="B252" s="2505" t="s">
        <v>2984</v>
      </c>
      <c r="C252" s="2505" t="s">
        <v>2569</v>
      </c>
      <c r="D252" s="2505" t="s">
        <v>2570</v>
      </c>
      <c r="E252" s="2505">
        <v>1.6030837843665608</v>
      </c>
    </row>
    <row r="253" spans="1:5" x14ac:dyDescent="0.2">
      <c r="A253" s="2505">
        <v>2016</v>
      </c>
      <c r="B253" s="2505" t="s">
        <v>2985</v>
      </c>
      <c r="C253" s="2505" t="s">
        <v>2649</v>
      </c>
      <c r="D253" s="2505" t="s">
        <v>2650</v>
      </c>
    </row>
    <row r="254" spans="1:5" x14ac:dyDescent="0.2">
      <c r="A254" s="2505">
        <v>2016</v>
      </c>
      <c r="B254" s="2505" t="s">
        <v>2986</v>
      </c>
      <c r="C254" s="2505" t="s">
        <v>2987</v>
      </c>
    </row>
    <row r="255" spans="1:5" x14ac:dyDescent="0.2">
      <c r="A255" s="2505">
        <v>2016</v>
      </c>
      <c r="B255" s="2505" t="s">
        <v>2988</v>
      </c>
      <c r="C255" s="2505" t="s">
        <v>2655</v>
      </c>
      <c r="D255" s="2505" t="s">
        <v>2656</v>
      </c>
    </row>
    <row r="256" spans="1:5" x14ac:dyDescent="0.2">
      <c r="A256" s="2505">
        <v>2016</v>
      </c>
      <c r="B256" s="2505" t="s">
        <v>2989</v>
      </c>
      <c r="C256" s="2505" t="s">
        <v>2652</v>
      </c>
      <c r="D256" s="2505" t="s">
        <v>2653</v>
      </c>
      <c r="E256" s="2505">
        <v>6.679288788914306</v>
      </c>
    </row>
    <row r="257" spans="1:5" x14ac:dyDescent="0.2">
      <c r="A257" s="2505">
        <v>2016</v>
      </c>
      <c r="B257" s="2505" t="s">
        <v>2990</v>
      </c>
      <c r="C257" s="2505" t="s">
        <v>2646</v>
      </c>
      <c r="D257" s="2505" t="s">
        <v>2647</v>
      </c>
      <c r="E257" s="2505">
        <v>-0.80109417741304867</v>
      </c>
    </row>
    <row r="258" spans="1:5" x14ac:dyDescent="0.2">
      <c r="A258" s="2505">
        <v>2016</v>
      </c>
      <c r="B258" s="2505" t="s">
        <v>2991</v>
      </c>
      <c r="C258" s="2505" t="s">
        <v>2992</v>
      </c>
      <c r="E258" s="2505">
        <v>12.393242918761629</v>
      </c>
    </row>
    <row r="259" spans="1:5" x14ac:dyDescent="0.2">
      <c r="A259" s="2505">
        <v>2016</v>
      </c>
      <c r="B259" s="2505" t="s">
        <v>2993</v>
      </c>
      <c r="C259" s="2505" t="s">
        <v>2994</v>
      </c>
      <c r="E259" s="2505">
        <v>2.6294796912775809</v>
      </c>
    </row>
    <row r="260" spans="1:5" x14ac:dyDescent="0.2">
      <c r="A260" s="2505">
        <v>2016</v>
      </c>
      <c r="B260" s="2505" t="s">
        <v>2995</v>
      </c>
      <c r="C260" s="2505" t="s">
        <v>2516</v>
      </c>
      <c r="D260" s="2505" t="s">
        <v>2517</v>
      </c>
      <c r="E260" s="2505">
        <v>1.6347760262813296</v>
      </c>
    </row>
    <row r="261" spans="1:5" x14ac:dyDescent="0.2">
      <c r="A261" s="2505">
        <v>2016</v>
      </c>
      <c r="B261" s="2505" t="s">
        <v>2996</v>
      </c>
      <c r="C261" s="2505" t="s">
        <v>2660</v>
      </c>
      <c r="D261" s="2505" t="s">
        <v>2661</v>
      </c>
      <c r="E261" s="2505">
        <v>-28.096834889593325</v>
      </c>
    </row>
    <row r="262" spans="1:5" x14ac:dyDescent="0.2">
      <c r="A262" s="2505">
        <v>2016</v>
      </c>
      <c r="B262" s="2505" t="s">
        <v>2997</v>
      </c>
      <c r="C262" s="2505" t="s">
        <v>2553</v>
      </c>
      <c r="D262" s="2505" t="s">
        <v>2554</v>
      </c>
      <c r="E262" s="2505">
        <v>1.2646513781567847</v>
      </c>
    </row>
    <row r="263" spans="1:5" x14ac:dyDescent="0.2">
      <c r="A263" s="2505">
        <v>2016</v>
      </c>
      <c r="B263" s="2505" t="s">
        <v>2998</v>
      </c>
      <c r="C263" s="2505" t="s">
        <v>2999</v>
      </c>
      <c r="E263" s="2505">
        <v>6.9161878104535361</v>
      </c>
    </row>
    <row r="264" spans="1:5" x14ac:dyDescent="0.2">
      <c r="A264" s="2505">
        <v>2016</v>
      </c>
      <c r="B264" s="2505" t="s">
        <v>3000</v>
      </c>
      <c r="C264" s="2505" t="s">
        <v>2663</v>
      </c>
      <c r="D264" s="2505" t="s">
        <v>2664</v>
      </c>
      <c r="E264" s="2505">
        <v>2.9198811101871343</v>
      </c>
    </row>
    <row r="265" spans="1:5" x14ac:dyDescent="0.2">
      <c r="A265" s="2505">
        <v>2016</v>
      </c>
      <c r="B265" s="2505" t="s">
        <v>3001</v>
      </c>
      <c r="C265" s="2505" t="s">
        <v>2666</v>
      </c>
      <c r="D265" s="2505" t="s">
        <v>2667</v>
      </c>
      <c r="E265" s="2505">
        <v>0.47426393241360643</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E265"/>
  <sheetViews>
    <sheetView workbookViewId="0">
      <selection sqref="A1:XFD1048576"/>
    </sheetView>
  </sheetViews>
  <sheetFormatPr baseColWidth="10" defaultRowHeight="11.25" x14ac:dyDescent="0.2"/>
  <cols>
    <col min="1" max="16384" width="11.42578125" style="2505"/>
  </cols>
  <sheetData>
    <row r="1" spans="1:5" x14ac:dyDescent="0.2">
      <c r="A1" s="2505" t="s">
        <v>2044</v>
      </c>
      <c r="B1" s="2505" t="s">
        <v>2670</v>
      </c>
      <c r="C1" s="2505" t="s">
        <v>2671</v>
      </c>
      <c r="D1" s="2505" t="s">
        <v>3002</v>
      </c>
      <c r="E1" s="2505" t="s">
        <v>1903</v>
      </c>
    </row>
    <row r="2" spans="1:5" x14ac:dyDescent="0.2">
      <c r="A2" s="2505">
        <v>2016</v>
      </c>
      <c r="B2" s="2505" t="s">
        <v>2674</v>
      </c>
      <c r="C2" s="2505" t="s">
        <v>2080</v>
      </c>
      <c r="D2" s="2505" t="s">
        <v>2081</v>
      </c>
    </row>
    <row r="3" spans="1:5" x14ac:dyDescent="0.2">
      <c r="A3" s="2505">
        <v>2016</v>
      </c>
      <c r="B3" s="2505" t="s">
        <v>2677</v>
      </c>
      <c r="C3" s="2505" t="s">
        <v>2054</v>
      </c>
      <c r="D3" s="2505" t="s">
        <v>2055</v>
      </c>
      <c r="E3" s="2505">
        <v>1925.1652275777644</v>
      </c>
    </row>
    <row r="4" spans="1:5" x14ac:dyDescent="0.2">
      <c r="A4" s="2505">
        <v>2016</v>
      </c>
      <c r="B4" s="2505" t="s">
        <v>2678</v>
      </c>
      <c r="C4" s="2505" t="s">
        <v>2067</v>
      </c>
      <c r="D4" s="2505" t="s">
        <v>2068</v>
      </c>
      <c r="E4" s="2505">
        <v>7386.7008434239106</v>
      </c>
    </row>
    <row r="5" spans="1:5" x14ac:dyDescent="0.2">
      <c r="A5" s="2505">
        <v>2016</v>
      </c>
      <c r="B5" s="2505" t="s">
        <v>2679</v>
      </c>
      <c r="C5" s="2505" t="s">
        <v>2057</v>
      </c>
      <c r="D5" s="2505" t="s">
        <v>2058</v>
      </c>
      <c r="E5" s="2505">
        <v>11479.087460326587</v>
      </c>
    </row>
    <row r="6" spans="1:5" x14ac:dyDescent="0.2">
      <c r="A6" s="2505">
        <v>2016</v>
      </c>
      <c r="B6" s="2505" t="s">
        <v>2675</v>
      </c>
      <c r="C6" s="2505" t="s">
        <v>2676</v>
      </c>
    </row>
    <row r="7" spans="1:5" x14ac:dyDescent="0.2">
      <c r="A7" s="2505">
        <v>2016</v>
      </c>
      <c r="B7" s="2505" t="s">
        <v>2680</v>
      </c>
      <c r="C7" s="2505" t="s">
        <v>2681</v>
      </c>
      <c r="E7" s="2505">
        <v>16454.577524133667</v>
      </c>
    </row>
    <row r="8" spans="1:5" x14ac:dyDescent="0.2">
      <c r="A8" s="2505">
        <v>2016</v>
      </c>
      <c r="B8" s="2505" t="s">
        <v>2682</v>
      </c>
      <c r="C8" s="2505" t="s">
        <v>2632</v>
      </c>
      <c r="D8" s="2505" t="s">
        <v>2633</v>
      </c>
      <c r="E8" s="2505">
        <v>69970.815342564936</v>
      </c>
    </row>
    <row r="9" spans="1:5" x14ac:dyDescent="0.2">
      <c r="A9" s="2505">
        <v>2016</v>
      </c>
      <c r="B9" s="2505" t="s">
        <v>2683</v>
      </c>
      <c r="C9" s="2505" t="s">
        <v>2074</v>
      </c>
      <c r="D9" s="2505" t="s">
        <v>2075</v>
      </c>
      <c r="E9" s="2505">
        <v>20364.3822053199</v>
      </c>
    </row>
    <row r="10" spans="1:5" x14ac:dyDescent="0.2">
      <c r="A10" s="2505">
        <v>2016</v>
      </c>
      <c r="B10" s="2505" t="s">
        <v>2684</v>
      </c>
      <c r="C10" s="2505" t="s">
        <v>2077</v>
      </c>
      <c r="D10" s="2505" t="s">
        <v>2078</v>
      </c>
      <c r="E10" s="2505">
        <v>8418.7277903439735</v>
      </c>
    </row>
    <row r="11" spans="1:5" x14ac:dyDescent="0.2">
      <c r="A11" s="2505">
        <v>2016</v>
      </c>
      <c r="B11" s="2505" t="s">
        <v>2685</v>
      </c>
      <c r="C11" s="2505" t="s">
        <v>2063</v>
      </c>
    </row>
    <row r="12" spans="1:5" x14ac:dyDescent="0.2">
      <c r="A12" s="2505">
        <v>2016</v>
      </c>
      <c r="B12" s="2505" t="s">
        <v>2686</v>
      </c>
      <c r="C12" s="2505" t="s">
        <v>2072</v>
      </c>
      <c r="E12" s="2505">
        <v>23062.278265126297</v>
      </c>
    </row>
    <row r="13" spans="1:5" x14ac:dyDescent="0.2">
      <c r="A13" s="2505">
        <v>2016</v>
      </c>
      <c r="B13" s="2505" t="s">
        <v>2687</v>
      </c>
      <c r="C13" s="2505" t="s">
        <v>2083</v>
      </c>
      <c r="D13" s="2505" t="s">
        <v>2084</v>
      </c>
      <c r="E13" s="2505">
        <v>46270.799339443307</v>
      </c>
    </row>
    <row r="14" spans="1:5" x14ac:dyDescent="0.2">
      <c r="A14" s="2505">
        <v>2016</v>
      </c>
      <c r="B14" s="2505" t="s">
        <v>2688</v>
      </c>
      <c r="C14" s="2505" t="s">
        <v>2086</v>
      </c>
      <c r="D14" s="2505" t="s">
        <v>2087</v>
      </c>
      <c r="E14" s="2505">
        <v>49429.55554646068</v>
      </c>
    </row>
    <row r="15" spans="1:5" x14ac:dyDescent="0.2">
      <c r="A15" s="2505">
        <v>2016</v>
      </c>
      <c r="B15" s="2505" t="s">
        <v>2689</v>
      </c>
      <c r="C15" s="2505" t="s">
        <v>2089</v>
      </c>
      <c r="D15" s="2505" t="s">
        <v>2090</v>
      </c>
      <c r="E15" s="2505">
        <v>17779.773764012782</v>
      </c>
    </row>
    <row r="16" spans="1:5" x14ac:dyDescent="0.2">
      <c r="A16" s="2505">
        <v>2016</v>
      </c>
      <c r="B16" s="2505" t="s">
        <v>2690</v>
      </c>
      <c r="C16" s="2505" t="s">
        <v>2142</v>
      </c>
      <c r="D16" s="2505" t="s">
        <v>2143</v>
      </c>
      <c r="E16" s="2505">
        <v>727.15078951065868</v>
      </c>
    </row>
    <row r="17" spans="1:5" x14ac:dyDescent="0.2">
      <c r="A17" s="2505">
        <v>2016</v>
      </c>
      <c r="B17" s="2505" t="s">
        <v>2691</v>
      </c>
      <c r="C17" s="2505" t="s">
        <v>2106</v>
      </c>
      <c r="D17" s="2505" t="s">
        <v>2107</v>
      </c>
      <c r="E17" s="2505">
        <v>45757.435507863236</v>
      </c>
    </row>
    <row r="18" spans="1:5" x14ac:dyDescent="0.2">
      <c r="A18" s="2505">
        <v>2016</v>
      </c>
      <c r="B18" s="2505" t="s">
        <v>2692</v>
      </c>
      <c r="C18" s="2505" t="s">
        <v>2112</v>
      </c>
      <c r="D18" s="2505" t="s">
        <v>2113</v>
      </c>
      <c r="E18" s="2505">
        <v>2056.7007715377395</v>
      </c>
    </row>
    <row r="19" spans="1:5" x14ac:dyDescent="0.2">
      <c r="A19" s="2505">
        <v>2016</v>
      </c>
      <c r="B19" s="2505" t="s">
        <v>2693</v>
      </c>
      <c r="C19" s="2505" t="s">
        <v>2139</v>
      </c>
      <c r="D19" s="2505" t="s">
        <v>2140</v>
      </c>
      <c r="E19" s="2505">
        <v>1696.0256014540191</v>
      </c>
    </row>
    <row r="20" spans="1:5" x14ac:dyDescent="0.2">
      <c r="A20" s="2505">
        <v>2016</v>
      </c>
      <c r="B20" s="2505" t="s">
        <v>2694</v>
      </c>
      <c r="C20" s="2505" t="s">
        <v>2098</v>
      </c>
      <c r="D20" s="2505" t="s">
        <v>2099</v>
      </c>
      <c r="E20" s="2505">
        <v>3339.5892829092813</v>
      </c>
    </row>
    <row r="21" spans="1:5" x14ac:dyDescent="0.2">
      <c r="A21" s="2505">
        <v>2016</v>
      </c>
      <c r="B21" s="2505" t="s">
        <v>2695</v>
      </c>
      <c r="C21" s="2505" t="s">
        <v>2136</v>
      </c>
      <c r="D21" s="2505" t="s">
        <v>2137</v>
      </c>
      <c r="E21" s="2505">
        <v>18248.77994002675</v>
      </c>
    </row>
    <row r="22" spans="1:5" x14ac:dyDescent="0.2">
      <c r="A22" s="2505">
        <v>2016</v>
      </c>
      <c r="B22" s="2505" t="s">
        <v>2696</v>
      </c>
      <c r="C22" s="2505" t="s">
        <v>2095</v>
      </c>
      <c r="D22" s="2505" t="s">
        <v>2096</v>
      </c>
      <c r="E22" s="2505">
        <v>46586.068704755322</v>
      </c>
    </row>
    <row r="23" spans="1:5" x14ac:dyDescent="0.2">
      <c r="A23" s="2505">
        <v>2016</v>
      </c>
      <c r="B23" s="2505" t="s">
        <v>2697</v>
      </c>
      <c r="C23" s="2505" t="s">
        <v>2092</v>
      </c>
      <c r="D23" s="2505" t="s">
        <v>2093</v>
      </c>
      <c r="E23" s="2505">
        <v>23001.007148743931</v>
      </c>
    </row>
    <row r="24" spans="1:5" x14ac:dyDescent="0.2">
      <c r="A24" s="2505">
        <v>2016</v>
      </c>
      <c r="B24" s="2505" t="s">
        <v>2698</v>
      </c>
      <c r="C24" s="2505" t="s">
        <v>2124</v>
      </c>
      <c r="D24" s="2505" t="s">
        <v>2125</v>
      </c>
      <c r="E24" s="2505">
        <v>10851.718629001793</v>
      </c>
    </row>
    <row r="25" spans="1:5" x14ac:dyDescent="0.2">
      <c r="A25" s="2505">
        <v>2016</v>
      </c>
      <c r="B25" s="2505" t="s">
        <v>2699</v>
      </c>
      <c r="C25" s="2505" t="s">
        <v>2103</v>
      </c>
      <c r="D25" s="2505" t="s">
        <v>2104</v>
      </c>
      <c r="E25" s="2505">
        <v>17740.513730742136</v>
      </c>
    </row>
    <row r="26" spans="1:5" x14ac:dyDescent="0.2">
      <c r="A26" s="2505">
        <v>2016</v>
      </c>
      <c r="B26" s="2505" t="s">
        <v>2700</v>
      </c>
      <c r="C26" s="2505" t="s">
        <v>2109</v>
      </c>
      <c r="D26" s="2505" t="s">
        <v>2110</v>
      </c>
      <c r="E26" s="2505">
        <v>8483.5168670427593</v>
      </c>
    </row>
    <row r="27" spans="1:5" x14ac:dyDescent="0.2">
      <c r="A27" s="2505">
        <v>2016</v>
      </c>
      <c r="B27" s="2505" t="s">
        <v>2701</v>
      </c>
      <c r="C27" s="2505" t="s">
        <v>2115</v>
      </c>
      <c r="D27" s="2505" t="s">
        <v>2116</v>
      </c>
    </row>
    <row r="28" spans="1:5" x14ac:dyDescent="0.2">
      <c r="A28" s="2505">
        <v>2016</v>
      </c>
      <c r="B28" s="2505" t="s">
        <v>2702</v>
      </c>
      <c r="C28" s="2505" t="s">
        <v>2121</v>
      </c>
      <c r="D28" s="2505" t="s">
        <v>2122</v>
      </c>
      <c r="E28" s="2505">
        <v>6953.8271000320092</v>
      </c>
    </row>
    <row r="29" spans="1:5" x14ac:dyDescent="0.2">
      <c r="A29" s="2505">
        <v>2016</v>
      </c>
      <c r="B29" s="2505" t="s">
        <v>2703</v>
      </c>
      <c r="C29" s="2505" t="s">
        <v>2130</v>
      </c>
      <c r="D29" s="2505" t="s">
        <v>2131</v>
      </c>
      <c r="E29" s="2505">
        <v>15390.599036802114</v>
      </c>
    </row>
    <row r="30" spans="1:5" x14ac:dyDescent="0.2">
      <c r="A30" s="2505">
        <v>2016</v>
      </c>
      <c r="B30" s="2505" t="s">
        <v>2704</v>
      </c>
      <c r="C30" s="2505" t="s">
        <v>2101</v>
      </c>
      <c r="D30" s="2505" t="s">
        <v>1421</v>
      </c>
      <c r="E30" s="2505">
        <v>16405.762599912581</v>
      </c>
    </row>
    <row r="31" spans="1:5" x14ac:dyDescent="0.2">
      <c r="A31" s="2505">
        <v>2016</v>
      </c>
      <c r="B31" s="2505" t="s">
        <v>2705</v>
      </c>
      <c r="C31" s="2505" t="s">
        <v>2133</v>
      </c>
      <c r="D31" s="2505" t="s">
        <v>2134</v>
      </c>
      <c r="E31" s="2505">
        <v>78369.291016259711</v>
      </c>
    </row>
    <row r="32" spans="1:5" x14ac:dyDescent="0.2">
      <c r="A32" s="2505">
        <v>2016</v>
      </c>
      <c r="B32" s="2505" t="s">
        <v>2706</v>
      </c>
      <c r="C32" s="2505" t="s">
        <v>2118</v>
      </c>
      <c r="D32" s="2505" t="s">
        <v>2119</v>
      </c>
      <c r="E32" s="2505">
        <v>8369.8253500777901</v>
      </c>
    </row>
    <row r="33" spans="1:5" x14ac:dyDescent="0.2">
      <c r="A33" s="2505">
        <v>2016</v>
      </c>
      <c r="B33" s="2505" t="s">
        <v>2707</v>
      </c>
      <c r="C33" s="2505" t="s">
        <v>2127</v>
      </c>
      <c r="D33" s="2505" t="s">
        <v>2128</v>
      </c>
      <c r="E33" s="2505">
        <v>15839.30239143086</v>
      </c>
    </row>
    <row r="34" spans="1:5" x14ac:dyDescent="0.2">
      <c r="A34" s="2505">
        <v>2016</v>
      </c>
      <c r="B34" s="2505" t="s">
        <v>2708</v>
      </c>
      <c r="C34" s="2505" t="s">
        <v>2160</v>
      </c>
      <c r="D34" s="2505" t="s">
        <v>2161</v>
      </c>
      <c r="E34" s="2505">
        <v>618.75285861289251</v>
      </c>
    </row>
    <row r="35" spans="1:5" x14ac:dyDescent="0.2">
      <c r="A35" s="2505">
        <v>2016</v>
      </c>
      <c r="B35" s="2505" t="s">
        <v>2709</v>
      </c>
      <c r="C35" s="2505" t="s">
        <v>2151</v>
      </c>
      <c r="D35" s="2505" t="s">
        <v>2152</v>
      </c>
      <c r="E35" s="2505">
        <v>44197.100762848393</v>
      </c>
    </row>
    <row r="36" spans="1:5" x14ac:dyDescent="0.2">
      <c r="A36" s="2505">
        <v>2016</v>
      </c>
      <c r="B36" s="2505" t="s">
        <v>2710</v>
      </c>
      <c r="C36" s="2505" t="s">
        <v>2711</v>
      </c>
      <c r="E36" s="2505">
        <v>26151.245851061249</v>
      </c>
    </row>
    <row r="37" spans="1:5" x14ac:dyDescent="0.2">
      <c r="A37" s="2505">
        <v>2016</v>
      </c>
      <c r="B37" s="2505" t="s">
        <v>2712</v>
      </c>
      <c r="C37" s="2505" t="s">
        <v>2584</v>
      </c>
      <c r="D37" s="2505" t="s">
        <v>2585</v>
      </c>
      <c r="E37" s="2505">
        <v>62557.491313743703</v>
      </c>
    </row>
    <row r="38" spans="1:5" x14ac:dyDescent="0.2">
      <c r="A38" s="2505">
        <v>2016</v>
      </c>
      <c r="B38" s="2505" t="s">
        <v>2713</v>
      </c>
      <c r="C38" s="2505" t="s">
        <v>2714</v>
      </c>
    </row>
    <row r="39" spans="1:5" x14ac:dyDescent="0.2">
      <c r="A39" s="2505">
        <v>2016</v>
      </c>
      <c r="B39" s="2505" t="s">
        <v>2715</v>
      </c>
      <c r="C39" s="2505" t="s">
        <v>2166</v>
      </c>
      <c r="D39" s="2505" t="s">
        <v>2167</v>
      </c>
      <c r="E39" s="2505">
        <v>23366.583911094996</v>
      </c>
    </row>
    <row r="40" spans="1:5" x14ac:dyDescent="0.2">
      <c r="A40" s="2505">
        <v>2016</v>
      </c>
      <c r="B40" s="2505" t="s">
        <v>2716</v>
      </c>
      <c r="C40" s="2505" t="s">
        <v>2169</v>
      </c>
      <c r="D40" s="2505" t="s">
        <v>2170</v>
      </c>
      <c r="E40" s="2505">
        <v>14450.174743548047</v>
      </c>
    </row>
    <row r="41" spans="1:5" x14ac:dyDescent="0.2">
      <c r="A41" s="2505">
        <v>2016</v>
      </c>
      <c r="B41" s="2505" t="s">
        <v>2717</v>
      </c>
      <c r="C41" s="2505" t="s">
        <v>2190</v>
      </c>
      <c r="D41" s="2505" t="s">
        <v>2191</v>
      </c>
      <c r="E41" s="2505">
        <v>3513.6847257567711</v>
      </c>
    </row>
    <row r="42" spans="1:5" x14ac:dyDescent="0.2">
      <c r="A42" s="2505">
        <v>2016</v>
      </c>
      <c r="B42" s="2505" t="s">
        <v>2718</v>
      </c>
      <c r="C42" s="2505" t="s">
        <v>2148</v>
      </c>
      <c r="D42" s="2505" t="s">
        <v>2149</v>
      </c>
      <c r="E42" s="2505">
        <v>3115.2788187025731</v>
      </c>
    </row>
    <row r="43" spans="1:5" x14ac:dyDescent="0.2">
      <c r="A43" s="2505">
        <v>2016</v>
      </c>
      <c r="B43" s="2505" t="s">
        <v>2998</v>
      </c>
      <c r="C43" s="2505" t="s">
        <v>2999</v>
      </c>
      <c r="E43" s="2505">
        <v>784.36523214926399</v>
      </c>
    </row>
    <row r="44" spans="1:5" x14ac:dyDescent="0.2">
      <c r="A44" s="2505">
        <v>2016</v>
      </c>
      <c r="B44" s="2505" t="s">
        <v>2719</v>
      </c>
      <c r="C44" s="2505" t="s">
        <v>2181</v>
      </c>
      <c r="D44" s="2505" t="s">
        <v>2182</v>
      </c>
      <c r="E44" s="2505">
        <v>6381.0872570858073</v>
      </c>
    </row>
    <row r="45" spans="1:5" x14ac:dyDescent="0.2">
      <c r="A45" s="2505">
        <v>2016</v>
      </c>
      <c r="B45" s="2505" t="s">
        <v>1859</v>
      </c>
      <c r="C45" s="2505" t="s">
        <v>2172</v>
      </c>
      <c r="D45" s="2505" t="s">
        <v>2173</v>
      </c>
      <c r="E45" s="2505">
        <v>13829.068234605456</v>
      </c>
    </row>
    <row r="46" spans="1:5" x14ac:dyDescent="0.2">
      <c r="A46" s="2505">
        <v>2016</v>
      </c>
      <c r="B46" s="2505" t="s">
        <v>2720</v>
      </c>
      <c r="C46" s="2505" t="s">
        <v>2175</v>
      </c>
      <c r="D46" s="2505" t="s">
        <v>2176</v>
      </c>
      <c r="E46" s="2505">
        <v>1483.4409320765374</v>
      </c>
    </row>
    <row r="47" spans="1:5" x14ac:dyDescent="0.2">
      <c r="A47" s="2505">
        <v>2016</v>
      </c>
      <c r="B47" s="2505" t="s">
        <v>2721</v>
      </c>
      <c r="C47" s="2505" t="s">
        <v>2154</v>
      </c>
      <c r="D47" s="2505" t="s">
        <v>2155</v>
      </c>
      <c r="E47" s="2505">
        <v>6556.4947113748021</v>
      </c>
    </row>
    <row r="48" spans="1:5" x14ac:dyDescent="0.2">
      <c r="A48" s="2505">
        <v>2016</v>
      </c>
      <c r="B48" s="2505" t="s">
        <v>2722</v>
      </c>
      <c r="C48" s="2505" t="s">
        <v>2187</v>
      </c>
      <c r="D48" s="2505" t="s">
        <v>2188</v>
      </c>
      <c r="E48" s="2505">
        <v>15594.635822810951</v>
      </c>
    </row>
    <row r="49" spans="1:5" x14ac:dyDescent="0.2">
      <c r="A49" s="2505">
        <v>2016</v>
      </c>
      <c r="B49" s="2505" t="s">
        <v>2723</v>
      </c>
      <c r="C49" s="2505" t="s">
        <v>2724</v>
      </c>
      <c r="E49" s="2505">
        <v>15535.453196106468</v>
      </c>
    </row>
    <row r="50" spans="1:5" x14ac:dyDescent="0.2">
      <c r="A50" s="2505">
        <v>2016</v>
      </c>
      <c r="B50" s="2505" t="s">
        <v>2725</v>
      </c>
      <c r="C50" s="2505" t="s">
        <v>2196</v>
      </c>
      <c r="D50" s="2505" t="s">
        <v>2197</v>
      </c>
    </row>
    <row r="51" spans="1:5" x14ac:dyDescent="0.2">
      <c r="A51" s="2505">
        <v>2016</v>
      </c>
      <c r="B51" s="2505" t="s">
        <v>2726</v>
      </c>
      <c r="C51" s="2505" t="s">
        <v>2727</v>
      </c>
    </row>
    <row r="52" spans="1:5" x14ac:dyDescent="0.2">
      <c r="A52" s="2505">
        <v>2016</v>
      </c>
      <c r="B52" s="2505" t="s">
        <v>2728</v>
      </c>
      <c r="C52" s="2505" t="s">
        <v>2157</v>
      </c>
      <c r="D52" s="2505" t="s">
        <v>2158</v>
      </c>
    </row>
    <row r="53" spans="1:5" x14ac:dyDescent="0.2">
      <c r="A53" s="2505">
        <v>2016</v>
      </c>
      <c r="B53" s="2505" t="s">
        <v>2729</v>
      </c>
      <c r="C53" s="2505" t="s">
        <v>2199</v>
      </c>
      <c r="D53" s="2505" t="s">
        <v>2200</v>
      </c>
      <c r="E53" s="2505">
        <v>31768.706403972901</v>
      </c>
    </row>
    <row r="54" spans="1:5" x14ac:dyDescent="0.2">
      <c r="A54" s="2505">
        <v>2016</v>
      </c>
      <c r="B54" s="2505" t="s">
        <v>2730</v>
      </c>
      <c r="C54" s="2505" t="s">
        <v>2202</v>
      </c>
      <c r="D54" s="2505" t="s">
        <v>2203</v>
      </c>
      <c r="E54" s="2505">
        <v>33770.475927857289</v>
      </c>
    </row>
    <row r="55" spans="1:5" x14ac:dyDescent="0.2">
      <c r="A55" s="2505">
        <v>2016</v>
      </c>
      <c r="B55" s="2505" t="s">
        <v>2731</v>
      </c>
      <c r="C55" s="2505" t="s">
        <v>2258</v>
      </c>
      <c r="D55" s="2505" t="s">
        <v>2259</v>
      </c>
      <c r="E55" s="2505">
        <v>48041.701414125688</v>
      </c>
    </row>
    <row r="56" spans="1:5" x14ac:dyDescent="0.2">
      <c r="A56" s="2505">
        <v>2016</v>
      </c>
      <c r="B56" s="2505" t="s">
        <v>2732</v>
      </c>
      <c r="C56" s="2505" t="s">
        <v>2208</v>
      </c>
      <c r="D56" s="2505" t="s">
        <v>2209</v>
      </c>
      <c r="E56" s="2505">
        <v>3491.3801450900069</v>
      </c>
    </row>
    <row r="57" spans="1:5" x14ac:dyDescent="0.2">
      <c r="A57" s="2505">
        <v>2016</v>
      </c>
      <c r="B57" s="2505" t="s">
        <v>2733</v>
      </c>
      <c r="C57" s="2505" t="s">
        <v>2211</v>
      </c>
      <c r="D57" s="2505" t="s">
        <v>2212</v>
      </c>
      <c r="E57" s="2505">
        <v>10864.53841676658</v>
      </c>
    </row>
    <row r="58" spans="1:5" x14ac:dyDescent="0.2">
      <c r="A58" s="2505">
        <v>2016</v>
      </c>
      <c r="B58" s="2505" t="s">
        <v>2734</v>
      </c>
      <c r="C58" s="2505" t="s">
        <v>2205</v>
      </c>
      <c r="D58" s="2505" t="s">
        <v>2206</v>
      </c>
      <c r="E58" s="2505">
        <v>48009.020047376405</v>
      </c>
    </row>
    <row r="59" spans="1:5" x14ac:dyDescent="0.2">
      <c r="A59" s="2505">
        <v>2016</v>
      </c>
      <c r="B59" s="2505" t="s">
        <v>2735</v>
      </c>
      <c r="C59" s="2505" t="s">
        <v>2214</v>
      </c>
      <c r="D59" s="2505" t="s">
        <v>2215</v>
      </c>
      <c r="E59" s="2505">
        <v>14237.061958433595</v>
      </c>
    </row>
    <row r="60" spans="1:5" x14ac:dyDescent="0.2">
      <c r="A60" s="2505">
        <v>2016</v>
      </c>
      <c r="B60" s="2505" t="s">
        <v>2736</v>
      </c>
      <c r="C60" s="2505" t="s">
        <v>2060</v>
      </c>
      <c r="D60" s="2505" t="s">
        <v>2061</v>
      </c>
      <c r="E60" s="2505">
        <v>14717.294835721983</v>
      </c>
    </row>
    <row r="61" spans="1:5" x14ac:dyDescent="0.2">
      <c r="A61" s="2505">
        <v>2016</v>
      </c>
      <c r="B61" s="2505" t="s">
        <v>2737</v>
      </c>
      <c r="C61" s="2505" t="s">
        <v>2738</v>
      </c>
      <c r="E61" s="2505">
        <v>12967.350786634748</v>
      </c>
    </row>
    <row r="62" spans="1:5" x14ac:dyDescent="0.2">
      <c r="A62" s="2505">
        <v>2016</v>
      </c>
      <c r="B62" s="2505" t="s">
        <v>2739</v>
      </c>
      <c r="C62" s="2505" t="s">
        <v>2740</v>
      </c>
      <c r="E62" s="2505">
        <v>8645.1691000179817</v>
      </c>
    </row>
    <row r="63" spans="1:5" x14ac:dyDescent="0.2">
      <c r="A63" s="2505">
        <v>2016</v>
      </c>
      <c r="B63" s="2505" t="s">
        <v>2741</v>
      </c>
      <c r="C63" s="2505" t="s">
        <v>2742</v>
      </c>
      <c r="E63" s="2505">
        <v>16105.792829666534</v>
      </c>
    </row>
    <row r="64" spans="1:5" x14ac:dyDescent="0.2">
      <c r="A64" s="2505">
        <v>2016</v>
      </c>
      <c r="B64" s="2505" t="s">
        <v>2743</v>
      </c>
      <c r="C64" s="2505" t="s">
        <v>2744</v>
      </c>
      <c r="E64" s="2505">
        <v>18179.351841403055</v>
      </c>
    </row>
    <row r="65" spans="1:5" x14ac:dyDescent="0.2">
      <c r="A65" s="2505">
        <v>2016</v>
      </c>
      <c r="B65" s="2505" t="s">
        <v>2745</v>
      </c>
      <c r="C65" s="2505" t="s">
        <v>2746</v>
      </c>
      <c r="E65" s="2505">
        <v>30308.539786308877</v>
      </c>
    </row>
    <row r="66" spans="1:5" x14ac:dyDescent="0.2">
      <c r="A66" s="2505">
        <v>2016</v>
      </c>
      <c r="B66" s="2505" t="s">
        <v>2747</v>
      </c>
      <c r="C66" s="2505" t="s">
        <v>2217</v>
      </c>
      <c r="D66" s="2505" t="s">
        <v>2218</v>
      </c>
      <c r="E66" s="2505">
        <v>11474.140772726496</v>
      </c>
    </row>
    <row r="67" spans="1:5" x14ac:dyDescent="0.2">
      <c r="A67" s="2505">
        <v>2016</v>
      </c>
      <c r="B67" s="2505" t="s">
        <v>2748</v>
      </c>
      <c r="C67" s="2505" t="s">
        <v>2220</v>
      </c>
      <c r="D67" s="2505" t="s">
        <v>2221</v>
      </c>
      <c r="E67" s="2505">
        <v>10913.433167367602</v>
      </c>
    </row>
    <row r="68" spans="1:5" x14ac:dyDescent="0.2">
      <c r="A68" s="2505">
        <v>2016</v>
      </c>
      <c r="B68" s="2505" t="s">
        <v>2749</v>
      </c>
      <c r="C68" s="2505" t="s">
        <v>2750</v>
      </c>
      <c r="E68" s="2505">
        <v>41131.043913279267</v>
      </c>
    </row>
    <row r="69" spans="1:5" x14ac:dyDescent="0.2">
      <c r="A69" s="2505">
        <v>2016</v>
      </c>
      <c r="B69" s="2505" t="s">
        <v>2751</v>
      </c>
      <c r="C69" s="2505" t="s">
        <v>2229</v>
      </c>
      <c r="D69" s="2505" t="s">
        <v>2230</v>
      </c>
    </row>
    <row r="70" spans="1:5" x14ac:dyDescent="0.2">
      <c r="A70" s="2505">
        <v>2016</v>
      </c>
      <c r="B70" s="2505" t="s">
        <v>2752</v>
      </c>
      <c r="C70" s="2505" t="s">
        <v>2558</v>
      </c>
      <c r="D70" s="2505" t="s">
        <v>1954</v>
      </c>
      <c r="E70" s="2505">
        <v>34906.361273741888</v>
      </c>
    </row>
    <row r="71" spans="1:5" x14ac:dyDescent="0.2">
      <c r="A71" s="2505">
        <v>2016</v>
      </c>
      <c r="B71" s="2505" t="s">
        <v>2753</v>
      </c>
      <c r="C71" s="2505" t="s">
        <v>2232</v>
      </c>
      <c r="D71" s="2505" t="s">
        <v>2233</v>
      </c>
      <c r="E71" s="2505">
        <v>28987.758344468755</v>
      </c>
    </row>
    <row r="72" spans="1:5" x14ac:dyDescent="0.2">
      <c r="A72" s="2505">
        <v>2016</v>
      </c>
      <c r="B72" s="2505" t="s">
        <v>2754</v>
      </c>
      <c r="C72" s="2505" t="s">
        <v>2235</v>
      </c>
      <c r="D72" s="2505" t="s">
        <v>2236</v>
      </c>
      <c r="E72" s="2505">
        <v>1628.9231321513362</v>
      </c>
    </row>
    <row r="73" spans="1:5" x14ac:dyDescent="0.2">
      <c r="A73" s="2505">
        <v>2016</v>
      </c>
      <c r="B73" s="2505" t="s">
        <v>2755</v>
      </c>
      <c r="C73" s="2505" t="s">
        <v>2756</v>
      </c>
      <c r="E73" s="2505">
        <v>38702.418627599203</v>
      </c>
    </row>
    <row r="74" spans="1:5" x14ac:dyDescent="0.2">
      <c r="A74" s="2505">
        <v>2016</v>
      </c>
      <c r="B74" s="2505" t="s">
        <v>2757</v>
      </c>
      <c r="C74" s="2505" t="s">
        <v>2758</v>
      </c>
      <c r="E74" s="2505">
        <v>4008.4728144584237</v>
      </c>
    </row>
    <row r="75" spans="1:5" x14ac:dyDescent="0.2">
      <c r="A75" s="2505">
        <v>2016</v>
      </c>
      <c r="B75" s="2505" t="s">
        <v>2759</v>
      </c>
      <c r="C75" s="2505" t="s">
        <v>2241</v>
      </c>
      <c r="D75" s="2505" t="s">
        <v>2242</v>
      </c>
      <c r="E75" s="2505">
        <v>42236.285710578464</v>
      </c>
    </row>
    <row r="76" spans="1:5" x14ac:dyDescent="0.2">
      <c r="A76" s="2505">
        <v>2016</v>
      </c>
      <c r="B76" s="2505" t="s">
        <v>2760</v>
      </c>
      <c r="C76" s="2505" t="s">
        <v>2238</v>
      </c>
      <c r="D76" s="2505" t="s">
        <v>2239</v>
      </c>
      <c r="E76" s="2505">
        <v>9323.1984083240786</v>
      </c>
    </row>
    <row r="77" spans="1:5" x14ac:dyDescent="0.2">
      <c r="A77" s="2505">
        <v>2016</v>
      </c>
      <c r="B77" s="2505" t="s">
        <v>2761</v>
      </c>
      <c r="C77" s="2505" t="s">
        <v>2244</v>
      </c>
      <c r="D77" s="2505" t="s">
        <v>2245</v>
      </c>
      <c r="E77" s="2505">
        <v>41016.651502513312</v>
      </c>
    </row>
    <row r="78" spans="1:5" x14ac:dyDescent="0.2">
      <c r="A78" s="2505">
        <v>2016</v>
      </c>
      <c r="B78" s="2505" t="s">
        <v>2762</v>
      </c>
      <c r="C78" s="2505" t="s">
        <v>2763</v>
      </c>
    </row>
    <row r="79" spans="1:5" x14ac:dyDescent="0.2">
      <c r="A79" s="2505">
        <v>2016</v>
      </c>
      <c r="B79" s="2505" t="s">
        <v>2764</v>
      </c>
      <c r="C79" s="2505" t="s">
        <v>2419</v>
      </c>
      <c r="D79" s="2505" t="s">
        <v>2420</v>
      </c>
      <c r="E79" s="2505">
        <v>3496.7152247821114</v>
      </c>
    </row>
    <row r="80" spans="1:5" x14ac:dyDescent="0.2">
      <c r="A80" s="2505">
        <v>2016</v>
      </c>
      <c r="B80" s="2505" t="s">
        <v>2765</v>
      </c>
      <c r="C80" s="2505" t="s">
        <v>2249</v>
      </c>
      <c r="D80" s="2505" t="s">
        <v>2250</v>
      </c>
      <c r="E80" s="2505">
        <v>20081.027494995342</v>
      </c>
    </row>
    <row r="81" spans="1:5" x14ac:dyDescent="0.2">
      <c r="A81" s="2505">
        <v>2016</v>
      </c>
      <c r="B81" s="2505" t="s">
        <v>2766</v>
      </c>
      <c r="C81" s="2505" t="s">
        <v>2635</v>
      </c>
      <c r="D81" s="2505" t="s">
        <v>2636</v>
      </c>
      <c r="E81" s="2505">
        <v>41755.938522009528</v>
      </c>
    </row>
    <row r="82" spans="1:5" x14ac:dyDescent="0.2">
      <c r="A82" s="2505">
        <v>2016</v>
      </c>
      <c r="B82" s="2505" t="s">
        <v>2767</v>
      </c>
      <c r="C82" s="2505" t="s">
        <v>2255</v>
      </c>
      <c r="D82" s="2505" t="s">
        <v>2256</v>
      </c>
      <c r="E82" s="2505">
        <v>9599.4822044693428</v>
      </c>
    </row>
    <row r="83" spans="1:5" x14ac:dyDescent="0.2">
      <c r="A83" s="2505">
        <v>2016</v>
      </c>
      <c r="B83" s="2505" t="s">
        <v>2768</v>
      </c>
      <c r="C83" s="2505" t="s">
        <v>2261</v>
      </c>
      <c r="D83" s="2505" t="s">
        <v>2262</v>
      </c>
      <c r="E83" s="2505">
        <v>4210.4982915913906</v>
      </c>
    </row>
    <row r="84" spans="1:5" x14ac:dyDescent="0.2">
      <c r="A84" s="2505">
        <v>2016</v>
      </c>
      <c r="B84" s="2505" t="s">
        <v>2769</v>
      </c>
      <c r="C84" s="2505" t="s">
        <v>2770</v>
      </c>
    </row>
    <row r="85" spans="1:5" x14ac:dyDescent="0.2">
      <c r="A85" s="2505">
        <v>2016</v>
      </c>
      <c r="B85" s="2505" t="s">
        <v>2771</v>
      </c>
      <c r="C85" s="2505" t="s">
        <v>2277</v>
      </c>
      <c r="D85" s="2505" t="s">
        <v>2278</v>
      </c>
      <c r="E85" s="2505">
        <v>1208.9860933125606</v>
      </c>
    </row>
    <row r="86" spans="1:5" x14ac:dyDescent="0.2">
      <c r="A86" s="2505">
        <v>2016</v>
      </c>
      <c r="B86" s="2505" t="s">
        <v>2772</v>
      </c>
      <c r="C86" s="2505" t="s">
        <v>2252</v>
      </c>
      <c r="D86" s="2505" t="s">
        <v>2253</v>
      </c>
      <c r="E86" s="2505">
        <v>1679.6843874362933</v>
      </c>
    </row>
    <row r="87" spans="1:5" x14ac:dyDescent="0.2">
      <c r="A87" s="2505">
        <v>2016</v>
      </c>
      <c r="B87" s="2505" t="s">
        <v>2773</v>
      </c>
      <c r="C87" s="2505" t="s">
        <v>2280</v>
      </c>
      <c r="D87" s="2505" t="s">
        <v>2281</v>
      </c>
      <c r="E87" s="2505">
        <v>1455.8036341106917</v>
      </c>
    </row>
    <row r="88" spans="1:5" x14ac:dyDescent="0.2">
      <c r="A88" s="2505">
        <v>2016</v>
      </c>
      <c r="B88" s="2505" t="s">
        <v>2774</v>
      </c>
      <c r="C88" s="2505" t="s">
        <v>2226</v>
      </c>
      <c r="D88" s="2505" t="s">
        <v>2227</v>
      </c>
      <c r="E88" s="2505">
        <v>40718.829683838667</v>
      </c>
    </row>
    <row r="89" spans="1:5" x14ac:dyDescent="0.2">
      <c r="A89" s="2505">
        <v>2016</v>
      </c>
      <c r="B89" s="2505" t="s">
        <v>2775</v>
      </c>
      <c r="C89" s="2505" t="s">
        <v>2264</v>
      </c>
      <c r="D89" s="2505" t="s">
        <v>2265</v>
      </c>
      <c r="E89" s="2505">
        <v>26379.263530796099</v>
      </c>
    </row>
    <row r="90" spans="1:5" x14ac:dyDescent="0.2">
      <c r="A90" s="2505">
        <v>2016</v>
      </c>
      <c r="B90" s="2505" t="s">
        <v>2776</v>
      </c>
      <c r="C90" s="2505" t="s">
        <v>2269</v>
      </c>
      <c r="D90" s="2505" t="s">
        <v>2270</v>
      </c>
      <c r="E90" s="2505">
        <v>13558.545218318925</v>
      </c>
    </row>
    <row r="91" spans="1:5" x14ac:dyDescent="0.2">
      <c r="A91" s="2505">
        <v>2016</v>
      </c>
      <c r="B91" s="2505" t="s">
        <v>2777</v>
      </c>
      <c r="C91" s="2505" t="s">
        <v>2267</v>
      </c>
    </row>
    <row r="92" spans="1:5" x14ac:dyDescent="0.2">
      <c r="A92" s="2505">
        <v>2016</v>
      </c>
      <c r="B92" s="2505" t="s">
        <v>2778</v>
      </c>
      <c r="C92" s="2505" t="s">
        <v>2274</v>
      </c>
      <c r="D92" s="2505" t="s">
        <v>2275</v>
      </c>
      <c r="E92" s="2505">
        <v>7722.4302174432651</v>
      </c>
    </row>
    <row r="93" spans="1:5" x14ac:dyDescent="0.2">
      <c r="A93" s="2505">
        <v>2016</v>
      </c>
      <c r="B93" s="2505" t="s">
        <v>2779</v>
      </c>
      <c r="C93" s="2505" t="s">
        <v>2272</v>
      </c>
    </row>
    <row r="94" spans="1:5" x14ac:dyDescent="0.2">
      <c r="A94" s="2505">
        <v>2016</v>
      </c>
      <c r="B94" s="2505" t="s">
        <v>2780</v>
      </c>
      <c r="C94" s="2505" t="s">
        <v>2283</v>
      </c>
      <c r="D94" s="2505" t="s">
        <v>2284</v>
      </c>
      <c r="E94" s="2505">
        <v>7521.7287579456197</v>
      </c>
    </row>
    <row r="95" spans="1:5" x14ac:dyDescent="0.2">
      <c r="A95" s="2505">
        <v>2016</v>
      </c>
      <c r="B95" s="2505" t="s">
        <v>2781</v>
      </c>
      <c r="C95" s="2505" t="s">
        <v>2782</v>
      </c>
      <c r="E95" s="2505">
        <v>45645.684232962296</v>
      </c>
    </row>
    <row r="96" spans="1:5" x14ac:dyDescent="0.2">
      <c r="A96" s="2505">
        <v>2016</v>
      </c>
      <c r="B96" s="2505" t="s">
        <v>2783</v>
      </c>
      <c r="C96" s="2505" t="s">
        <v>2292</v>
      </c>
      <c r="D96" s="2505" t="s">
        <v>2293</v>
      </c>
      <c r="E96" s="2505">
        <v>56923.490539119361</v>
      </c>
    </row>
    <row r="97" spans="1:5" x14ac:dyDescent="0.2">
      <c r="A97" s="2505">
        <v>2016</v>
      </c>
      <c r="B97" s="2505" t="s">
        <v>2784</v>
      </c>
      <c r="C97" s="2505" t="s">
        <v>2289</v>
      </c>
      <c r="D97" s="2505" t="s">
        <v>2290</v>
      </c>
      <c r="E97" s="2505">
        <v>5095.204056043578</v>
      </c>
    </row>
    <row r="98" spans="1:5" x14ac:dyDescent="0.2">
      <c r="A98" s="2505">
        <v>2016</v>
      </c>
      <c r="B98" s="2505" t="s">
        <v>2785</v>
      </c>
      <c r="C98" s="2505" t="s">
        <v>2786</v>
      </c>
      <c r="E98" s="2505">
        <v>2186.3558622494452</v>
      </c>
    </row>
    <row r="99" spans="1:5" x14ac:dyDescent="0.2">
      <c r="A99" s="2505">
        <v>2016</v>
      </c>
      <c r="B99" s="2505" t="s">
        <v>2787</v>
      </c>
      <c r="C99" s="2505" t="s">
        <v>2193</v>
      </c>
      <c r="D99" s="2505" t="s">
        <v>2194</v>
      </c>
      <c r="E99" s="2505">
        <v>22514.416588660566</v>
      </c>
    </row>
    <row r="100" spans="1:5" x14ac:dyDescent="0.2">
      <c r="A100" s="2505">
        <v>2016</v>
      </c>
      <c r="B100" s="2505" t="s">
        <v>2788</v>
      </c>
      <c r="C100" s="2505" t="s">
        <v>2286</v>
      </c>
      <c r="D100" s="2505" t="s">
        <v>2287</v>
      </c>
      <c r="E100" s="2505">
        <v>1757.4356781290994</v>
      </c>
    </row>
    <row r="101" spans="1:5" x14ac:dyDescent="0.2">
      <c r="A101" s="2505">
        <v>2016</v>
      </c>
      <c r="B101" s="2505" t="s">
        <v>2789</v>
      </c>
      <c r="C101" s="2505" t="s">
        <v>2295</v>
      </c>
      <c r="D101" s="2505" t="s">
        <v>2296</v>
      </c>
      <c r="E101" s="2505">
        <v>26457.583454659187</v>
      </c>
    </row>
    <row r="102" spans="1:5" x14ac:dyDescent="0.2">
      <c r="A102" s="2505">
        <v>2016</v>
      </c>
      <c r="B102" s="2505" t="s">
        <v>2790</v>
      </c>
      <c r="C102" s="2505" t="s">
        <v>2791</v>
      </c>
      <c r="E102" s="2505">
        <v>12412.216466597078</v>
      </c>
    </row>
    <row r="103" spans="1:5" x14ac:dyDescent="0.2">
      <c r="A103" s="2505">
        <v>2016</v>
      </c>
      <c r="B103" s="2505" t="s">
        <v>2792</v>
      </c>
      <c r="C103" s="2505" t="s">
        <v>2793</v>
      </c>
      <c r="E103" s="2505">
        <v>10086.300686985873</v>
      </c>
    </row>
    <row r="104" spans="1:5" x14ac:dyDescent="0.2">
      <c r="A104" s="2505">
        <v>2016</v>
      </c>
      <c r="B104" s="2505" t="s">
        <v>2794</v>
      </c>
      <c r="C104" s="2505" t="s">
        <v>2795</v>
      </c>
      <c r="E104" s="2505">
        <v>3786.1836805049952</v>
      </c>
    </row>
    <row r="105" spans="1:5" x14ac:dyDescent="0.2">
      <c r="A105" s="2505">
        <v>2016</v>
      </c>
      <c r="B105" s="2505" t="s">
        <v>2796</v>
      </c>
      <c r="C105" s="2505" t="s">
        <v>2797</v>
      </c>
      <c r="E105" s="2505">
        <v>5675.5795472309455</v>
      </c>
    </row>
    <row r="106" spans="1:5" x14ac:dyDescent="0.2">
      <c r="A106" s="2505">
        <v>2016</v>
      </c>
      <c r="B106" s="2505" t="s">
        <v>2798</v>
      </c>
      <c r="C106" s="2505" t="s">
        <v>2304</v>
      </c>
      <c r="D106" s="2505" t="s">
        <v>2305</v>
      </c>
      <c r="E106" s="2505">
        <v>11057.560719817731</v>
      </c>
    </row>
    <row r="107" spans="1:5" x14ac:dyDescent="0.2">
      <c r="A107" s="2505">
        <v>2016</v>
      </c>
      <c r="B107" s="2505" t="s">
        <v>2799</v>
      </c>
      <c r="C107" s="2505" t="s">
        <v>2800</v>
      </c>
      <c r="E107" s="2505">
        <v>2732.3540301677303</v>
      </c>
    </row>
    <row r="108" spans="1:5" x14ac:dyDescent="0.2">
      <c r="A108" s="2505">
        <v>2016</v>
      </c>
      <c r="B108" s="2505" t="s">
        <v>2801</v>
      </c>
      <c r="C108" s="2505" t="s">
        <v>2802</v>
      </c>
    </row>
    <row r="109" spans="1:5" x14ac:dyDescent="0.2">
      <c r="A109" s="2505">
        <v>2016</v>
      </c>
      <c r="B109" s="2505" t="s">
        <v>2803</v>
      </c>
      <c r="C109" s="2505" t="s">
        <v>2301</v>
      </c>
      <c r="D109" s="2505" t="s">
        <v>2302</v>
      </c>
      <c r="E109" s="2505">
        <v>6100.6631903969646</v>
      </c>
    </row>
    <row r="110" spans="1:5" x14ac:dyDescent="0.2">
      <c r="A110" s="2505">
        <v>2016</v>
      </c>
      <c r="B110" s="2505" t="s">
        <v>2804</v>
      </c>
      <c r="C110" s="2505" t="s">
        <v>2805</v>
      </c>
    </row>
    <row r="111" spans="1:5" x14ac:dyDescent="0.2">
      <c r="A111" s="2505">
        <v>2016</v>
      </c>
      <c r="B111" s="2505" t="s">
        <v>2806</v>
      </c>
      <c r="C111" s="2505" t="s">
        <v>2313</v>
      </c>
      <c r="D111" s="2505" t="s">
        <v>2314</v>
      </c>
      <c r="E111" s="2505">
        <v>68513.974066632771</v>
      </c>
    </row>
    <row r="112" spans="1:5" x14ac:dyDescent="0.2">
      <c r="A112" s="2505">
        <v>2016</v>
      </c>
      <c r="B112" s="2505" t="s">
        <v>2807</v>
      </c>
      <c r="C112" s="2505" t="s">
        <v>2307</v>
      </c>
      <c r="D112" s="2505" t="s">
        <v>2308</v>
      </c>
    </row>
    <row r="113" spans="1:5" x14ac:dyDescent="0.2">
      <c r="A113" s="2505">
        <v>2016</v>
      </c>
      <c r="B113" s="2505" t="s">
        <v>2808</v>
      </c>
      <c r="C113" s="2505" t="s">
        <v>2310</v>
      </c>
      <c r="D113" s="2505" t="s">
        <v>2311</v>
      </c>
      <c r="E113" s="2505">
        <v>15394.768748985463</v>
      </c>
    </row>
    <row r="114" spans="1:5" x14ac:dyDescent="0.2">
      <c r="A114" s="2505">
        <v>2016</v>
      </c>
      <c r="B114" s="2505" t="s">
        <v>2809</v>
      </c>
      <c r="C114" s="2505" t="s">
        <v>2298</v>
      </c>
      <c r="D114" s="2505" t="s">
        <v>2299</v>
      </c>
      <c r="E114" s="2505">
        <v>47202.220306072697</v>
      </c>
    </row>
    <row r="115" spans="1:5" x14ac:dyDescent="0.2">
      <c r="A115" s="2505">
        <v>2016</v>
      </c>
      <c r="B115" s="2505" t="s">
        <v>2810</v>
      </c>
      <c r="C115" s="2505" t="s">
        <v>2316</v>
      </c>
      <c r="D115" s="2505" t="s">
        <v>2317</v>
      </c>
      <c r="E115" s="2505">
        <v>36575.941650418419</v>
      </c>
    </row>
    <row r="116" spans="1:5" x14ac:dyDescent="0.2">
      <c r="A116" s="2505">
        <v>2016</v>
      </c>
      <c r="B116" s="2505" t="s">
        <v>2811</v>
      </c>
      <c r="C116" s="2505" t="s">
        <v>2319</v>
      </c>
      <c r="D116" s="2505" t="s">
        <v>2320</v>
      </c>
      <c r="E116" s="2505">
        <v>37217.384332648071</v>
      </c>
    </row>
    <row r="117" spans="1:5" x14ac:dyDescent="0.2">
      <c r="A117" s="2505">
        <v>2016</v>
      </c>
      <c r="B117" s="2505" t="s">
        <v>2812</v>
      </c>
      <c r="C117" s="2505" t="s">
        <v>2322</v>
      </c>
      <c r="D117" s="2505" t="s">
        <v>2323</v>
      </c>
      <c r="E117" s="2505">
        <v>8872.9073052484418</v>
      </c>
    </row>
    <row r="118" spans="1:5" x14ac:dyDescent="0.2">
      <c r="A118" s="2505">
        <v>2016</v>
      </c>
      <c r="B118" s="2505" t="s">
        <v>2813</v>
      </c>
      <c r="C118" s="2505" t="s">
        <v>2330</v>
      </c>
      <c r="D118" s="2505" t="s">
        <v>2331</v>
      </c>
      <c r="E118" s="2505">
        <v>10902.47325085768</v>
      </c>
    </row>
    <row r="119" spans="1:5" x14ac:dyDescent="0.2">
      <c r="A119" s="2505">
        <v>2016</v>
      </c>
      <c r="B119" s="2505" t="s">
        <v>2814</v>
      </c>
      <c r="C119" s="2505" t="s">
        <v>2325</v>
      </c>
      <c r="D119" s="2505" t="s">
        <v>2326</v>
      </c>
      <c r="E119" s="2505">
        <v>40763.403699127935</v>
      </c>
    </row>
    <row r="120" spans="1:5" x14ac:dyDescent="0.2">
      <c r="A120" s="2505">
        <v>2016</v>
      </c>
      <c r="B120" s="2505" t="s">
        <v>2815</v>
      </c>
      <c r="C120" s="2505" t="s">
        <v>2333</v>
      </c>
      <c r="D120" s="2505" t="s">
        <v>2334</v>
      </c>
      <c r="E120" s="2505">
        <v>25044.878009275701</v>
      </c>
    </row>
    <row r="121" spans="1:5" x14ac:dyDescent="0.2">
      <c r="A121" s="2505">
        <v>2016</v>
      </c>
      <c r="B121" s="2505" t="s">
        <v>2816</v>
      </c>
      <c r="C121" s="2505" t="s">
        <v>2336</v>
      </c>
      <c r="D121" s="2505" t="s">
        <v>2337</v>
      </c>
      <c r="E121" s="2505">
        <v>3088.7942291491331</v>
      </c>
    </row>
    <row r="122" spans="1:5" x14ac:dyDescent="0.2">
      <c r="A122" s="2505">
        <v>2016</v>
      </c>
      <c r="B122" s="2505" t="s">
        <v>2817</v>
      </c>
      <c r="C122" s="2505" t="s">
        <v>2353</v>
      </c>
      <c r="D122" s="2505" t="s">
        <v>2354</v>
      </c>
      <c r="E122" s="2505">
        <v>3433.6801629368333</v>
      </c>
    </row>
    <row r="123" spans="1:5" x14ac:dyDescent="0.2">
      <c r="A123" s="2505">
        <v>2016</v>
      </c>
      <c r="B123" s="2505" t="s">
        <v>2818</v>
      </c>
      <c r="C123" s="2505" t="s">
        <v>2145</v>
      </c>
      <c r="D123" s="2505" t="s">
        <v>2146</v>
      </c>
      <c r="E123" s="2505">
        <v>3490.4190275970714</v>
      </c>
    </row>
    <row r="124" spans="1:5" x14ac:dyDescent="0.2">
      <c r="A124" s="2505">
        <v>2016</v>
      </c>
      <c r="B124" s="2505" t="s">
        <v>2819</v>
      </c>
      <c r="C124" s="2505" t="s">
        <v>2339</v>
      </c>
      <c r="D124" s="2505" t="s">
        <v>2340</v>
      </c>
      <c r="E124" s="2505">
        <v>1994.7676008582398</v>
      </c>
    </row>
    <row r="125" spans="1:5" x14ac:dyDescent="0.2">
      <c r="A125" s="2505">
        <v>2016</v>
      </c>
      <c r="B125" s="2505" t="s">
        <v>2820</v>
      </c>
      <c r="C125" s="2505" t="s">
        <v>2563</v>
      </c>
      <c r="D125" s="2505" t="s">
        <v>2564</v>
      </c>
      <c r="E125" s="2505">
        <v>25088.160598977669</v>
      </c>
    </row>
    <row r="126" spans="1:5" x14ac:dyDescent="0.2">
      <c r="A126" s="2505">
        <v>2016</v>
      </c>
      <c r="B126" s="2505" t="s">
        <v>2821</v>
      </c>
      <c r="C126" s="2505" t="s">
        <v>2345</v>
      </c>
      <c r="D126" s="2505" t="s">
        <v>2346</v>
      </c>
      <c r="E126" s="2505">
        <v>34647.074784247328</v>
      </c>
    </row>
    <row r="127" spans="1:5" x14ac:dyDescent="0.2">
      <c r="A127" s="2505">
        <v>2016</v>
      </c>
      <c r="B127" s="2505" t="s">
        <v>2824</v>
      </c>
      <c r="C127" s="2505" t="s">
        <v>2350</v>
      </c>
      <c r="D127" s="2505" t="s">
        <v>2351</v>
      </c>
      <c r="E127" s="2505">
        <v>74645.482463610359</v>
      </c>
    </row>
    <row r="128" spans="1:5" x14ac:dyDescent="0.2">
      <c r="A128" s="2505">
        <v>2016</v>
      </c>
      <c r="B128" s="2505" t="s">
        <v>2825</v>
      </c>
      <c r="C128" s="2505" t="s">
        <v>2826</v>
      </c>
      <c r="E128" s="2505">
        <v>14929.973694908145</v>
      </c>
    </row>
    <row r="129" spans="1:5" x14ac:dyDescent="0.2">
      <c r="A129" s="2505">
        <v>2016</v>
      </c>
      <c r="B129" s="2505" t="s">
        <v>2827</v>
      </c>
      <c r="C129" s="2505" t="s">
        <v>2356</v>
      </c>
      <c r="D129" s="2505" t="s">
        <v>2357</v>
      </c>
      <c r="E129" s="2505">
        <v>5691.2578186349992</v>
      </c>
    </row>
    <row r="130" spans="1:5" x14ac:dyDescent="0.2">
      <c r="A130" s="2505">
        <v>2016</v>
      </c>
      <c r="B130" s="2505" t="s">
        <v>2828</v>
      </c>
      <c r="C130" s="2505" t="s">
        <v>2362</v>
      </c>
      <c r="D130" s="2505" t="s">
        <v>2363</v>
      </c>
      <c r="E130" s="2505">
        <v>13936.25828780401</v>
      </c>
    </row>
    <row r="131" spans="1:5" x14ac:dyDescent="0.2">
      <c r="A131" s="2505">
        <v>2016</v>
      </c>
      <c r="B131" s="2505" t="s">
        <v>2829</v>
      </c>
      <c r="C131" s="2505" t="s">
        <v>2368</v>
      </c>
      <c r="D131" s="2505" t="s">
        <v>2369</v>
      </c>
      <c r="E131" s="2505">
        <v>835.36693471742115</v>
      </c>
    </row>
    <row r="132" spans="1:5" x14ac:dyDescent="0.2">
      <c r="A132" s="2505">
        <v>2016</v>
      </c>
      <c r="B132" s="2505" t="s">
        <v>2830</v>
      </c>
      <c r="C132" s="2505" t="s">
        <v>2371</v>
      </c>
      <c r="D132" s="2505" t="s">
        <v>2372</v>
      </c>
    </row>
    <row r="133" spans="1:5" x14ac:dyDescent="0.2">
      <c r="A133" s="2505">
        <v>2016</v>
      </c>
      <c r="B133" s="2505" t="s">
        <v>2831</v>
      </c>
      <c r="C133" s="2505" t="s">
        <v>2566</v>
      </c>
      <c r="D133" s="2505" t="s">
        <v>2567</v>
      </c>
      <c r="E133" s="2505">
        <v>10944.334130820836</v>
      </c>
    </row>
    <row r="134" spans="1:5" x14ac:dyDescent="0.2">
      <c r="A134" s="2505">
        <v>2016</v>
      </c>
      <c r="B134" s="2505" t="s">
        <v>2832</v>
      </c>
      <c r="C134" s="2505" t="s">
        <v>2833</v>
      </c>
      <c r="E134" s="2505">
        <v>15407.943644167706</v>
      </c>
    </row>
    <row r="135" spans="1:5" x14ac:dyDescent="0.2">
      <c r="A135" s="2505">
        <v>2016</v>
      </c>
      <c r="B135" s="2505" t="s">
        <v>2834</v>
      </c>
      <c r="C135" s="2505" t="s">
        <v>2835</v>
      </c>
      <c r="E135" s="2505">
        <v>2566.2731005100995</v>
      </c>
    </row>
    <row r="136" spans="1:5" x14ac:dyDescent="0.2">
      <c r="A136" s="2505">
        <v>2016</v>
      </c>
      <c r="B136" s="2505" t="s">
        <v>2836</v>
      </c>
      <c r="C136" s="2505" t="s">
        <v>2837</v>
      </c>
      <c r="E136" s="2505">
        <v>1635.9428905098537</v>
      </c>
    </row>
    <row r="137" spans="1:5" x14ac:dyDescent="0.2">
      <c r="A137" s="2505">
        <v>2016</v>
      </c>
      <c r="B137" s="2505" t="s">
        <v>2838</v>
      </c>
      <c r="C137" s="2505" t="s">
        <v>2374</v>
      </c>
    </row>
    <row r="138" spans="1:5" x14ac:dyDescent="0.2">
      <c r="A138" s="2505">
        <v>2016</v>
      </c>
      <c r="B138" s="2505" t="s">
        <v>2839</v>
      </c>
      <c r="C138" s="2505" t="s">
        <v>2560</v>
      </c>
      <c r="D138" s="2505" t="s">
        <v>2561</v>
      </c>
      <c r="E138" s="2505">
        <v>11762.777581534972</v>
      </c>
    </row>
    <row r="139" spans="1:5" x14ac:dyDescent="0.2">
      <c r="A139" s="2505">
        <v>2016</v>
      </c>
      <c r="B139" s="2505" t="s">
        <v>2840</v>
      </c>
      <c r="C139" s="2505" t="s">
        <v>2841</v>
      </c>
      <c r="E139" s="2505">
        <v>6441.342911728525</v>
      </c>
    </row>
    <row r="140" spans="1:5" x14ac:dyDescent="0.2">
      <c r="A140" s="2505">
        <v>2016</v>
      </c>
      <c r="B140" s="2505" t="s">
        <v>2842</v>
      </c>
      <c r="C140" s="2505" t="s">
        <v>2843</v>
      </c>
      <c r="E140" s="2505">
        <v>9910.88030833429</v>
      </c>
    </row>
    <row r="141" spans="1:5" x14ac:dyDescent="0.2">
      <c r="A141" s="2505">
        <v>2016</v>
      </c>
      <c r="B141" s="2505" t="s">
        <v>2844</v>
      </c>
      <c r="C141" s="2505" t="s">
        <v>2365</v>
      </c>
      <c r="D141" s="2505" t="s">
        <v>2366</v>
      </c>
      <c r="E141" s="2505">
        <v>2949.5133869541355</v>
      </c>
    </row>
    <row r="142" spans="1:5" x14ac:dyDescent="0.2">
      <c r="A142" s="2505">
        <v>2016</v>
      </c>
      <c r="B142" s="2505" t="s">
        <v>2845</v>
      </c>
      <c r="C142" s="2505" t="s">
        <v>2846</v>
      </c>
      <c r="E142" s="2505">
        <v>15945.21213938955</v>
      </c>
    </row>
    <row r="143" spans="1:5" x14ac:dyDescent="0.2">
      <c r="A143" s="2505">
        <v>2016</v>
      </c>
      <c r="B143" s="2505" t="s">
        <v>2847</v>
      </c>
      <c r="C143" s="2505" t="s">
        <v>2376</v>
      </c>
      <c r="D143" s="2505" t="s">
        <v>2377</v>
      </c>
      <c r="E143" s="2505">
        <v>28775.863240537517</v>
      </c>
    </row>
    <row r="144" spans="1:5" x14ac:dyDescent="0.2">
      <c r="A144" s="2505">
        <v>2016</v>
      </c>
      <c r="B144" s="2505" t="s">
        <v>2848</v>
      </c>
      <c r="C144" s="2505" t="s">
        <v>2379</v>
      </c>
      <c r="D144" s="2505" t="s">
        <v>2380</v>
      </c>
      <c r="E144" s="2505">
        <v>103837.57099258453</v>
      </c>
    </row>
    <row r="145" spans="1:5" x14ac:dyDescent="0.2">
      <c r="A145" s="2505">
        <v>2016</v>
      </c>
      <c r="B145" s="2505" t="s">
        <v>2849</v>
      </c>
      <c r="C145" s="2505" t="s">
        <v>2359</v>
      </c>
      <c r="D145" s="2505" t="s">
        <v>2360</v>
      </c>
      <c r="E145" s="2505">
        <v>24899.184566574015</v>
      </c>
    </row>
    <row r="146" spans="1:5" x14ac:dyDescent="0.2">
      <c r="A146" s="2505">
        <v>2016</v>
      </c>
      <c r="B146" s="2505" t="s">
        <v>2850</v>
      </c>
      <c r="C146" s="2505" t="s">
        <v>2382</v>
      </c>
      <c r="D146" s="2505" t="s">
        <v>2383</v>
      </c>
      <c r="E146" s="2505">
        <v>111496.62941079907</v>
      </c>
    </row>
    <row r="147" spans="1:5" x14ac:dyDescent="0.2">
      <c r="A147" s="2505">
        <v>2016</v>
      </c>
      <c r="B147" s="2505" t="s">
        <v>2851</v>
      </c>
      <c r="C147" s="2505" t="s">
        <v>2852</v>
      </c>
    </row>
    <row r="148" spans="1:5" x14ac:dyDescent="0.2">
      <c r="A148" s="2505">
        <v>2016</v>
      </c>
      <c r="B148" s="2505" t="s">
        <v>2853</v>
      </c>
      <c r="C148" s="2505" t="s">
        <v>2432</v>
      </c>
      <c r="D148" s="2505" t="s">
        <v>2433</v>
      </c>
      <c r="E148" s="2505">
        <v>7841.4843548766803</v>
      </c>
    </row>
    <row r="149" spans="1:5" x14ac:dyDescent="0.2">
      <c r="A149" s="2505">
        <v>2016</v>
      </c>
      <c r="B149" s="2505" t="s">
        <v>2854</v>
      </c>
      <c r="C149" s="2505" t="s">
        <v>2425</v>
      </c>
    </row>
    <row r="150" spans="1:5" x14ac:dyDescent="0.2">
      <c r="A150" s="2505">
        <v>2016</v>
      </c>
      <c r="B150" s="2505" t="s">
        <v>2855</v>
      </c>
      <c r="C150" s="2505" t="s">
        <v>2422</v>
      </c>
      <c r="D150" s="2505" t="s">
        <v>2423</v>
      </c>
      <c r="E150" s="2505">
        <v>5048.9678709436075</v>
      </c>
    </row>
    <row r="151" spans="1:5" x14ac:dyDescent="0.2">
      <c r="A151" s="2505">
        <v>2016</v>
      </c>
      <c r="B151" s="2505" t="s">
        <v>2856</v>
      </c>
      <c r="C151" s="2505" t="s">
        <v>2388</v>
      </c>
      <c r="D151" s="2505" t="s">
        <v>2389</v>
      </c>
      <c r="E151" s="2505">
        <v>1465.3448175782403</v>
      </c>
    </row>
    <row r="152" spans="1:5" x14ac:dyDescent="0.2">
      <c r="A152" s="2505">
        <v>2016</v>
      </c>
      <c r="B152" s="2505" t="s">
        <v>2857</v>
      </c>
      <c r="C152" s="2505" t="s">
        <v>2397</v>
      </c>
      <c r="E152" s="2505">
        <v>12770.271317667335</v>
      </c>
    </row>
    <row r="153" spans="1:5" x14ac:dyDescent="0.2">
      <c r="A153" s="2505">
        <v>2016</v>
      </c>
      <c r="B153" s="2505" t="s">
        <v>2858</v>
      </c>
      <c r="C153" s="2505" t="s">
        <v>2859</v>
      </c>
      <c r="E153" s="2505">
        <v>18816.994347796252</v>
      </c>
    </row>
    <row r="154" spans="1:5" x14ac:dyDescent="0.2">
      <c r="A154" s="2505">
        <v>2016</v>
      </c>
      <c r="B154" s="2505" t="s">
        <v>2860</v>
      </c>
      <c r="C154" s="2505" t="s">
        <v>2416</v>
      </c>
      <c r="D154" s="2505" t="s">
        <v>2417</v>
      </c>
      <c r="E154" s="2505">
        <v>16988.383000257414</v>
      </c>
    </row>
    <row r="155" spans="1:5" x14ac:dyDescent="0.2">
      <c r="A155" s="2505">
        <v>2016</v>
      </c>
      <c r="B155" s="2505" t="s">
        <v>2861</v>
      </c>
      <c r="C155" s="2505" t="s">
        <v>2405</v>
      </c>
      <c r="D155" s="2505" t="s">
        <v>2406</v>
      </c>
      <c r="E155" s="2505">
        <v>3910.915398287601</v>
      </c>
    </row>
    <row r="156" spans="1:5" x14ac:dyDescent="0.2">
      <c r="A156" s="2505">
        <v>2016</v>
      </c>
      <c r="B156" s="2505" t="s">
        <v>2862</v>
      </c>
      <c r="C156" s="2505" t="s">
        <v>2863</v>
      </c>
      <c r="E156" s="2505">
        <v>10869.011165729202</v>
      </c>
    </row>
    <row r="157" spans="1:5" x14ac:dyDescent="0.2">
      <c r="A157" s="2505">
        <v>2016</v>
      </c>
      <c r="B157" s="2505" t="s">
        <v>2864</v>
      </c>
      <c r="C157" s="2505" t="s">
        <v>2385</v>
      </c>
      <c r="D157" s="2505" t="s">
        <v>2386</v>
      </c>
      <c r="E157" s="2505">
        <v>14076.483133510575</v>
      </c>
    </row>
    <row r="158" spans="1:5" x14ac:dyDescent="0.2">
      <c r="A158" s="2505">
        <v>2016</v>
      </c>
      <c r="B158" s="2505" t="s">
        <v>2865</v>
      </c>
      <c r="C158" s="2505" t="s">
        <v>2399</v>
      </c>
      <c r="D158" s="2505" t="s">
        <v>2400</v>
      </c>
      <c r="E158" s="2505">
        <v>2028.1575184547</v>
      </c>
    </row>
    <row r="159" spans="1:5" x14ac:dyDescent="0.2">
      <c r="A159" s="2505">
        <v>2016</v>
      </c>
      <c r="B159" s="2505" t="s">
        <v>2866</v>
      </c>
      <c r="C159" s="2505" t="s">
        <v>2402</v>
      </c>
      <c r="D159" s="2505" t="s">
        <v>2403</v>
      </c>
      <c r="E159" s="2505">
        <v>33995.183302269063</v>
      </c>
    </row>
    <row r="160" spans="1:5" x14ac:dyDescent="0.2">
      <c r="A160" s="2505">
        <v>2016</v>
      </c>
      <c r="B160" s="2505" t="s">
        <v>2867</v>
      </c>
      <c r="C160" s="2505" t="s">
        <v>2438</v>
      </c>
      <c r="D160" s="2505" t="s">
        <v>861</v>
      </c>
      <c r="E160" s="2505">
        <v>5249.7447420576445</v>
      </c>
    </row>
    <row r="161" spans="1:5" x14ac:dyDescent="0.2">
      <c r="A161" s="2505">
        <v>2016</v>
      </c>
      <c r="B161" s="2505" t="s">
        <v>2868</v>
      </c>
      <c r="C161" s="2505" t="s">
        <v>2869</v>
      </c>
    </row>
    <row r="162" spans="1:5" x14ac:dyDescent="0.2">
      <c r="A162" s="2505">
        <v>2016</v>
      </c>
      <c r="B162" s="2505" t="s">
        <v>2870</v>
      </c>
      <c r="C162" s="2505" t="s">
        <v>2430</v>
      </c>
      <c r="E162" s="2505">
        <v>16050.164305823093</v>
      </c>
    </row>
    <row r="163" spans="1:5" x14ac:dyDescent="0.2">
      <c r="A163" s="2505">
        <v>2016</v>
      </c>
      <c r="B163" s="2505" t="s">
        <v>2871</v>
      </c>
      <c r="C163" s="2505" t="s">
        <v>2427</v>
      </c>
      <c r="D163" s="2505" t="s">
        <v>2428</v>
      </c>
      <c r="E163" s="2505">
        <v>12220.781340083206</v>
      </c>
    </row>
    <row r="164" spans="1:5" x14ac:dyDescent="0.2">
      <c r="A164" s="2505">
        <v>2016</v>
      </c>
      <c r="B164" s="2505" t="s">
        <v>2872</v>
      </c>
      <c r="C164" s="2505" t="s">
        <v>2873</v>
      </c>
    </row>
    <row r="165" spans="1:5" x14ac:dyDescent="0.2">
      <c r="A165" s="2505">
        <v>2016</v>
      </c>
      <c r="B165" s="2505" t="s">
        <v>2874</v>
      </c>
      <c r="C165" s="2505" t="s">
        <v>2435</v>
      </c>
      <c r="D165" s="2505" t="s">
        <v>2436</v>
      </c>
      <c r="E165" s="2505">
        <v>1192.1753289215208</v>
      </c>
    </row>
    <row r="166" spans="1:5" x14ac:dyDescent="0.2">
      <c r="A166" s="2505">
        <v>2016</v>
      </c>
      <c r="B166" s="2505" t="s">
        <v>2875</v>
      </c>
      <c r="C166" s="2505" t="s">
        <v>2410</v>
      </c>
      <c r="D166" s="2505" t="s">
        <v>2411</v>
      </c>
    </row>
    <row r="167" spans="1:5" x14ac:dyDescent="0.2">
      <c r="A167" s="2505">
        <v>2016</v>
      </c>
      <c r="B167" s="2505" t="s">
        <v>2876</v>
      </c>
      <c r="C167" s="2505" t="s">
        <v>2413</v>
      </c>
      <c r="D167" s="2505" t="s">
        <v>2414</v>
      </c>
      <c r="E167" s="2505">
        <v>20085.17090325533</v>
      </c>
    </row>
    <row r="168" spans="1:5" x14ac:dyDescent="0.2">
      <c r="A168" s="2505">
        <v>2016</v>
      </c>
      <c r="B168" s="2505" t="s">
        <v>2877</v>
      </c>
      <c r="C168" s="2505" t="s">
        <v>2391</v>
      </c>
      <c r="D168" s="2505" t="s">
        <v>2392</v>
      </c>
      <c r="E168" s="2505">
        <v>1183.6052346296794</v>
      </c>
    </row>
    <row r="169" spans="1:5" x14ac:dyDescent="0.2">
      <c r="A169" s="2505">
        <v>2016</v>
      </c>
      <c r="B169" s="2505" t="s">
        <v>2878</v>
      </c>
      <c r="C169" s="2505" t="s">
        <v>2394</v>
      </c>
      <c r="D169" s="2505" t="s">
        <v>2395</v>
      </c>
      <c r="E169" s="2505">
        <v>26950.335318722333</v>
      </c>
    </row>
    <row r="170" spans="1:5" x14ac:dyDescent="0.2">
      <c r="A170" s="2505">
        <v>2016</v>
      </c>
      <c r="B170" s="2505" t="s">
        <v>2879</v>
      </c>
      <c r="C170" s="2505" t="s">
        <v>2880</v>
      </c>
      <c r="E170" s="2505">
        <v>54920.025960901083</v>
      </c>
    </row>
    <row r="171" spans="1:5" x14ac:dyDescent="0.2">
      <c r="A171" s="2505">
        <v>2016</v>
      </c>
      <c r="B171" s="2505" t="s">
        <v>2881</v>
      </c>
      <c r="C171" s="2505" t="s">
        <v>2440</v>
      </c>
      <c r="D171" s="2505" t="s">
        <v>2441</v>
      </c>
      <c r="E171" s="2505">
        <v>10411.357031937927</v>
      </c>
    </row>
    <row r="172" spans="1:5" x14ac:dyDescent="0.2">
      <c r="A172" s="2505">
        <v>2016</v>
      </c>
      <c r="B172" s="2505" t="s">
        <v>2882</v>
      </c>
      <c r="C172" s="2505" t="s">
        <v>2883</v>
      </c>
    </row>
    <row r="173" spans="1:5" x14ac:dyDescent="0.2">
      <c r="A173" s="2505">
        <v>2016</v>
      </c>
      <c r="B173" s="2505" t="s">
        <v>2884</v>
      </c>
      <c r="C173" s="2505" t="s">
        <v>2459</v>
      </c>
      <c r="D173" s="2505" t="s">
        <v>2460</v>
      </c>
      <c r="E173" s="2505">
        <v>955.48332371522656</v>
      </c>
    </row>
    <row r="174" spans="1:5" x14ac:dyDescent="0.2">
      <c r="A174" s="2505">
        <v>2016</v>
      </c>
      <c r="B174" s="2505" t="s">
        <v>2885</v>
      </c>
      <c r="C174" s="2505" t="s">
        <v>2462</v>
      </c>
      <c r="D174" s="2505" t="s">
        <v>2463</v>
      </c>
      <c r="E174" s="2505">
        <v>6003.8900711542674</v>
      </c>
    </row>
    <row r="175" spans="1:5" x14ac:dyDescent="0.2">
      <c r="A175" s="2505">
        <v>2016</v>
      </c>
      <c r="B175" s="2505" t="s">
        <v>2886</v>
      </c>
      <c r="C175" s="2505" t="s">
        <v>2456</v>
      </c>
      <c r="D175" s="2505" t="s">
        <v>2457</v>
      </c>
      <c r="E175" s="2505">
        <v>5200.2996847154227</v>
      </c>
    </row>
    <row r="176" spans="1:5" x14ac:dyDescent="0.2">
      <c r="A176" s="2505">
        <v>2016</v>
      </c>
      <c r="B176" s="2505" t="s">
        <v>2887</v>
      </c>
      <c r="C176" s="2505" t="s">
        <v>2448</v>
      </c>
      <c r="D176" s="2505" t="s">
        <v>2449</v>
      </c>
      <c r="E176" s="2505">
        <v>49587.005186808274</v>
      </c>
    </row>
    <row r="177" spans="1:5" x14ac:dyDescent="0.2">
      <c r="A177" s="2505">
        <v>2016</v>
      </c>
      <c r="B177" s="2505" t="s">
        <v>2888</v>
      </c>
      <c r="C177" s="2505" t="s">
        <v>2467</v>
      </c>
      <c r="D177" s="2505" t="s">
        <v>104</v>
      </c>
      <c r="E177" s="2505">
        <v>62083.862567950207</v>
      </c>
    </row>
    <row r="178" spans="1:5" x14ac:dyDescent="0.2">
      <c r="A178" s="2505">
        <v>2016</v>
      </c>
      <c r="B178" s="2505" t="s">
        <v>2889</v>
      </c>
      <c r="C178" s="2505" t="s">
        <v>2445</v>
      </c>
      <c r="D178" s="2505" t="s">
        <v>2446</v>
      </c>
      <c r="E178" s="2505">
        <v>2462.0746104914783</v>
      </c>
    </row>
    <row r="179" spans="1:5" x14ac:dyDescent="0.2">
      <c r="A179" s="2505">
        <v>2016</v>
      </c>
      <c r="B179" s="2505" t="s">
        <v>2890</v>
      </c>
      <c r="C179" s="2505" t="s">
        <v>2443</v>
      </c>
    </row>
    <row r="180" spans="1:5" x14ac:dyDescent="0.2">
      <c r="A180" s="2505">
        <v>2016</v>
      </c>
      <c r="B180" s="2505" t="s">
        <v>2891</v>
      </c>
      <c r="C180" s="2505" t="s">
        <v>2453</v>
      </c>
      <c r="D180" s="2505" t="s">
        <v>2454</v>
      </c>
      <c r="E180" s="2505">
        <v>37575.930549451732</v>
      </c>
    </row>
    <row r="181" spans="1:5" x14ac:dyDescent="0.2">
      <c r="A181" s="2505">
        <v>2016</v>
      </c>
      <c r="B181" s="2505" t="s">
        <v>2892</v>
      </c>
      <c r="C181" s="2505" t="s">
        <v>2893</v>
      </c>
      <c r="E181" s="2505">
        <v>40587.095829730519</v>
      </c>
    </row>
    <row r="182" spans="1:5" x14ac:dyDescent="0.2">
      <c r="A182" s="2505">
        <v>2016</v>
      </c>
      <c r="B182" s="2505" t="s">
        <v>2894</v>
      </c>
      <c r="C182" s="2505" t="s">
        <v>2469</v>
      </c>
      <c r="D182" s="2505" t="s">
        <v>2470</v>
      </c>
      <c r="E182" s="2505">
        <v>39971.092728639436</v>
      </c>
    </row>
    <row r="183" spans="1:5" x14ac:dyDescent="0.2">
      <c r="A183" s="2505">
        <v>2016</v>
      </c>
      <c r="B183" s="2505" t="s">
        <v>2895</v>
      </c>
      <c r="C183" s="2505" t="s">
        <v>2896</v>
      </c>
      <c r="E183" s="2505">
        <v>25439.250625398174</v>
      </c>
    </row>
    <row r="184" spans="1:5" x14ac:dyDescent="0.2">
      <c r="A184" s="2505">
        <v>2016</v>
      </c>
      <c r="B184" s="2505" t="s">
        <v>2897</v>
      </c>
      <c r="C184" s="2505" t="s">
        <v>2472</v>
      </c>
      <c r="D184" s="2505" t="s">
        <v>2473</v>
      </c>
      <c r="E184" s="2505">
        <v>5010.8139941005084</v>
      </c>
    </row>
    <row r="185" spans="1:5" x14ac:dyDescent="0.2">
      <c r="A185" s="2505">
        <v>2016</v>
      </c>
      <c r="B185" s="2505" t="s">
        <v>2898</v>
      </c>
      <c r="C185" s="2505" t="s">
        <v>2478</v>
      </c>
      <c r="D185" s="2505" t="s">
        <v>2479</v>
      </c>
      <c r="E185" s="2505">
        <v>22237.238256774923</v>
      </c>
    </row>
    <row r="186" spans="1:5" x14ac:dyDescent="0.2">
      <c r="A186" s="2505">
        <v>2016</v>
      </c>
      <c r="B186" s="2505" t="s">
        <v>2899</v>
      </c>
      <c r="C186" s="2505" t="s">
        <v>2487</v>
      </c>
      <c r="D186" s="2505" t="s">
        <v>2488</v>
      </c>
      <c r="E186" s="2505">
        <v>12529.228630765334</v>
      </c>
    </row>
    <row r="187" spans="1:5" x14ac:dyDescent="0.2">
      <c r="A187" s="2505">
        <v>2016</v>
      </c>
      <c r="B187" s="2505" t="s">
        <v>2900</v>
      </c>
      <c r="C187" s="2505" t="s">
        <v>2490</v>
      </c>
      <c r="D187" s="2505" t="s">
        <v>2491</v>
      </c>
      <c r="E187" s="2505">
        <v>7387.3175934512828</v>
      </c>
    </row>
    <row r="188" spans="1:5" x14ac:dyDescent="0.2">
      <c r="A188" s="2505">
        <v>2016</v>
      </c>
      <c r="B188" s="2505" t="s">
        <v>2901</v>
      </c>
      <c r="C188" s="2505" t="s">
        <v>2475</v>
      </c>
      <c r="D188" s="2505" t="s">
        <v>2476</v>
      </c>
      <c r="E188" s="2505">
        <v>15317.166220500954</v>
      </c>
    </row>
    <row r="189" spans="1:5" x14ac:dyDescent="0.2">
      <c r="A189" s="2505">
        <v>2016</v>
      </c>
      <c r="B189" s="2505" t="s">
        <v>2902</v>
      </c>
      <c r="C189" s="2505" t="s">
        <v>2481</v>
      </c>
      <c r="D189" s="2505" t="s">
        <v>2482</v>
      </c>
    </row>
    <row r="190" spans="1:5" x14ac:dyDescent="0.2">
      <c r="A190" s="2505">
        <v>2016</v>
      </c>
      <c r="B190" s="2505" t="s">
        <v>2903</v>
      </c>
      <c r="C190" s="2505" t="s">
        <v>2493</v>
      </c>
      <c r="D190" s="2505" t="s">
        <v>2494</v>
      </c>
      <c r="E190" s="2505">
        <v>26862.268330214123</v>
      </c>
    </row>
    <row r="191" spans="1:5" x14ac:dyDescent="0.2">
      <c r="A191" s="2505">
        <v>2016</v>
      </c>
      <c r="B191" s="2505" t="s">
        <v>2904</v>
      </c>
      <c r="C191" s="2505" t="s">
        <v>2905</v>
      </c>
      <c r="E191" s="2505">
        <v>3702.3623157409133</v>
      </c>
    </row>
    <row r="192" spans="1:5" x14ac:dyDescent="0.2">
      <c r="A192" s="2505">
        <v>2016</v>
      </c>
      <c r="B192" s="2505" t="s">
        <v>2906</v>
      </c>
      <c r="C192" s="2505" t="s">
        <v>2499</v>
      </c>
      <c r="D192" s="2505" t="s">
        <v>2500</v>
      </c>
    </row>
    <row r="193" spans="1:5" x14ac:dyDescent="0.2">
      <c r="A193" s="2505">
        <v>2016</v>
      </c>
      <c r="B193" s="2505" t="s">
        <v>2907</v>
      </c>
      <c r="C193" s="2505" t="s">
        <v>2342</v>
      </c>
      <c r="D193" s="2505" t="s">
        <v>2343</v>
      </c>
    </row>
    <row r="194" spans="1:5" x14ac:dyDescent="0.2">
      <c r="A194" s="2505">
        <v>2016</v>
      </c>
      <c r="B194" s="2505" t="s">
        <v>2908</v>
      </c>
      <c r="C194" s="2505" t="s">
        <v>2496</v>
      </c>
      <c r="D194" s="2505" t="s">
        <v>2497</v>
      </c>
      <c r="E194" s="2505">
        <v>29689.432346874488</v>
      </c>
    </row>
    <row r="195" spans="1:5" x14ac:dyDescent="0.2">
      <c r="A195" s="2505">
        <v>2016</v>
      </c>
      <c r="B195" s="2505" t="s">
        <v>2909</v>
      </c>
      <c r="C195" s="2505" t="s">
        <v>2484</v>
      </c>
      <c r="D195" s="2505" t="s">
        <v>2485</v>
      </c>
      <c r="E195" s="2505">
        <v>9198.4985340715848</v>
      </c>
    </row>
    <row r="196" spans="1:5" x14ac:dyDescent="0.2">
      <c r="A196" s="2505">
        <v>2016</v>
      </c>
      <c r="B196" s="2505" t="s">
        <v>2991</v>
      </c>
      <c r="C196" s="2505" t="s">
        <v>2992</v>
      </c>
      <c r="E196" s="2505">
        <v>5020.1196188762133</v>
      </c>
    </row>
    <row r="197" spans="1:5" x14ac:dyDescent="0.2">
      <c r="A197" s="2505">
        <v>2016</v>
      </c>
      <c r="B197" s="2505" t="s">
        <v>2910</v>
      </c>
      <c r="C197" s="2505" t="s">
        <v>2911</v>
      </c>
      <c r="E197" s="2505">
        <v>5690.672474165759</v>
      </c>
    </row>
    <row r="198" spans="1:5" x14ac:dyDescent="0.2">
      <c r="A198" s="2505">
        <v>2016</v>
      </c>
      <c r="B198" s="2505" t="s">
        <v>2912</v>
      </c>
      <c r="C198" s="2505" t="s">
        <v>2913</v>
      </c>
      <c r="E198" s="2505">
        <v>43815.70570441748</v>
      </c>
    </row>
    <row r="199" spans="1:5" x14ac:dyDescent="0.2">
      <c r="A199" s="2505">
        <v>2016</v>
      </c>
      <c r="B199" s="2505" t="s">
        <v>2914</v>
      </c>
      <c r="C199" s="2505" t="s">
        <v>2915</v>
      </c>
    </row>
    <row r="200" spans="1:5" x14ac:dyDescent="0.2">
      <c r="A200" s="2505">
        <v>2016</v>
      </c>
      <c r="B200" s="2505" t="s">
        <v>2916</v>
      </c>
      <c r="C200" s="2505" t="s">
        <v>2502</v>
      </c>
      <c r="D200" s="2505" t="s">
        <v>2503</v>
      </c>
      <c r="E200" s="2505">
        <v>141542.66283305839</v>
      </c>
    </row>
    <row r="201" spans="1:5" x14ac:dyDescent="0.2">
      <c r="A201" s="2505">
        <v>2016</v>
      </c>
      <c r="B201" s="2505" t="s">
        <v>2917</v>
      </c>
      <c r="C201" s="2505" t="s">
        <v>2918</v>
      </c>
      <c r="E201" s="2505">
        <v>22124.343304188147</v>
      </c>
    </row>
    <row r="202" spans="1:5" x14ac:dyDescent="0.2">
      <c r="A202" s="2505">
        <v>2016</v>
      </c>
      <c r="B202" s="2505" t="s">
        <v>2919</v>
      </c>
      <c r="C202" s="2505" t="s">
        <v>2510</v>
      </c>
      <c r="D202" s="2505" t="s">
        <v>2511</v>
      </c>
      <c r="E202" s="2505">
        <v>24451.3749516772</v>
      </c>
    </row>
    <row r="203" spans="1:5" x14ac:dyDescent="0.2">
      <c r="A203" s="2505">
        <v>2016</v>
      </c>
      <c r="B203" s="2505" t="s">
        <v>2920</v>
      </c>
      <c r="C203" s="2505" t="s">
        <v>2513</v>
      </c>
      <c r="D203" s="2505" t="s">
        <v>2514</v>
      </c>
      <c r="E203" s="2505">
        <v>1762.3141259966599</v>
      </c>
    </row>
    <row r="204" spans="1:5" x14ac:dyDescent="0.2">
      <c r="A204" s="2505">
        <v>2016</v>
      </c>
      <c r="B204" s="2505" t="s">
        <v>2921</v>
      </c>
      <c r="C204" s="2505" t="s">
        <v>2922</v>
      </c>
      <c r="E204" s="2505">
        <v>5661.0331838359898</v>
      </c>
    </row>
    <row r="205" spans="1:5" x14ac:dyDescent="0.2">
      <c r="A205" s="2505">
        <v>2016</v>
      </c>
      <c r="B205" s="2505" t="s">
        <v>2923</v>
      </c>
      <c r="C205" s="2505" t="s">
        <v>2524</v>
      </c>
      <c r="D205" s="2505" t="s">
        <v>2525</v>
      </c>
      <c r="E205" s="2505">
        <v>53538.790429448243</v>
      </c>
    </row>
    <row r="206" spans="1:5" x14ac:dyDescent="0.2">
      <c r="A206" s="2505">
        <v>2016</v>
      </c>
      <c r="B206" s="2505" t="s">
        <v>2924</v>
      </c>
      <c r="C206" s="2505" t="s">
        <v>2572</v>
      </c>
      <c r="D206" s="2505" t="s">
        <v>2573</v>
      </c>
      <c r="E206" s="2505">
        <v>4387.8963956029202</v>
      </c>
    </row>
    <row r="207" spans="1:5" x14ac:dyDescent="0.2">
      <c r="A207" s="2505">
        <v>2016</v>
      </c>
      <c r="B207" s="2505" t="s">
        <v>2925</v>
      </c>
      <c r="C207" s="2505" t="s">
        <v>2527</v>
      </c>
      <c r="D207" s="2505" t="s">
        <v>2528</v>
      </c>
      <c r="E207" s="2505">
        <v>2420.7948770864514</v>
      </c>
    </row>
    <row r="208" spans="1:5" x14ac:dyDescent="0.2">
      <c r="A208" s="2505">
        <v>2016</v>
      </c>
      <c r="B208" s="2505" t="s">
        <v>2926</v>
      </c>
      <c r="C208" s="2505" t="s">
        <v>2539</v>
      </c>
      <c r="D208" s="2505" t="s">
        <v>2540</v>
      </c>
      <c r="E208" s="2505">
        <v>85382.302269398424</v>
      </c>
    </row>
    <row r="209" spans="1:5" x14ac:dyDescent="0.2">
      <c r="A209" s="2505">
        <v>2016</v>
      </c>
      <c r="B209" s="2505" t="s">
        <v>2927</v>
      </c>
      <c r="C209" s="2505" t="s">
        <v>2547</v>
      </c>
      <c r="D209" s="2505" t="s">
        <v>2548</v>
      </c>
      <c r="E209" s="2505">
        <v>2200.934181049814</v>
      </c>
    </row>
    <row r="210" spans="1:5" x14ac:dyDescent="0.2">
      <c r="A210" s="2505">
        <v>2016</v>
      </c>
      <c r="B210" s="2505" t="s">
        <v>2928</v>
      </c>
      <c r="C210" s="2505" t="s">
        <v>2536</v>
      </c>
      <c r="D210" s="2505" t="s">
        <v>2537</v>
      </c>
      <c r="E210" s="2505">
        <v>1569.3187440686252</v>
      </c>
    </row>
    <row r="211" spans="1:5" x14ac:dyDescent="0.2">
      <c r="A211" s="2505">
        <v>2016</v>
      </c>
      <c r="B211" s="2505" t="s">
        <v>2929</v>
      </c>
      <c r="C211" s="2505" t="s">
        <v>2223</v>
      </c>
      <c r="D211" s="2505" t="s">
        <v>2224</v>
      </c>
      <c r="E211" s="2505">
        <v>8619.5809455385861</v>
      </c>
    </row>
    <row r="212" spans="1:5" x14ac:dyDescent="0.2">
      <c r="A212" s="2505">
        <v>2016</v>
      </c>
      <c r="B212" s="2505" t="s">
        <v>2930</v>
      </c>
      <c r="C212" s="2505" t="s">
        <v>2519</v>
      </c>
    </row>
    <row r="213" spans="1:5" x14ac:dyDescent="0.2">
      <c r="A213" s="2505">
        <v>2016</v>
      </c>
      <c r="B213" s="2505" t="s">
        <v>2931</v>
      </c>
      <c r="C213" s="2505" t="s">
        <v>2550</v>
      </c>
      <c r="D213" s="2505" t="s">
        <v>2551</v>
      </c>
    </row>
    <row r="214" spans="1:5" x14ac:dyDescent="0.2">
      <c r="A214" s="2505">
        <v>2016</v>
      </c>
      <c r="B214" s="2505" t="s">
        <v>2932</v>
      </c>
      <c r="C214" s="2505" t="s">
        <v>2530</v>
      </c>
      <c r="D214" s="2505" t="s">
        <v>2531</v>
      </c>
      <c r="E214" s="2505">
        <v>14111.901309009114</v>
      </c>
    </row>
    <row r="215" spans="1:5" x14ac:dyDescent="0.2">
      <c r="A215" s="2505">
        <v>2016</v>
      </c>
      <c r="B215" s="2505" t="s">
        <v>2933</v>
      </c>
      <c r="C215" s="2505" t="s">
        <v>2934</v>
      </c>
      <c r="E215" s="2505">
        <v>3711.8719810933367</v>
      </c>
    </row>
    <row r="216" spans="1:5" x14ac:dyDescent="0.2">
      <c r="A216" s="2505">
        <v>2016</v>
      </c>
      <c r="B216" s="2505" t="s">
        <v>2935</v>
      </c>
      <c r="C216" s="2505" t="s">
        <v>2556</v>
      </c>
      <c r="E216" s="2505">
        <v>1853.7986266024066</v>
      </c>
    </row>
    <row r="217" spans="1:5" x14ac:dyDescent="0.2">
      <c r="A217" s="2505">
        <v>2016</v>
      </c>
      <c r="B217" s="2505" t="s">
        <v>2936</v>
      </c>
      <c r="C217" s="2505" t="s">
        <v>2937</v>
      </c>
      <c r="E217" s="2505">
        <v>3714.0615307412877</v>
      </c>
    </row>
    <row r="218" spans="1:5" x14ac:dyDescent="0.2">
      <c r="A218" s="2505">
        <v>2016</v>
      </c>
      <c r="B218" s="2505" t="s">
        <v>2938</v>
      </c>
      <c r="C218" s="2505" t="s">
        <v>2939</v>
      </c>
      <c r="E218" s="2505">
        <v>22363.456886894539</v>
      </c>
    </row>
    <row r="219" spans="1:5" x14ac:dyDescent="0.2">
      <c r="A219" s="2505">
        <v>2016</v>
      </c>
      <c r="B219" s="2505" t="s">
        <v>2940</v>
      </c>
      <c r="C219" s="2505" t="s">
        <v>2521</v>
      </c>
      <c r="D219" s="2505" t="s">
        <v>2522</v>
      </c>
      <c r="E219" s="2505">
        <v>3218.5736002492908</v>
      </c>
    </row>
    <row r="220" spans="1:5" x14ac:dyDescent="0.2">
      <c r="A220" s="2505">
        <v>2016</v>
      </c>
      <c r="B220" s="2505" t="s">
        <v>2941</v>
      </c>
      <c r="C220" s="2505" t="s">
        <v>2575</v>
      </c>
      <c r="D220" s="2505" t="s">
        <v>2576</v>
      </c>
      <c r="E220" s="2505">
        <v>16702.659226383559</v>
      </c>
    </row>
    <row r="221" spans="1:5" x14ac:dyDescent="0.2">
      <c r="A221" s="2505">
        <v>2016</v>
      </c>
      <c r="B221" s="2505" t="s">
        <v>2942</v>
      </c>
      <c r="C221" s="2505" t="s">
        <v>2542</v>
      </c>
      <c r="D221" s="2505" t="s">
        <v>2543</v>
      </c>
      <c r="E221" s="2505">
        <v>29931.24697426242</v>
      </c>
    </row>
    <row r="222" spans="1:5" x14ac:dyDescent="0.2">
      <c r="A222" s="2505">
        <v>2016</v>
      </c>
      <c r="B222" s="2505" t="s">
        <v>2943</v>
      </c>
      <c r="C222" s="2505" t="s">
        <v>2545</v>
      </c>
      <c r="D222" s="2505" t="s">
        <v>103</v>
      </c>
      <c r="E222" s="2505">
        <v>31990.476234635698</v>
      </c>
    </row>
    <row r="223" spans="1:5" x14ac:dyDescent="0.2">
      <c r="A223" s="2505">
        <v>2016</v>
      </c>
      <c r="B223" s="2505" t="s">
        <v>2944</v>
      </c>
      <c r="C223" s="2505" t="s">
        <v>2581</v>
      </c>
      <c r="D223" s="2505" t="s">
        <v>2582</v>
      </c>
      <c r="E223" s="2505">
        <v>47855.142747776372</v>
      </c>
    </row>
    <row r="224" spans="1:5" x14ac:dyDescent="0.2">
      <c r="A224" s="2505">
        <v>2016</v>
      </c>
      <c r="B224" s="2505" t="s">
        <v>2945</v>
      </c>
      <c r="C224" s="2505" t="s">
        <v>2578</v>
      </c>
      <c r="D224" s="2505" t="s">
        <v>2579</v>
      </c>
      <c r="E224" s="2505">
        <v>8647.7861492867996</v>
      </c>
    </row>
    <row r="225" spans="1:5" x14ac:dyDescent="0.2">
      <c r="A225" s="2505">
        <v>2016</v>
      </c>
      <c r="B225" s="2505" t="s">
        <v>2946</v>
      </c>
      <c r="C225" s="2505" t="s">
        <v>2947</v>
      </c>
    </row>
    <row r="226" spans="1:5" x14ac:dyDescent="0.2">
      <c r="A226" s="2505">
        <v>2016</v>
      </c>
      <c r="B226" s="2505" t="s">
        <v>2948</v>
      </c>
      <c r="C226" s="2505" t="s">
        <v>2533</v>
      </c>
      <c r="D226" s="2505" t="s">
        <v>2534</v>
      </c>
      <c r="E226" s="2505">
        <v>27177.174079471013</v>
      </c>
    </row>
    <row r="227" spans="1:5" x14ac:dyDescent="0.2">
      <c r="A227" s="2505">
        <v>2016</v>
      </c>
      <c r="B227" s="2505" t="s">
        <v>2949</v>
      </c>
      <c r="C227" s="2505" t="s">
        <v>2587</v>
      </c>
      <c r="D227" s="2505" t="s">
        <v>2588</v>
      </c>
    </row>
    <row r="228" spans="1:5" x14ac:dyDescent="0.2">
      <c r="A228" s="2505">
        <v>2016</v>
      </c>
      <c r="B228" s="2505" t="s">
        <v>2950</v>
      </c>
      <c r="C228" s="2505" t="s">
        <v>2951</v>
      </c>
    </row>
    <row r="229" spans="1:5" x14ac:dyDescent="0.2">
      <c r="A229" s="2505">
        <v>2016</v>
      </c>
      <c r="B229" s="2505" t="s">
        <v>2952</v>
      </c>
      <c r="C229" s="2505" t="s">
        <v>2163</v>
      </c>
      <c r="D229" s="2505" t="s">
        <v>2164</v>
      </c>
      <c r="E229" s="2505">
        <v>2175.8219472355536</v>
      </c>
    </row>
    <row r="230" spans="1:5" x14ac:dyDescent="0.2">
      <c r="A230" s="2505">
        <v>2016</v>
      </c>
      <c r="B230" s="2505" t="s">
        <v>2953</v>
      </c>
      <c r="C230" s="2505" t="s">
        <v>2954</v>
      </c>
      <c r="E230" s="2505">
        <v>13104.805026650982</v>
      </c>
    </row>
    <row r="231" spans="1:5" x14ac:dyDescent="0.2">
      <c r="A231" s="2505">
        <v>2016</v>
      </c>
      <c r="B231" s="2505" t="s">
        <v>2955</v>
      </c>
      <c r="C231" s="2505" t="s">
        <v>2956</v>
      </c>
      <c r="E231" s="2505">
        <v>18946.872552173863</v>
      </c>
    </row>
    <row r="232" spans="1:5" x14ac:dyDescent="0.2">
      <c r="A232" s="2505">
        <v>2016</v>
      </c>
      <c r="B232" s="2505" t="s">
        <v>2957</v>
      </c>
      <c r="C232" s="2505" t="s">
        <v>2605</v>
      </c>
      <c r="D232" s="2505" t="s">
        <v>2606</v>
      </c>
      <c r="E232" s="2505">
        <v>1460.3449100573343</v>
      </c>
    </row>
    <row r="233" spans="1:5" x14ac:dyDescent="0.2">
      <c r="A233" s="2505">
        <v>2016</v>
      </c>
      <c r="B233" s="2505" t="s">
        <v>2958</v>
      </c>
      <c r="C233" s="2505" t="s">
        <v>2599</v>
      </c>
      <c r="D233" s="2505" t="s">
        <v>2600</v>
      </c>
      <c r="E233" s="2505">
        <v>16340.028572275667</v>
      </c>
    </row>
    <row r="234" spans="1:5" x14ac:dyDescent="0.2">
      <c r="A234" s="2505">
        <v>2016</v>
      </c>
      <c r="B234" s="2505" t="s">
        <v>2959</v>
      </c>
      <c r="C234" s="2505" t="s">
        <v>2593</v>
      </c>
      <c r="D234" s="2505" t="s">
        <v>2594</v>
      </c>
      <c r="E234" s="2505">
        <v>2833.6548460943995</v>
      </c>
    </row>
    <row r="235" spans="1:5" x14ac:dyDescent="0.2">
      <c r="A235" s="2505">
        <v>2016</v>
      </c>
      <c r="B235" s="2505" t="s">
        <v>2960</v>
      </c>
      <c r="C235" s="2505" t="s">
        <v>2620</v>
      </c>
      <c r="D235" s="2505" t="s">
        <v>2621</v>
      </c>
      <c r="E235" s="2505">
        <v>16532.485937186852</v>
      </c>
    </row>
    <row r="236" spans="1:5" x14ac:dyDescent="0.2">
      <c r="A236" s="2505">
        <v>2016</v>
      </c>
      <c r="B236" s="2505" t="s">
        <v>2961</v>
      </c>
      <c r="C236" s="2505" t="s">
        <v>2962</v>
      </c>
      <c r="E236" s="2505">
        <v>15137.036717657666</v>
      </c>
    </row>
    <row r="237" spans="1:5" x14ac:dyDescent="0.2">
      <c r="A237" s="2505">
        <v>2016</v>
      </c>
      <c r="B237" s="2505" t="s">
        <v>2965</v>
      </c>
      <c r="C237" s="2505" t="s">
        <v>2966</v>
      </c>
      <c r="E237" s="2505">
        <v>2399.014386069307</v>
      </c>
    </row>
    <row r="238" spans="1:5" x14ac:dyDescent="0.2">
      <c r="A238" s="2505">
        <v>2016</v>
      </c>
      <c r="B238" s="2505" t="s">
        <v>2963</v>
      </c>
      <c r="C238" s="2505" t="s">
        <v>2964</v>
      </c>
    </row>
    <row r="239" spans="1:5" x14ac:dyDescent="0.2">
      <c r="A239" s="2505">
        <v>2016</v>
      </c>
      <c r="B239" s="2505" t="s">
        <v>2967</v>
      </c>
      <c r="C239" s="2505" t="s">
        <v>2608</v>
      </c>
      <c r="D239" s="2505" t="s">
        <v>2609</v>
      </c>
      <c r="E239" s="2505">
        <v>5534.8319123225347</v>
      </c>
    </row>
    <row r="240" spans="1:5" x14ac:dyDescent="0.2">
      <c r="A240" s="2505">
        <v>2016</v>
      </c>
      <c r="B240" s="2505" t="s">
        <v>2968</v>
      </c>
      <c r="C240" s="2505" t="s">
        <v>2969</v>
      </c>
      <c r="E240" s="2505">
        <v>5661.0331838359898</v>
      </c>
    </row>
    <row r="241" spans="1:5" x14ac:dyDescent="0.2">
      <c r="A241" s="2505">
        <v>2016</v>
      </c>
      <c r="B241" s="2505" t="s">
        <v>2970</v>
      </c>
      <c r="C241" s="2505" t="s">
        <v>2971</v>
      </c>
      <c r="E241" s="2505">
        <v>3714.0615307412877</v>
      </c>
    </row>
    <row r="242" spans="1:5" x14ac:dyDescent="0.2">
      <c r="A242" s="2505">
        <v>2016</v>
      </c>
      <c r="B242" s="2505" t="s">
        <v>2972</v>
      </c>
      <c r="C242" s="2505" t="s">
        <v>2611</v>
      </c>
      <c r="D242" s="2505" t="s">
        <v>2612</v>
      </c>
      <c r="E242" s="2505">
        <v>33308.520410465557</v>
      </c>
    </row>
    <row r="243" spans="1:5" x14ac:dyDescent="0.2">
      <c r="A243" s="2505">
        <v>2016</v>
      </c>
      <c r="B243" s="2505" t="s">
        <v>2973</v>
      </c>
      <c r="C243" s="2505" t="s">
        <v>2614</v>
      </c>
      <c r="D243" s="2505" t="s">
        <v>2615</v>
      </c>
      <c r="E243" s="2505">
        <v>11467.066277438234</v>
      </c>
    </row>
    <row r="244" spans="1:5" x14ac:dyDescent="0.2">
      <c r="A244" s="2505">
        <v>2016</v>
      </c>
      <c r="B244" s="2505" t="s">
        <v>2974</v>
      </c>
      <c r="C244" s="2505" t="s">
        <v>2617</v>
      </c>
      <c r="D244" s="2505" t="s">
        <v>2618</v>
      </c>
      <c r="E244" s="2505">
        <v>20008.914384915632</v>
      </c>
    </row>
    <row r="245" spans="1:5" x14ac:dyDescent="0.2">
      <c r="A245" s="2505">
        <v>2016</v>
      </c>
      <c r="B245" s="2505" t="s">
        <v>2975</v>
      </c>
      <c r="C245" s="2505" t="s">
        <v>2623</v>
      </c>
      <c r="D245" s="2505" t="s">
        <v>2624</v>
      </c>
      <c r="E245" s="2505">
        <v>3926.1734536341132</v>
      </c>
    </row>
    <row r="246" spans="1:5" x14ac:dyDescent="0.2">
      <c r="A246" s="2505">
        <v>2016</v>
      </c>
      <c r="B246" s="2505" t="s">
        <v>2976</v>
      </c>
      <c r="C246" s="2505" t="s">
        <v>2596</v>
      </c>
      <c r="D246" s="2505" t="s">
        <v>2597</v>
      </c>
      <c r="E246" s="2505">
        <v>2672.50916101959</v>
      </c>
    </row>
    <row r="247" spans="1:5" x14ac:dyDescent="0.2">
      <c r="A247" s="2505">
        <v>2016</v>
      </c>
      <c r="B247" s="2505" t="s">
        <v>2977</v>
      </c>
      <c r="C247" s="2505" t="s">
        <v>2626</v>
      </c>
      <c r="D247" s="2505" t="s">
        <v>2627</v>
      </c>
      <c r="E247" s="2505">
        <v>1850.9924102832699</v>
      </c>
    </row>
    <row r="248" spans="1:5" x14ac:dyDescent="0.2">
      <c r="A248" s="2505">
        <v>2016</v>
      </c>
      <c r="B248" s="2505" t="s">
        <v>2978</v>
      </c>
      <c r="C248" s="2505" t="s">
        <v>2629</v>
      </c>
      <c r="D248" s="2505" t="s">
        <v>2630</v>
      </c>
      <c r="E248" s="2505">
        <v>7939.6140196322303</v>
      </c>
    </row>
    <row r="249" spans="1:5" x14ac:dyDescent="0.2">
      <c r="A249" s="2505">
        <v>2016</v>
      </c>
      <c r="B249" s="2505" t="s">
        <v>2979</v>
      </c>
      <c r="C249" s="2505" t="s">
        <v>2980</v>
      </c>
      <c r="E249" s="2505">
        <v>15889.604826842196</v>
      </c>
    </row>
    <row r="250" spans="1:5" x14ac:dyDescent="0.2">
      <c r="A250" s="2505">
        <v>2016</v>
      </c>
      <c r="B250" s="2505" t="s">
        <v>2981</v>
      </c>
      <c r="C250" s="2505" t="s">
        <v>2640</v>
      </c>
      <c r="D250" s="2505" t="s">
        <v>2641</v>
      </c>
      <c r="E250" s="2505">
        <v>21243.753795888882</v>
      </c>
    </row>
    <row r="251" spans="1:5" x14ac:dyDescent="0.2">
      <c r="A251" s="2505">
        <v>2016</v>
      </c>
      <c r="B251" s="2505" t="s">
        <v>2982</v>
      </c>
      <c r="C251" s="2505" t="s">
        <v>2638</v>
      </c>
      <c r="D251" s="2505" t="s">
        <v>1955</v>
      </c>
      <c r="E251" s="2505">
        <v>56115.718426195454</v>
      </c>
    </row>
    <row r="252" spans="1:5" x14ac:dyDescent="0.2">
      <c r="A252" s="2505">
        <v>2016</v>
      </c>
      <c r="B252" s="2505" t="s">
        <v>2983</v>
      </c>
      <c r="C252" s="2505" t="s">
        <v>2643</v>
      </c>
      <c r="D252" s="2505" t="s">
        <v>2644</v>
      </c>
      <c r="E252" s="2505">
        <v>6086.5221813839189</v>
      </c>
    </row>
    <row r="253" spans="1:5" x14ac:dyDescent="0.2">
      <c r="A253" s="2505">
        <v>2016</v>
      </c>
      <c r="B253" s="2505" t="s">
        <v>2984</v>
      </c>
      <c r="C253" s="2505" t="s">
        <v>2569</v>
      </c>
      <c r="D253" s="2505" t="s">
        <v>2570</v>
      </c>
      <c r="E253" s="2505">
        <v>11139.63747312888</v>
      </c>
    </row>
    <row r="254" spans="1:5" x14ac:dyDescent="0.2">
      <c r="A254" s="2505">
        <v>2016</v>
      </c>
      <c r="B254" s="2505" t="s">
        <v>2985</v>
      </c>
      <c r="C254" s="2505" t="s">
        <v>2649</v>
      </c>
      <c r="D254" s="2505" t="s">
        <v>2650</v>
      </c>
    </row>
    <row r="255" spans="1:5" x14ac:dyDescent="0.2">
      <c r="A255" s="2505">
        <v>2016</v>
      </c>
      <c r="B255" s="2505" t="s">
        <v>2986</v>
      </c>
      <c r="C255" s="2505" t="s">
        <v>2987</v>
      </c>
    </row>
    <row r="256" spans="1:5" x14ac:dyDescent="0.2">
      <c r="A256" s="2505">
        <v>2016</v>
      </c>
      <c r="B256" s="2505" t="s">
        <v>2988</v>
      </c>
      <c r="C256" s="2505" t="s">
        <v>2655</v>
      </c>
      <c r="D256" s="2505" t="s">
        <v>2656</v>
      </c>
    </row>
    <row r="257" spans="1:5" x14ac:dyDescent="0.2">
      <c r="A257" s="2505">
        <v>2016</v>
      </c>
      <c r="B257" s="2505" t="s">
        <v>2989</v>
      </c>
      <c r="C257" s="2505" t="s">
        <v>2652</v>
      </c>
      <c r="D257" s="2505" t="s">
        <v>2653</v>
      </c>
      <c r="E257" s="2505">
        <v>6034.2599491875362</v>
      </c>
    </row>
    <row r="258" spans="1:5" x14ac:dyDescent="0.2">
      <c r="A258" s="2505">
        <v>2016</v>
      </c>
      <c r="B258" s="2505" t="s">
        <v>2990</v>
      </c>
      <c r="C258" s="2505" t="s">
        <v>2646</v>
      </c>
      <c r="D258" s="2505" t="s">
        <v>2647</v>
      </c>
      <c r="E258" s="2505">
        <v>2987.9186324694838</v>
      </c>
    </row>
    <row r="259" spans="1:5" x14ac:dyDescent="0.2">
      <c r="A259" s="2505">
        <v>2016</v>
      </c>
      <c r="B259" s="2505" t="s">
        <v>2993</v>
      </c>
      <c r="C259" s="2505" t="s">
        <v>2994</v>
      </c>
      <c r="E259" s="2505">
        <v>15672.79683536441</v>
      </c>
    </row>
    <row r="260" spans="1:5" x14ac:dyDescent="0.2">
      <c r="A260" s="2505">
        <v>2016</v>
      </c>
      <c r="B260" s="2505" t="s">
        <v>2995</v>
      </c>
      <c r="C260" s="2505" t="s">
        <v>2516</v>
      </c>
      <c r="D260" s="2505" t="s">
        <v>2517</v>
      </c>
      <c r="E260" s="2505">
        <v>5934.8746548457684</v>
      </c>
    </row>
    <row r="261" spans="1:5" x14ac:dyDescent="0.2">
      <c r="A261" s="2505">
        <v>2016</v>
      </c>
      <c r="B261" s="2505" t="s">
        <v>2822</v>
      </c>
      <c r="C261" s="2505" t="s">
        <v>2823</v>
      </c>
      <c r="E261" s="2505">
        <v>9733.9152410523602</v>
      </c>
    </row>
    <row r="262" spans="1:5" x14ac:dyDescent="0.2">
      <c r="A262" s="2505">
        <v>2016</v>
      </c>
      <c r="B262" s="2505" t="s">
        <v>2996</v>
      </c>
      <c r="C262" s="2505" t="s">
        <v>2660</v>
      </c>
      <c r="D262" s="2505" t="s">
        <v>2661</v>
      </c>
      <c r="E262" s="2505">
        <v>2820.8018702004147</v>
      </c>
    </row>
    <row r="263" spans="1:5" x14ac:dyDescent="0.2">
      <c r="A263" s="2505">
        <v>2016</v>
      </c>
      <c r="B263" s="2505" t="s">
        <v>2997</v>
      </c>
      <c r="C263" s="2505" t="s">
        <v>2553</v>
      </c>
      <c r="D263" s="2505" t="s">
        <v>2554</v>
      </c>
      <c r="E263" s="2505">
        <v>13195.465418661317</v>
      </c>
    </row>
    <row r="264" spans="1:5" x14ac:dyDescent="0.2">
      <c r="A264" s="2505">
        <v>2016</v>
      </c>
      <c r="B264" s="2505" t="s">
        <v>3000</v>
      </c>
      <c r="C264" s="2505" t="s">
        <v>2663</v>
      </c>
      <c r="D264" s="2505" t="s">
        <v>2664</v>
      </c>
      <c r="E264" s="2505">
        <v>3835.5037777028365</v>
      </c>
    </row>
    <row r="265" spans="1:5" x14ac:dyDescent="0.2">
      <c r="A265" s="2505">
        <v>2016</v>
      </c>
      <c r="B265" s="2505" t="s">
        <v>3001</v>
      </c>
      <c r="C265" s="2505" t="s">
        <v>2666</v>
      </c>
      <c r="D265" s="2505" t="s">
        <v>2667</v>
      </c>
      <c r="E265" s="2505">
        <v>1786.583861827856</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dimension ref="A1:Y71"/>
  <sheetViews>
    <sheetView topLeftCell="A34" zoomScale="70" zoomScaleNormal="70" workbookViewId="0">
      <selection activeCell="A71" sqref="A37:A71"/>
    </sheetView>
  </sheetViews>
  <sheetFormatPr baseColWidth="10" defaultRowHeight="15" x14ac:dyDescent="0.25"/>
  <cols>
    <col min="1" max="1" width="40" style="2445" customWidth="1"/>
    <col min="2" max="2" width="11.42578125" style="2486"/>
    <col min="3" max="4" width="11.42578125" style="2445"/>
    <col min="5" max="6" width="22.85546875" style="2445" customWidth="1"/>
    <col min="7" max="10" width="11.42578125" style="2445"/>
    <col min="11" max="11" width="11.42578125" style="2494"/>
    <col min="12" max="256" width="11.42578125" style="2445"/>
    <col min="257" max="257" width="35.5703125" style="2445" bestFit="1" customWidth="1"/>
    <col min="258" max="512" width="11.42578125" style="2445"/>
    <col min="513" max="513" width="35.5703125" style="2445" bestFit="1" customWidth="1"/>
    <col min="514" max="768" width="11.42578125" style="2445"/>
    <col min="769" max="769" width="35.5703125" style="2445" bestFit="1" customWidth="1"/>
    <col min="770" max="1024" width="11.42578125" style="2445"/>
    <col min="1025" max="1025" width="35.5703125" style="2445" bestFit="1" customWidth="1"/>
    <col min="1026" max="1280" width="11.42578125" style="2445"/>
    <col min="1281" max="1281" width="35.5703125" style="2445" bestFit="1" customWidth="1"/>
    <col min="1282" max="1536" width="11.42578125" style="2445"/>
    <col min="1537" max="1537" width="35.5703125" style="2445" bestFit="1" customWidth="1"/>
    <col min="1538" max="1792" width="11.42578125" style="2445"/>
    <col min="1793" max="1793" width="35.5703125" style="2445" bestFit="1" customWidth="1"/>
    <col min="1794" max="2048" width="11.42578125" style="2445"/>
    <col min="2049" max="2049" width="35.5703125" style="2445" bestFit="1" customWidth="1"/>
    <col min="2050" max="2304" width="11.42578125" style="2445"/>
    <col min="2305" max="2305" width="35.5703125" style="2445" bestFit="1" customWidth="1"/>
    <col min="2306" max="2560" width="11.42578125" style="2445"/>
    <col min="2561" max="2561" width="35.5703125" style="2445" bestFit="1" customWidth="1"/>
    <col min="2562" max="2816" width="11.42578125" style="2445"/>
    <col min="2817" max="2817" width="35.5703125" style="2445" bestFit="1" customWidth="1"/>
    <col min="2818" max="3072" width="11.42578125" style="2445"/>
    <col min="3073" max="3073" width="35.5703125" style="2445" bestFit="1" customWidth="1"/>
    <col min="3074" max="3328" width="11.42578125" style="2445"/>
    <col min="3329" max="3329" width="35.5703125" style="2445" bestFit="1" customWidth="1"/>
    <col min="3330" max="3584" width="11.42578125" style="2445"/>
    <col min="3585" max="3585" width="35.5703125" style="2445" bestFit="1" customWidth="1"/>
    <col min="3586" max="3840" width="11.42578125" style="2445"/>
    <col min="3841" max="3841" width="35.5703125" style="2445" bestFit="1" customWidth="1"/>
    <col min="3842" max="4096" width="11.42578125" style="2445"/>
    <col min="4097" max="4097" width="35.5703125" style="2445" bestFit="1" customWidth="1"/>
    <col min="4098" max="4352" width="11.42578125" style="2445"/>
    <col min="4353" max="4353" width="35.5703125" style="2445" bestFit="1" customWidth="1"/>
    <col min="4354" max="4608" width="11.42578125" style="2445"/>
    <col min="4609" max="4609" width="35.5703125" style="2445" bestFit="1" customWidth="1"/>
    <col min="4610" max="4864" width="11.42578125" style="2445"/>
    <col min="4865" max="4865" width="35.5703125" style="2445" bestFit="1" customWidth="1"/>
    <col min="4866" max="5120" width="11.42578125" style="2445"/>
    <col min="5121" max="5121" width="35.5703125" style="2445" bestFit="1" customWidth="1"/>
    <col min="5122" max="5376" width="11.42578125" style="2445"/>
    <col min="5377" max="5377" width="35.5703125" style="2445" bestFit="1" customWidth="1"/>
    <col min="5378" max="5632" width="11.42578125" style="2445"/>
    <col min="5633" max="5633" width="35.5703125" style="2445" bestFit="1" customWidth="1"/>
    <col min="5634" max="5888" width="11.42578125" style="2445"/>
    <col min="5889" max="5889" width="35.5703125" style="2445" bestFit="1" customWidth="1"/>
    <col min="5890" max="6144" width="11.42578125" style="2445"/>
    <col min="6145" max="6145" width="35.5703125" style="2445" bestFit="1" customWidth="1"/>
    <col min="6146" max="6400" width="11.42578125" style="2445"/>
    <col min="6401" max="6401" width="35.5703125" style="2445" bestFit="1" customWidth="1"/>
    <col min="6402" max="6656" width="11.42578125" style="2445"/>
    <col min="6657" max="6657" width="35.5703125" style="2445" bestFit="1" customWidth="1"/>
    <col min="6658" max="6912" width="11.42578125" style="2445"/>
    <col min="6913" max="6913" width="35.5703125" style="2445" bestFit="1" customWidth="1"/>
    <col min="6914" max="7168" width="11.42578125" style="2445"/>
    <col min="7169" max="7169" width="35.5703125" style="2445" bestFit="1" customWidth="1"/>
    <col min="7170" max="7424" width="11.42578125" style="2445"/>
    <col min="7425" max="7425" width="35.5703125" style="2445" bestFit="1" customWidth="1"/>
    <col min="7426" max="7680" width="11.42578125" style="2445"/>
    <col min="7681" max="7681" width="35.5703125" style="2445" bestFit="1" customWidth="1"/>
    <col min="7682" max="7936" width="11.42578125" style="2445"/>
    <col min="7937" max="7937" width="35.5703125" style="2445" bestFit="1" customWidth="1"/>
    <col min="7938" max="8192" width="11.42578125" style="2445"/>
    <col min="8193" max="8193" width="35.5703125" style="2445" bestFit="1" customWidth="1"/>
    <col min="8194" max="8448" width="11.42578125" style="2445"/>
    <col min="8449" max="8449" width="35.5703125" style="2445" bestFit="1" customWidth="1"/>
    <col min="8450" max="8704" width="11.42578125" style="2445"/>
    <col min="8705" max="8705" width="35.5703125" style="2445" bestFit="1" customWidth="1"/>
    <col min="8706" max="8960" width="11.42578125" style="2445"/>
    <col min="8961" max="8961" width="35.5703125" style="2445" bestFit="1" customWidth="1"/>
    <col min="8962" max="9216" width="11.42578125" style="2445"/>
    <col min="9217" max="9217" width="35.5703125" style="2445" bestFit="1" customWidth="1"/>
    <col min="9218" max="9472" width="11.42578125" style="2445"/>
    <col min="9473" max="9473" width="35.5703125" style="2445" bestFit="1" customWidth="1"/>
    <col min="9474" max="9728" width="11.42578125" style="2445"/>
    <col min="9729" max="9729" width="35.5703125" style="2445" bestFit="1" customWidth="1"/>
    <col min="9730" max="9984" width="11.42578125" style="2445"/>
    <col min="9985" max="9985" width="35.5703125" style="2445" bestFit="1" customWidth="1"/>
    <col min="9986" max="10240" width="11.42578125" style="2445"/>
    <col min="10241" max="10241" width="35.5703125" style="2445" bestFit="1" customWidth="1"/>
    <col min="10242" max="10496" width="11.42578125" style="2445"/>
    <col min="10497" max="10497" width="35.5703125" style="2445" bestFit="1" customWidth="1"/>
    <col min="10498" max="10752" width="11.42578125" style="2445"/>
    <col min="10753" max="10753" width="35.5703125" style="2445" bestFit="1" customWidth="1"/>
    <col min="10754" max="11008" width="11.42578125" style="2445"/>
    <col min="11009" max="11009" width="35.5703125" style="2445" bestFit="1" customWidth="1"/>
    <col min="11010" max="11264" width="11.42578125" style="2445"/>
    <col min="11265" max="11265" width="35.5703125" style="2445" bestFit="1" customWidth="1"/>
    <col min="11266" max="11520" width="11.42578125" style="2445"/>
    <col min="11521" max="11521" width="35.5703125" style="2445" bestFit="1" customWidth="1"/>
    <col min="11522" max="11776" width="11.42578125" style="2445"/>
    <col min="11777" max="11777" width="35.5703125" style="2445" bestFit="1" customWidth="1"/>
    <col min="11778" max="12032" width="11.42578125" style="2445"/>
    <col min="12033" max="12033" width="35.5703125" style="2445" bestFit="1" customWidth="1"/>
    <col min="12034" max="12288" width="11.42578125" style="2445"/>
    <col min="12289" max="12289" width="35.5703125" style="2445" bestFit="1" customWidth="1"/>
    <col min="12290" max="12544" width="11.42578125" style="2445"/>
    <col min="12545" max="12545" width="35.5703125" style="2445" bestFit="1" customWidth="1"/>
    <col min="12546" max="12800" width="11.42578125" style="2445"/>
    <col min="12801" max="12801" width="35.5703125" style="2445" bestFit="1" customWidth="1"/>
    <col min="12802" max="13056" width="11.42578125" style="2445"/>
    <col min="13057" max="13057" width="35.5703125" style="2445" bestFit="1" customWidth="1"/>
    <col min="13058" max="13312" width="11.42578125" style="2445"/>
    <col min="13313" max="13313" width="35.5703125" style="2445" bestFit="1" customWidth="1"/>
    <col min="13314" max="13568" width="11.42578125" style="2445"/>
    <col min="13569" max="13569" width="35.5703125" style="2445" bestFit="1" customWidth="1"/>
    <col min="13570" max="13824" width="11.42578125" style="2445"/>
    <col min="13825" max="13825" width="35.5703125" style="2445" bestFit="1" customWidth="1"/>
    <col min="13826" max="14080" width="11.42578125" style="2445"/>
    <col min="14081" max="14081" width="35.5703125" style="2445" bestFit="1" customWidth="1"/>
    <col min="14082" max="14336" width="11.42578125" style="2445"/>
    <col min="14337" max="14337" width="35.5703125" style="2445" bestFit="1" customWidth="1"/>
    <col min="14338" max="14592" width="11.42578125" style="2445"/>
    <col min="14593" max="14593" width="35.5703125" style="2445" bestFit="1" customWidth="1"/>
    <col min="14594" max="14848" width="11.42578125" style="2445"/>
    <col min="14849" max="14849" width="35.5703125" style="2445" bestFit="1" customWidth="1"/>
    <col min="14850" max="15104" width="11.42578125" style="2445"/>
    <col min="15105" max="15105" width="35.5703125" style="2445" bestFit="1" customWidth="1"/>
    <col min="15106" max="15360" width="11.42578125" style="2445"/>
    <col min="15361" max="15361" width="35.5703125" style="2445" bestFit="1" customWidth="1"/>
    <col min="15362" max="15616" width="11.42578125" style="2445"/>
    <col min="15617" max="15617" width="35.5703125" style="2445" bestFit="1" customWidth="1"/>
    <col min="15618" max="15872" width="11.42578125" style="2445"/>
    <col min="15873" max="15873" width="35.5703125" style="2445" bestFit="1" customWidth="1"/>
    <col min="15874" max="16128" width="11.42578125" style="2445"/>
    <col min="16129" max="16129" width="35.5703125" style="2445" bestFit="1" customWidth="1"/>
    <col min="16130" max="16384" width="11.42578125" style="2445"/>
  </cols>
  <sheetData>
    <row r="1" spans="1:20" x14ac:dyDescent="0.25">
      <c r="A1" s="2445" t="s">
        <v>1885</v>
      </c>
      <c r="B1" s="2486" t="s">
        <v>3003</v>
      </c>
      <c r="E1" s="2445" t="s">
        <v>2305</v>
      </c>
      <c r="F1" s="2487" t="s">
        <v>3004</v>
      </c>
      <c r="G1" s="2487" t="s">
        <v>3005</v>
      </c>
      <c r="H1" s="2487" t="s">
        <v>3006</v>
      </c>
      <c r="I1" s="2487" t="s">
        <v>3007</v>
      </c>
      <c r="J1" s="2487" t="s">
        <v>3008</v>
      </c>
      <c r="K1" s="2488" t="s">
        <v>3009</v>
      </c>
      <c r="S1" s="2445" t="s">
        <v>1096</v>
      </c>
      <c r="T1" s="2445">
        <v>-1</v>
      </c>
    </row>
    <row r="2" spans="1:20" x14ac:dyDescent="0.25">
      <c r="A2" s="2489" t="s">
        <v>1932</v>
      </c>
      <c r="B2" s="2486">
        <v>8</v>
      </c>
      <c r="E2" s="2445" t="str">
        <f>F2&amp;G2</f>
        <v>RCF035</v>
      </c>
      <c r="F2" s="2490" t="s">
        <v>1908</v>
      </c>
      <c r="G2" s="2491">
        <v>5</v>
      </c>
      <c r="H2" s="2491">
        <v>100</v>
      </c>
      <c r="I2" s="2492" t="s">
        <v>3010</v>
      </c>
      <c r="J2" s="2493">
        <v>1.0600341292144986</v>
      </c>
      <c r="K2" s="2494">
        <v>5</v>
      </c>
      <c r="S2" s="2445" t="s">
        <v>483</v>
      </c>
      <c r="T2" s="2445">
        <v>-0.5</v>
      </c>
    </row>
    <row r="3" spans="1:20" x14ac:dyDescent="0.25">
      <c r="A3" s="2489" t="s">
        <v>1936</v>
      </c>
      <c r="B3" s="2486">
        <v>6.5</v>
      </c>
      <c r="E3" s="2445" t="str">
        <f t="shared" ref="E3:E61" si="0">F3&amp;G3</f>
        <v>RCF034</v>
      </c>
      <c r="F3" s="2490" t="s">
        <v>1908</v>
      </c>
      <c r="G3" s="2491">
        <v>4</v>
      </c>
      <c r="H3" s="2491">
        <v>70</v>
      </c>
      <c r="I3" s="2491">
        <v>100</v>
      </c>
      <c r="J3" s="2493">
        <v>0.96148761458539733</v>
      </c>
      <c r="K3" s="2494">
        <v>4</v>
      </c>
      <c r="S3" s="2445" t="s">
        <v>1095</v>
      </c>
      <c r="T3" s="2445">
        <v>0</v>
      </c>
    </row>
    <row r="4" spans="1:20" x14ac:dyDescent="0.25">
      <c r="A4" s="2489" t="s">
        <v>3021</v>
      </c>
      <c r="B4" s="2486">
        <v>6.5</v>
      </c>
      <c r="E4" s="2445" t="str">
        <f t="shared" si="0"/>
        <v>RCF033</v>
      </c>
      <c r="F4" s="2490" t="s">
        <v>1908</v>
      </c>
      <c r="G4" s="2491">
        <v>3</v>
      </c>
      <c r="H4" s="2491">
        <v>35</v>
      </c>
      <c r="I4" s="2491">
        <v>70</v>
      </c>
      <c r="J4" s="2493">
        <v>0.45747599184813181</v>
      </c>
      <c r="K4" s="2494">
        <v>3</v>
      </c>
      <c r="S4" s="2445" t="s">
        <v>484</v>
      </c>
      <c r="T4" s="2445">
        <v>0.5</v>
      </c>
    </row>
    <row r="5" spans="1:20" x14ac:dyDescent="0.25">
      <c r="A5" s="2489" t="s">
        <v>1940</v>
      </c>
      <c r="B5" s="2486">
        <v>5.6</v>
      </c>
      <c r="E5" s="2445" t="str">
        <f t="shared" si="0"/>
        <v>RCF032</v>
      </c>
      <c r="F5" s="2490" t="s">
        <v>1908</v>
      </c>
      <c r="G5" s="2491">
        <v>2</v>
      </c>
      <c r="H5" s="2491">
        <v>0</v>
      </c>
      <c r="I5" s="2491">
        <v>35</v>
      </c>
      <c r="J5" s="2493">
        <v>-0.28976594077008117</v>
      </c>
      <c r="K5" s="2494">
        <v>2</v>
      </c>
      <c r="S5" s="2445" t="s">
        <v>1098</v>
      </c>
      <c r="T5" s="2445">
        <v>1</v>
      </c>
    </row>
    <row r="6" spans="1:20" x14ac:dyDescent="0.25">
      <c r="A6" s="2489" t="s">
        <v>3027</v>
      </c>
      <c r="B6" s="2486">
        <v>6.7</v>
      </c>
      <c r="E6" s="2445" t="str">
        <f t="shared" si="0"/>
        <v>RCF031</v>
      </c>
      <c r="F6" s="2490" t="s">
        <v>1908</v>
      </c>
      <c r="G6" s="2492">
        <v>1</v>
      </c>
      <c r="H6" s="2492" t="s">
        <v>3011</v>
      </c>
      <c r="I6" s="2491">
        <v>0</v>
      </c>
      <c r="J6" s="2493">
        <v>-1.2781699302051821</v>
      </c>
      <c r="K6" s="2494">
        <v>1</v>
      </c>
    </row>
    <row r="7" spans="1:20" x14ac:dyDescent="0.25">
      <c r="A7" s="2489" t="s">
        <v>1943</v>
      </c>
      <c r="B7" s="2486">
        <v>6.7</v>
      </c>
      <c r="E7" s="2445" t="str">
        <f t="shared" si="0"/>
        <v>Ratio CodeBucket Number</v>
      </c>
      <c r="F7" s="2495" t="s">
        <v>3004</v>
      </c>
      <c r="G7" s="2487" t="s">
        <v>3005</v>
      </c>
      <c r="H7" s="2487" t="s">
        <v>3006</v>
      </c>
      <c r="I7" s="2487" t="s">
        <v>3007</v>
      </c>
      <c r="J7" s="2495" t="s">
        <v>3012</v>
      </c>
    </row>
    <row r="8" spans="1:20" x14ac:dyDescent="0.25">
      <c r="A8" s="2489" t="s">
        <v>1946</v>
      </c>
      <c r="B8" s="2486">
        <v>5.6</v>
      </c>
      <c r="E8" s="2445" t="str">
        <f t="shared" si="0"/>
        <v>RCF055</v>
      </c>
      <c r="F8" s="2490" t="s">
        <v>1909</v>
      </c>
      <c r="G8" s="2491">
        <v>5</v>
      </c>
      <c r="H8" s="2491">
        <v>1100</v>
      </c>
      <c r="I8" s="2492" t="s">
        <v>3010</v>
      </c>
      <c r="J8" s="2493">
        <v>1.03816412306564</v>
      </c>
      <c r="K8" s="2494">
        <v>5</v>
      </c>
    </row>
    <row r="9" spans="1:20" x14ac:dyDescent="0.25">
      <c r="A9" s="2489" t="s">
        <v>1952</v>
      </c>
      <c r="B9" s="2486">
        <v>6.5</v>
      </c>
      <c r="E9" s="2445" t="str">
        <f t="shared" si="0"/>
        <v>RCF054</v>
      </c>
      <c r="F9" s="2490" t="s">
        <v>1909</v>
      </c>
      <c r="G9" s="2491">
        <v>4</v>
      </c>
      <c r="H9" s="2491">
        <v>700</v>
      </c>
      <c r="I9" s="2491">
        <v>1100</v>
      </c>
      <c r="J9" s="2493">
        <v>1.0202205211391036</v>
      </c>
      <c r="K9" s="2494">
        <v>4</v>
      </c>
    </row>
    <row r="10" spans="1:20" x14ac:dyDescent="0.25">
      <c r="A10" s="2489" t="s">
        <v>1957</v>
      </c>
      <c r="B10" s="2486">
        <v>6.3</v>
      </c>
      <c r="E10" s="2445" t="str">
        <f t="shared" si="0"/>
        <v>RCF053</v>
      </c>
      <c r="F10" s="2490" t="s">
        <v>1909</v>
      </c>
      <c r="G10" s="2491">
        <v>3</v>
      </c>
      <c r="H10" s="2491">
        <v>400</v>
      </c>
      <c r="I10" s="2491">
        <v>700</v>
      </c>
      <c r="J10" s="2493">
        <v>0.74634354507536615</v>
      </c>
      <c r="K10" s="2494">
        <v>3</v>
      </c>
    </row>
    <row r="11" spans="1:20" x14ac:dyDescent="0.25">
      <c r="A11" s="2489" t="s">
        <v>1959</v>
      </c>
      <c r="B11" s="2486">
        <v>7.5</v>
      </c>
      <c r="E11" s="2445" t="str">
        <f t="shared" si="0"/>
        <v>RCF052</v>
      </c>
      <c r="F11" s="2490" t="s">
        <v>1909</v>
      </c>
      <c r="G11" s="2491">
        <v>2</v>
      </c>
      <c r="H11" s="2491">
        <v>150</v>
      </c>
      <c r="I11" s="2491">
        <v>400</v>
      </c>
      <c r="J11" s="2493">
        <v>0.14525365780321281</v>
      </c>
      <c r="K11" s="2494">
        <v>2</v>
      </c>
    </row>
    <row r="12" spans="1:20" ht="15.75" thickBot="1" x14ac:dyDescent="0.3">
      <c r="A12" s="2489" t="s">
        <v>1965</v>
      </c>
      <c r="B12" s="2486">
        <v>7.8</v>
      </c>
      <c r="E12" s="2445" t="str">
        <f t="shared" si="0"/>
        <v>RCF051</v>
      </c>
      <c r="F12" s="2490" t="s">
        <v>1909</v>
      </c>
      <c r="G12" s="2492">
        <v>1</v>
      </c>
      <c r="H12" s="2491">
        <v>0</v>
      </c>
      <c r="I12" s="2491">
        <v>150</v>
      </c>
      <c r="J12" s="2493">
        <v>-0.64587983235680557</v>
      </c>
      <c r="K12" s="2494">
        <v>1</v>
      </c>
    </row>
    <row r="13" spans="1:20" x14ac:dyDescent="0.25">
      <c r="A13" s="2489" t="s">
        <v>1968</v>
      </c>
      <c r="B13" s="2486">
        <v>7.5</v>
      </c>
      <c r="E13" s="2445" t="str">
        <f t="shared" si="0"/>
        <v>Ratio CodeBucket Number</v>
      </c>
      <c r="F13" s="2495" t="s">
        <v>3004</v>
      </c>
      <c r="G13" s="2487" t="s">
        <v>3005</v>
      </c>
      <c r="H13" s="2487" t="s">
        <v>3006</v>
      </c>
      <c r="I13" s="2487" t="s">
        <v>3007</v>
      </c>
      <c r="J13" s="2495" t="s">
        <v>3013</v>
      </c>
      <c r="M13" s="2496" t="s">
        <v>3014</v>
      </c>
      <c r="N13" s="2496" t="s">
        <v>3015</v>
      </c>
      <c r="O13" s="2497" t="s">
        <v>2025</v>
      </c>
    </row>
    <row r="14" spans="1:20" x14ac:dyDescent="0.25">
      <c r="A14" s="2489" t="s">
        <v>1971</v>
      </c>
      <c r="B14" s="2486">
        <v>5</v>
      </c>
      <c r="E14" s="2445" t="str">
        <f t="shared" si="0"/>
        <v>RN035</v>
      </c>
      <c r="F14" s="2490" t="s">
        <v>1910</v>
      </c>
      <c r="G14" s="2491">
        <v>5</v>
      </c>
      <c r="H14" s="2491">
        <v>11000</v>
      </c>
      <c r="I14" s="2492" t="s">
        <v>3010</v>
      </c>
      <c r="J14" s="2493">
        <v>1.0835296308165612</v>
      </c>
      <c r="K14" s="2494">
        <v>5</v>
      </c>
      <c r="M14" s="2498" t="s">
        <v>3016</v>
      </c>
      <c r="N14" s="2499" t="s">
        <v>3017</v>
      </c>
      <c r="O14" s="2500">
        <v>-4.3811481600000004</v>
      </c>
    </row>
    <row r="15" spans="1:20" x14ac:dyDescent="0.25">
      <c r="A15" s="2489" t="s">
        <v>1974</v>
      </c>
      <c r="B15" s="2486">
        <v>6</v>
      </c>
      <c r="E15" s="2445" t="str">
        <f t="shared" si="0"/>
        <v>RN034</v>
      </c>
      <c r="F15" s="2490" t="s">
        <v>1910</v>
      </c>
      <c r="G15" s="2491">
        <v>4</v>
      </c>
      <c r="H15" s="2491">
        <v>1500</v>
      </c>
      <c r="I15" s="2491">
        <v>11000</v>
      </c>
      <c r="J15" s="2493">
        <v>0.78222450390444331</v>
      </c>
      <c r="K15" s="2494">
        <v>4</v>
      </c>
      <c r="M15" s="2498" t="s">
        <v>1908</v>
      </c>
      <c r="N15" s="2498" t="s">
        <v>3018</v>
      </c>
      <c r="O15" s="2500">
        <v>-0.24547351201317377</v>
      </c>
    </row>
    <row r="16" spans="1:20" x14ac:dyDescent="0.25">
      <c r="A16" s="2489" t="s">
        <v>1980</v>
      </c>
      <c r="B16" s="2486">
        <v>6</v>
      </c>
      <c r="E16" s="2445" t="str">
        <f t="shared" si="0"/>
        <v>RN033</v>
      </c>
      <c r="F16" s="2490" t="s">
        <v>1910</v>
      </c>
      <c r="G16" s="2491">
        <v>3</v>
      </c>
      <c r="H16" s="2491">
        <v>100</v>
      </c>
      <c r="I16" s="2491">
        <v>1500</v>
      </c>
      <c r="J16" s="2493">
        <v>0.16246564587379064</v>
      </c>
      <c r="K16" s="2494">
        <v>3</v>
      </c>
      <c r="M16" s="2498" t="s">
        <v>1909</v>
      </c>
      <c r="N16" s="2498" t="s">
        <v>3019</v>
      </c>
      <c r="O16" s="2500">
        <v>-0.2199418648657844</v>
      </c>
    </row>
    <row r="17" spans="1:15" x14ac:dyDescent="0.25">
      <c r="A17" s="2489" t="s">
        <v>1983</v>
      </c>
      <c r="B17" s="2486">
        <v>5.6</v>
      </c>
      <c r="E17" s="2445" t="str">
        <f t="shared" si="0"/>
        <v>RN032</v>
      </c>
      <c r="F17" s="2490" t="s">
        <v>1910</v>
      </c>
      <c r="G17" s="2491">
        <v>2</v>
      </c>
      <c r="H17" s="2491">
        <v>15</v>
      </c>
      <c r="I17" s="2491">
        <v>100</v>
      </c>
      <c r="J17" s="2493">
        <v>-0.40394723145156919</v>
      </c>
      <c r="K17" s="2494">
        <v>2</v>
      </c>
      <c r="M17" s="2498" t="s">
        <v>1910</v>
      </c>
      <c r="N17" s="2498" t="s">
        <v>3020</v>
      </c>
      <c r="O17" s="2500">
        <v>-0.17453648348253456</v>
      </c>
    </row>
    <row r="18" spans="1:15" x14ac:dyDescent="0.25">
      <c r="A18" s="2489" t="s">
        <v>1986</v>
      </c>
      <c r="B18" s="2486">
        <v>6.5</v>
      </c>
      <c r="E18" s="2445" t="str">
        <f t="shared" si="0"/>
        <v>RN031</v>
      </c>
      <c r="F18" s="2490" t="s">
        <v>1910</v>
      </c>
      <c r="G18" s="2492">
        <v>1</v>
      </c>
      <c r="H18" s="2491">
        <v>0</v>
      </c>
      <c r="I18" s="2491">
        <v>15</v>
      </c>
      <c r="J18" s="2493">
        <v>-0.74034367817495694</v>
      </c>
      <c r="K18" s="2494">
        <v>1</v>
      </c>
      <c r="M18" s="2498" t="s">
        <v>1911</v>
      </c>
      <c r="N18" s="2498" t="s">
        <v>3022</v>
      </c>
      <c r="O18" s="2500">
        <v>-0.20587842239108484</v>
      </c>
    </row>
    <row r="19" spans="1:15" x14ac:dyDescent="0.25">
      <c r="A19" s="2489" t="s">
        <v>1961</v>
      </c>
      <c r="B19" s="2486">
        <v>6</v>
      </c>
      <c r="E19" s="2445" t="str">
        <f t="shared" si="0"/>
        <v>Ratio CodeBucket Number</v>
      </c>
      <c r="F19" s="2495" t="s">
        <v>3004</v>
      </c>
      <c r="G19" s="2487" t="s">
        <v>3005</v>
      </c>
      <c r="H19" s="2487" t="s">
        <v>3006</v>
      </c>
      <c r="I19" s="2487" t="s">
        <v>3007</v>
      </c>
      <c r="J19" s="2495" t="s">
        <v>3023</v>
      </c>
      <c r="M19" s="2498" t="s">
        <v>1912</v>
      </c>
      <c r="N19" s="2498" t="s">
        <v>3024</v>
      </c>
      <c r="O19" s="2500">
        <v>-0.18245597286193493</v>
      </c>
    </row>
    <row r="20" spans="1:15" x14ac:dyDescent="0.25">
      <c r="A20" s="2489" t="s">
        <v>1991</v>
      </c>
      <c r="B20" s="2486">
        <v>6</v>
      </c>
      <c r="E20" s="2445" t="str">
        <f t="shared" si="0"/>
        <v>RR015</v>
      </c>
      <c r="F20" s="2501" t="s">
        <v>1911</v>
      </c>
      <c r="G20" s="2491">
        <v>5</v>
      </c>
      <c r="H20" s="2491">
        <v>15</v>
      </c>
      <c r="I20" s="2492" t="s">
        <v>3010</v>
      </c>
      <c r="J20" s="2493">
        <v>0.84962632284723727</v>
      </c>
      <c r="K20" s="2494">
        <v>4</v>
      </c>
      <c r="M20" s="2498" t="s">
        <v>1913</v>
      </c>
      <c r="N20" s="2498" t="s">
        <v>3025</v>
      </c>
      <c r="O20" s="2500">
        <v>-0.19792083390087578</v>
      </c>
    </row>
    <row r="21" spans="1:15" x14ac:dyDescent="0.25">
      <c r="A21" s="2489" t="s">
        <v>1994</v>
      </c>
      <c r="B21" s="2486">
        <v>6</v>
      </c>
      <c r="E21" s="2445" t="str">
        <f t="shared" si="0"/>
        <v>RR013</v>
      </c>
      <c r="F21" s="2501" t="s">
        <v>1911</v>
      </c>
      <c r="G21" s="2491">
        <v>3</v>
      </c>
      <c r="H21" s="2491">
        <v>10</v>
      </c>
      <c r="I21" s="2491">
        <v>15</v>
      </c>
      <c r="J21" s="2493">
        <v>0.62694861551688807</v>
      </c>
      <c r="K21" s="2502">
        <v>3</v>
      </c>
      <c r="M21" s="2498" t="s">
        <v>1914</v>
      </c>
      <c r="N21" s="2498" t="s">
        <v>3026</v>
      </c>
      <c r="O21" s="2500">
        <v>-0.21144427732555862</v>
      </c>
    </row>
    <row r="22" spans="1:15" x14ac:dyDescent="0.25">
      <c r="A22" s="2489" t="s">
        <v>1997</v>
      </c>
      <c r="B22" s="2486">
        <v>5.6</v>
      </c>
      <c r="E22" s="2445" t="str">
        <f t="shared" si="0"/>
        <v>RR012</v>
      </c>
      <c r="F22" s="2501" t="s">
        <v>1911</v>
      </c>
      <c r="G22" s="2491">
        <v>2</v>
      </c>
      <c r="H22" s="2491">
        <v>5</v>
      </c>
      <c r="I22" s="2491">
        <v>10</v>
      </c>
      <c r="J22" s="2493">
        <v>9.0613349331497464E-2</v>
      </c>
      <c r="K22" s="2502">
        <v>2</v>
      </c>
      <c r="M22" s="2498" t="s">
        <v>1916</v>
      </c>
      <c r="N22" s="2498" t="s">
        <v>3028</v>
      </c>
      <c r="O22" s="2500">
        <v>-0.17466580833939313</v>
      </c>
    </row>
    <row r="23" spans="1:15" x14ac:dyDescent="0.25">
      <c r="A23" s="2489" t="s">
        <v>2000</v>
      </c>
      <c r="B23" s="2486">
        <v>5.9</v>
      </c>
      <c r="E23" s="2445" t="str">
        <f t="shared" si="0"/>
        <v>RR011</v>
      </c>
      <c r="F23" s="2501" t="s">
        <v>1911</v>
      </c>
      <c r="G23" s="2491">
        <v>1</v>
      </c>
      <c r="H23" s="2491">
        <v>0</v>
      </c>
      <c r="I23" s="2491">
        <v>5</v>
      </c>
      <c r="J23" s="2493">
        <v>-0.73340398930567408</v>
      </c>
      <c r="K23" s="2502">
        <v>1</v>
      </c>
      <c r="M23" s="2498" t="s">
        <v>1915</v>
      </c>
      <c r="N23" s="2498" t="s">
        <v>3029</v>
      </c>
      <c r="O23" s="2500">
        <v>-0.20628957834202927</v>
      </c>
    </row>
    <row r="24" spans="1:15" x14ac:dyDescent="0.25">
      <c r="A24" s="2489" t="s">
        <v>2005</v>
      </c>
      <c r="B24" s="2486">
        <v>7.5</v>
      </c>
      <c r="E24" s="2445" t="str">
        <f t="shared" si="0"/>
        <v>Ratio CodeBucket Number</v>
      </c>
      <c r="F24" s="2495" t="s">
        <v>3004</v>
      </c>
      <c r="G24" s="2487" t="s">
        <v>3005</v>
      </c>
      <c r="H24" s="2487" t="s">
        <v>3006</v>
      </c>
      <c r="I24" s="2487" t="s">
        <v>3007</v>
      </c>
      <c r="J24" s="2495" t="s">
        <v>3030</v>
      </c>
      <c r="M24" s="2498" t="s">
        <v>1917</v>
      </c>
      <c r="N24" s="2498" t="s">
        <v>3031</v>
      </c>
      <c r="O24" s="2500">
        <v>-0.22793259550025849</v>
      </c>
    </row>
    <row r="25" spans="1:15" x14ac:dyDescent="0.25">
      <c r="A25" s="2489" t="s">
        <v>2007</v>
      </c>
      <c r="B25" s="2486">
        <v>7</v>
      </c>
      <c r="E25" s="2445" t="str">
        <f t="shared" si="0"/>
        <v>RR035</v>
      </c>
      <c r="F25" s="2503" t="s">
        <v>1912</v>
      </c>
      <c r="G25" s="2491">
        <v>5</v>
      </c>
      <c r="H25" s="2491">
        <v>5</v>
      </c>
      <c r="I25" s="2492" t="s">
        <v>3010</v>
      </c>
      <c r="J25" s="2493">
        <v>0.59133808878117311</v>
      </c>
      <c r="K25" s="2504">
        <v>3</v>
      </c>
      <c r="M25" s="2498" t="s">
        <v>1902</v>
      </c>
      <c r="N25" s="2498" t="s">
        <v>3032</v>
      </c>
      <c r="O25" s="2500">
        <v>-0.23962932490891342</v>
      </c>
    </row>
    <row r="26" spans="1:15" x14ac:dyDescent="0.25">
      <c r="A26" s="2489" t="s">
        <v>2009</v>
      </c>
      <c r="B26" s="2486">
        <v>6</v>
      </c>
      <c r="E26" s="2445" t="str">
        <f t="shared" si="0"/>
        <v>RR032</v>
      </c>
      <c r="F26" s="2503" t="s">
        <v>1912</v>
      </c>
      <c r="G26" s="2491">
        <v>2</v>
      </c>
      <c r="H26" s="2491">
        <v>-15</v>
      </c>
      <c r="I26" s="2491">
        <v>5</v>
      </c>
      <c r="J26" s="2493">
        <v>-0.22857299766960043</v>
      </c>
      <c r="K26" s="2504">
        <v>2</v>
      </c>
      <c r="M26" s="2498" t="s">
        <v>1903</v>
      </c>
      <c r="N26" s="2498" t="s">
        <v>3033</v>
      </c>
      <c r="O26" s="2500">
        <v>-0.18561607691034787</v>
      </c>
    </row>
    <row r="27" spans="1:15" x14ac:dyDescent="0.25">
      <c r="A27" s="2489" t="s">
        <v>2011</v>
      </c>
      <c r="B27" s="2486">
        <v>7</v>
      </c>
      <c r="E27" s="2445" t="str">
        <f t="shared" si="0"/>
        <v>RR031</v>
      </c>
      <c r="F27" s="2503" t="s">
        <v>1912</v>
      </c>
      <c r="G27" s="2491">
        <v>1</v>
      </c>
      <c r="H27" s="2492" t="s">
        <v>3011</v>
      </c>
      <c r="I27" s="2491">
        <v>-15</v>
      </c>
      <c r="J27" s="2493">
        <v>-1.2092573047081259</v>
      </c>
      <c r="K27" s="2504">
        <v>1</v>
      </c>
    </row>
    <row r="28" spans="1:15" x14ac:dyDescent="0.25">
      <c r="A28" s="2489" t="s">
        <v>2012</v>
      </c>
      <c r="B28" s="2486">
        <v>7</v>
      </c>
      <c r="E28" s="2445" t="str">
        <f t="shared" si="0"/>
        <v>Ratio CodeBucket Number</v>
      </c>
      <c r="F28" s="2495" t="s">
        <v>3004</v>
      </c>
      <c r="G28" s="2487" t="s">
        <v>3005</v>
      </c>
      <c r="H28" s="2487" t="s">
        <v>3006</v>
      </c>
      <c r="I28" s="2487" t="s">
        <v>3007</v>
      </c>
      <c r="J28" s="2495" t="s">
        <v>3034</v>
      </c>
    </row>
    <row r="29" spans="1:15" x14ac:dyDescent="0.25">
      <c r="A29" s="2489" t="s">
        <v>2013</v>
      </c>
      <c r="B29" s="2486">
        <v>5</v>
      </c>
      <c r="E29" s="2445" t="str">
        <f t="shared" si="0"/>
        <v>RS035</v>
      </c>
      <c r="F29" s="2490" t="s">
        <v>1913</v>
      </c>
      <c r="G29" s="2491">
        <v>5</v>
      </c>
      <c r="H29" s="2491">
        <v>40000</v>
      </c>
      <c r="I29" s="2492" t="s">
        <v>3010</v>
      </c>
      <c r="J29" s="2493">
        <v>1.0308324647091609</v>
      </c>
      <c r="K29" s="2494">
        <v>5</v>
      </c>
    </row>
    <row r="30" spans="1:15" x14ac:dyDescent="0.25">
      <c r="A30" s="2489" t="s">
        <v>2015</v>
      </c>
      <c r="B30" s="2486">
        <v>5.6</v>
      </c>
      <c r="E30" s="2445" t="str">
        <f t="shared" si="0"/>
        <v>RS034</v>
      </c>
      <c r="F30" s="2490" t="s">
        <v>1913</v>
      </c>
      <c r="G30" s="2491">
        <v>4</v>
      </c>
      <c r="H30" s="2491">
        <v>2000</v>
      </c>
      <c r="I30" s="2491">
        <v>40000</v>
      </c>
      <c r="J30" s="2493">
        <v>0.86368970140249002</v>
      </c>
      <c r="K30" s="2494">
        <v>4</v>
      </c>
    </row>
    <row r="31" spans="1:15" x14ac:dyDescent="0.25">
      <c r="A31" s="2489" t="s">
        <v>2017</v>
      </c>
      <c r="B31" s="2486">
        <v>5.7</v>
      </c>
      <c r="E31" s="2445" t="str">
        <f t="shared" si="0"/>
        <v>RS033</v>
      </c>
      <c r="F31" s="2490" t="s">
        <v>1913</v>
      </c>
      <c r="G31" s="2491">
        <v>3</v>
      </c>
      <c r="H31" s="2491">
        <v>250</v>
      </c>
      <c r="I31" s="2491">
        <v>2000</v>
      </c>
      <c r="J31" s="2493">
        <v>0.32049571519394787</v>
      </c>
      <c r="K31" s="2494">
        <v>3</v>
      </c>
    </row>
    <row r="32" spans="1:15" x14ac:dyDescent="0.25">
      <c r="A32" s="2489" t="s">
        <v>2018</v>
      </c>
      <c r="B32" s="2486">
        <v>8</v>
      </c>
      <c r="E32" s="2445" t="str">
        <f t="shared" si="0"/>
        <v>RS032</v>
      </c>
      <c r="F32" s="2490" t="s">
        <v>1913</v>
      </c>
      <c r="G32" s="2491">
        <v>2</v>
      </c>
      <c r="H32" s="2491">
        <v>100</v>
      </c>
      <c r="I32" s="2491">
        <v>250</v>
      </c>
      <c r="J32" s="2493">
        <v>-0.33549376515993895</v>
      </c>
      <c r="K32" s="2494">
        <v>2</v>
      </c>
    </row>
    <row r="33" spans="1:25" x14ac:dyDescent="0.25">
      <c r="E33" s="2445" t="str">
        <f t="shared" si="0"/>
        <v>RS031</v>
      </c>
      <c r="F33" s="2490" t="s">
        <v>1913</v>
      </c>
      <c r="G33" s="2492">
        <v>1</v>
      </c>
      <c r="H33" s="2491">
        <v>0</v>
      </c>
      <c r="I33" s="2491">
        <v>100</v>
      </c>
      <c r="J33" s="2493">
        <v>-1.1399032506320987</v>
      </c>
      <c r="K33" s="2494">
        <v>1</v>
      </c>
    </row>
    <row r="34" spans="1:25" x14ac:dyDescent="0.25">
      <c r="E34" s="2445" t="str">
        <f t="shared" si="0"/>
        <v>Ratio CodeBucket Number</v>
      </c>
      <c r="F34" s="2495" t="s">
        <v>3004</v>
      </c>
      <c r="G34" s="2487" t="s">
        <v>3005</v>
      </c>
      <c r="H34" s="2487" t="s">
        <v>3006</v>
      </c>
      <c r="I34" s="2487" t="s">
        <v>3007</v>
      </c>
      <c r="J34" s="2495" t="s">
        <v>3035</v>
      </c>
    </row>
    <row r="35" spans="1:25" x14ac:dyDescent="0.25">
      <c r="A35" s="2994"/>
      <c r="E35" s="2445" t="str">
        <f t="shared" si="0"/>
        <v>RL025</v>
      </c>
      <c r="F35" s="2503" t="s">
        <v>1915</v>
      </c>
      <c r="G35" s="2491">
        <v>5</v>
      </c>
      <c r="H35" s="2491">
        <v>200</v>
      </c>
      <c r="I35" s="2492" t="s">
        <v>3010</v>
      </c>
      <c r="J35" s="2493">
        <v>1.1892025712525724</v>
      </c>
      <c r="K35" s="2494">
        <v>4</v>
      </c>
    </row>
    <row r="36" spans="1:25" x14ac:dyDescent="0.25">
      <c r="E36" s="2445" t="str">
        <f t="shared" si="0"/>
        <v>RL023</v>
      </c>
      <c r="F36" s="2503" t="s">
        <v>1915</v>
      </c>
      <c r="G36" s="2491">
        <v>3</v>
      </c>
      <c r="H36" s="2491">
        <v>140</v>
      </c>
      <c r="I36" s="2491">
        <v>200</v>
      </c>
      <c r="J36" s="2493">
        <v>0.90907779055088511</v>
      </c>
      <c r="K36" s="2502">
        <v>3</v>
      </c>
      <c r="M36" s="2445" t="s">
        <v>3016</v>
      </c>
      <c r="N36" s="2445" t="s">
        <v>1908</v>
      </c>
      <c r="O36" s="2445" t="s">
        <v>1909</v>
      </c>
      <c r="P36" s="2445" t="s">
        <v>1910</v>
      </c>
      <c r="Q36" s="2445" t="s">
        <v>1911</v>
      </c>
      <c r="R36" s="2445" t="s">
        <v>1912</v>
      </c>
      <c r="S36" s="2445" t="s">
        <v>1913</v>
      </c>
      <c r="T36" s="2445" t="s">
        <v>1914</v>
      </c>
      <c r="U36" s="2445" t="s">
        <v>1915</v>
      </c>
      <c r="V36" s="2445" t="s">
        <v>1916</v>
      </c>
      <c r="W36" s="2445" t="s">
        <v>1917</v>
      </c>
      <c r="X36" s="2445" t="s">
        <v>1902</v>
      </c>
      <c r="Y36" s="2445" t="s">
        <v>1903</v>
      </c>
    </row>
    <row r="37" spans="1:25" x14ac:dyDescent="0.25">
      <c r="A37" s="2445" t="s">
        <v>3203</v>
      </c>
      <c r="E37" s="2445" t="str">
        <f t="shared" si="0"/>
        <v>RL022</v>
      </c>
      <c r="F37" s="2503" t="s">
        <v>1915</v>
      </c>
      <c r="G37" s="2491">
        <v>2</v>
      </c>
      <c r="H37" s="2491">
        <v>70</v>
      </c>
      <c r="I37" s="2491">
        <v>140</v>
      </c>
      <c r="J37" s="2493">
        <v>0.24329052903721296</v>
      </c>
      <c r="K37" s="2502">
        <v>2</v>
      </c>
      <c r="M37" s="2445" t="s">
        <v>3017</v>
      </c>
      <c r="N37" s="2445" t="s">
        <v>3018</v>
      </c>
      <c r="O37" s="2445" t="s">
        <v>3019</v>
      </c>
      <c r="P37" s="2445" t="s">
        <v>3020</v>
      </c>
      <c r="Q37" s="2445" t="s">
        <v>3022</v>
      </c>
      <c r="R37" s="2445" t="s">
        <v>3024</v>
      </c>
      <c r="S37" s="2445" t="s">
        <v>3025</v>
      </c>
      <c r="T37" s="2445" t="s">
        <v>3026</v>
      </c>
      <c r="U37" s="2445" t="s">
        <v>3029</v>
      </c>
      <c r="V37" s="2445" t="s">
        <v>3028</v>
      </c>
      <c r="W37" s="2445" t="s">
        <v>3031</v>
      </c>
      <c r="X37" s="2445" t="s">
        <v>3032</v>
      </c>
      <c r="Y37" s="2445" t="s">
        <v>3033</v>
      </c>
    </row>
    <row r="38" spans="1:25" x14ac:dyDescent="0.25">
      <c r="A38" s="2445" t="s">
        <v>3190</v>
      </c>
      <c r="E38" s="2445" t="str">
        <f t="shared" si="0"/>
        <v>RL021</v>
      </c>
      <c r="F38" s="2503" t="s">
        <v>1915</v>
      </c>
      <c r="G38" s="2492">
        <v>1</v>
      </c>
      <c r="H38" s="2491">
        <v>0</v>
      </c>
      <c r="I38" s="2491">
        <v>70</v>
      </c>
      <c r="J38" s="2493">
        <v>-0.71017880492824026</v>
      </c>
      <c r="K38" s="2502">
        <v>1</v>
      </c>
      <c r="M38" s="2445">
        <v>-4.3811481600000004</v>
      </c>
      <c r="N38" s="2445">
        <v>-0.24547351201317377</v>
      </c>
      <c r="O38" s="2445">
        <v>-0.2199418648657844</v>
      </c>
      <c r="P38" s="2445">
        <v>-0.17453648348253456</v>
      </c>
      <c r="Q38" s="2445">
        <v>-0.20587842239108484</v>
      </c>
      <c r="R38" s="2445">
        <v>-0.18245597286193493</v>
      </c>
      <c r="S38" s="2445">
        <v>-0.19792083390087578</v>
      </c>
      <c r="T38" s="2445">
        <v>-0.21144427732555862</v>
      </c>
      <c r="U38" s="2445">
        <v>-0.20628957834202927</v>
      </c>
      <c r="V38" s="2445">
        <v>-0.17466580833939313</v>
      </c>
      <c r="W38" s="2445">
        <v>-0.22793259550025849</v>
      </c>
      <c r="X38" s="2445">
        <v>-0.23962932490891342</v>
      </c>
      <c r="Y38" s="2445">
        <v>-0.18561607691034787</v>
      </c>
    </row>
    <row r="39" spans="1:25" x14ac:dyDescent="0.25">
      <c r="A39" s="2445" t="s">
        <v>1940</v>
      </c>
      <c r="E39" s="2445" t="str">
        <f t="shared" si="0"/>
        <v>Ratio CodeBucket Number</v>
      </c>
      <c r="F39" s="2495" t="s">
        <v>3004</v>
      </c>
      <c r="G39" s="2487" t="s">
        <v>3005</v>
      </c>
      <c r="H39" s="2487" t="s">
        <v>3006</v>
      </c>
      <c r="I39" s="2487" t="s">
        <v>3007</v>
      </c>
      <c r="J39" s="2495" t="s">
        <v>3036</v>
      </c>
    </row>
    <row r="40" spans="1:25" x14ac:dyDescent="0.25">
      <c r="A40" s="2445" t="s">
        <v>3182</v>
      </c>
      <c r="E40" s="2445" t="str">
        <f t="shared" si="0"/>
        <v>RS045</v>
      </c>
      <c r="F40" s="2503" t="s">
        <v>1914</v>
      </c>
      <c r="G40" s="2491">
        <v>5</v>
      </c>
      <c r="H40" s="2491">
        <v>0</v>
      </c>
      <c r="I40" s="2491">
        <v>1.01</v>
      </c>
      <c r="J40" s="2493">
        <v>0.90124461835177927</v>
      </c>
      <c r="K40" s="2494">
        <v>4</v>
      </c>
    </row>
    <row r="41" spans="1:25" x14ac:dyDescent="0.25">
      <c r="A41" s="2445" t="s">
        <v>3202</v>
      </c>
      <c r="E41" s="2445" t="str">
        <f t="shared" si="0"/>
        <v>RS043</v>
      </c>
      <c r="F41" s="2503" t="s">
        <v>1914</v>
      </c>
      <c r="G41" s="2491">
        <v>3</v>
      </c>
      <c r="H41" s="2491">
        <v>1.01</v>
      </c>
      <c r="I41" s="2491">
        <v>3.01</v>
      </c>
      <c r="J41" s="2493">
        <v>0.39179485934087471</v>
      </c>
      <c r="K41" s="2502">
        <v>3</v>
      </c>
    </row>
    <row r="42" spans="1:25" x14ac:dyDescent="0.25">
      <c r="A42" s="2445" t="s">
        <v>3184</v>
      </c>
      <c r="E42" s="2445" t="str">
        <f t="shared" si="0"/>
        <v>RS042</v>
      </c>
      <c r="F42" s="2503" t="s">
        <v>1914</v>
      </c>
      <c r="G42" s="2491">
        <v>2</v>
      </c>
      <c r="H42" s="2491">
        <v>3.01</v>
      </c>
      <c r="I42" s="2491">
        <v>7.01</v>
      </c>
      <c r="J42" s="2493">
        <v>-0.4758671229276486</v>
      </c>
      <c r="K42" s="2502">
        <v>2</v>
      </c>
    </row>
    <row r="43" spans="1:25" x14ac:dyDescent="0.25">
      <c r="A43" s="2445" t="s">
        <v>3196</v>
      </c>
      <c r="E43" s="2445" t="str">
        <f t="shared" si="0"/>
        <v>RS041</v>
      </c>
      <c r="F43" s="2503" t="s">
        <v>1914</v>
      </c>
      <c r="G43" s="2492">
        <v>1</v>
      </c>
      <c r="H43" s="2491">
        <v>7.01</v>
      </c>
      <c r="I43" s="2492" t="s">
        <v>3010</v>
      </c>
      <c r="J43" s="2493">
        <v>-1.2297702198395142</v>
      </c>
      <c r="K43" s="2502">
        <v>1</v>
      </c>
    </row>
    <row r="44" spans="1:25" x14ac:dyDescent="0.25">
      <c r="A44" s="2445" t="s">
        <v>3201</v>
      </c>
      <c r="E44" s="2445" t="str">
        <f t="shared" si="0"/>
        <v>Ratio CodeBucket Number</v>
      </c>
      <c r="F44" s="2495" t="s">
        <v>3004</v>
      </c>
      <c r="G44" s="2487" t="s">
        <v>3005</v>
      </c>
      <c r="H44" s="2487" t="s">
        <v>3006</v>
      </c>
      <c r="I44" s="2487" t="s">
        <v>3007</v>
      </c>
      <c r="J44" s="2495" t="s">
        <v>3037</v>
      </c>
    </row>
    <row r="45" spans="1:25" x14ac:dyDescent="0.25">
      <c r="A45" s="2445" t="s">
        <v>3178</v>
      </c>
      <c r="E45" s="2445" t="str">
        <f t="shared" si="0"/>
        <v>RSC044</v>
      </c>
      <c r="F45" s="2503" t="s">
        <v>1916</v>
      </c>
      <c r="G45" s="2491">
        <v>4</v>
      </c>
      <c r="H45" s="2491">
        <v>6.3</v>
      </c>
      <c r="I45" s="2491">
        <v>9.3000000000000007</v>
      </c>
      <c r="J45" s="2493">
        <v>0.67621628815096158</v>
      </c>
      <c r="K45" s="2504">
        <v>3</v>
      </c>
    </row>
    <row r="46" spans="1:25" x14ac:dyDescent="0.25">
      <c r="A46" s="2445" t="s">
        <v>1957</v>
      </c>
      <c r="E46" s="2445" t="str">
        <f t="shared" si="0"/>
        <v>RSC042</v>
      </c>
      <c r="F46" s="2503" t="s">
        <v>1916</v>
      </c>
      <c r="G46" s="2491">
        <v>2</v>
      </c>
      <c r="H46" s="2491">
        <v>5.6</v>
      </c>
      <c r="I46" s="2491">
        <v>6.3</v>
      </c>
      <c r="J46" s="2493">
        <v>0.1681357168572232</v>
      </c>
      <c r="K46" s="2504">
        <v>2</v>
      </c>
    </row>
    <row r="47" spans="1:25" x14ac:dyDescent="0.25">
      <c r="A47" s="2445" t="s">
        <v>3197</v>
      </c>
      <c r="E47" s="2445" t="str">
        <f t="shared" si="0"/>
        <v>RSC041</v>
      </c>
      <c r="F47" s="2503" t="s">
        <v>1916</v>
      </c>
      <c r="G47" s="2491">
        <v>1</v>
      </c>
      <c r="H47" s="2491">
        <v>1</v>
      </c>
      <c r="I47" s="2491">
        <v>5.6</v>
      </c>
      <c r="J47" s="2493">
        <v>-0.65839858555504993</v>
      </c>
      <c r="K47" s="2504">
        <v>1</v>
      </c>
    </row>
    <row r="48" spans="1:25" x14ac:dyDescent="0.25">
      <c r="A48" s="2445" t="s">
        <v>1959</v>
      </c>
      <c r="E48" s="2445" t="str">
        <f t="shared" si="0"/>
        <v>Ratio CodeBucket Number</v>
      </c>
      <c r="F48" s="2495" t="s">
        <v>3004</v>
      </c>
      <c r="G48" s="2487" t="s">
        <v>3005</v>
      </c>
      <c r="H48" s="2487" t="s">
        <v>3006</v>
      </c>
      <c r="I48" s="2487" t="s">
        <v>3007</v>
      </c>
      <c r="J48" s="2495" t="s">
        <v>3038</v>
      </c>
    </row>
    <row r="49" spans="1:11" x14ac:dyDescent="0.25">
      <c r="A49" s="2994" t="s">
        <v>3213</v>
      </c>
      <c r="E49" s="2445" t="str">
        <f t="shared" si="0"/>
        <v>EV015</v>
      </c>
      <c r="F49" s="2503" t="s">
        <v>1917</v>
      </c>
      <c r="G49" s="2491">
        <v>5</v>
      </c>
      <c r="H49" s="2491">
        <v>90</v>
      </c>
      <c r="I49" s="2492" t="s">
        <v>3010</v>
      </c>
      <c r="J49" s="2493">
        <v>1.1841396246055871</v>
      </c>
      <c r="K49" s="2491">
        <v>5</v>
      </c>
    </row>
    <row r="50" spans="1:11" x14ac:dyDescent="0.25">
      <c r="A50" s="2445" t="s">
        <v>3187</v>
      </c>
      <c r="E50" s="2445" t="str">
        <f t="shared" si="0"/>
        <v>EV014</v>
      </c>
      <c r="F50" s="2503" t="s">
        <v>1917</v>
      </c>
      <c r="G50" s="2491">
        <v>4</v>
      </c>
      <c r="H50" s="2491">
        <v>20</v>
      </c>
      <c r="I50" s="2491">
        <v>90</v>
      </c>
      <c r="J50" s="2493">
        <v>1.0442197103650726</v>
      </c>
      <c r="K50" s="2491">
        <v>4</v>
      </c>
    </row>
    <row r="51" spans="1:11" x14ac:dyDescent="0.25">
      <c r="A51" s="2994" t="s">
        <v>1980</v>
      </c>
      <c r="E51" s="2445" t="str">
        <f t="shared" si="0"/>
        <v>EV013</v>
      </c>
      <c r="F51" s="2503" t="s">
        <v>1917</v>
      </c>
      <c r="G51" s="2491">
        <v>3</v>
      </c>
      <c r="H51" s="2491">
        <v>-15</v>
      </c>
      <c r="I51" s="2491">
        <v>20</v>
      </c>
      <c r="J51" s="2493">
        <v>0.47473713643733295</v>
      </c>
      <c r="K51" s="2491">
        <v>3</v>
      </c>
    </row>
    <row r="52" spans="1:11" x14ac:dyDescent="0.25">
      <c r="A52" s="2445" t="s">
        <v>3185</v>
      </c>
      <c r="E52" s="2445" t="str">
        <f t="shared" si="0"/>
        <v>EV012</v>
      </c>
      <c r="F52" s="2503" t="s">
        <v>1917</v>
      </c>
      <c r="G52" s="2491">
        <v>2</v>
      </c>
      <c r="H52" s="2491">
        <v>-70</v>
      </c>
      <c r="I52" s="2491">
        <v>-15</v>
      </c>
      <c r="J52" s="2493">
        <v>-0.38242750994218749</v>
      </c>
      <c r="K52" s="2491">
        <v>2</v>
      </c>
    </row>
    <row r="53" spans="1:11" x14ac:dyDescent="0.25">
      <c r="A53" s="2445" t="s">
        <v>1961</v>
      </c>
      <c r="E53" s="2445" t="str">
        <f t="shared" si="0"/>
        <v>EV011</v>
      </c>
      <c r="F53" s="2503" t="s">
        <v>1917</v>
      </c>
      <c r="G53" s="2492">
        <v>1</v>
      </c>
      <c r="H53" s="2492" t="s">
        <v>3011</v>
      </c>
      <c r="I53" s="2491">
        <v>-70</v>
      </c>
      <c r="J53" s="2493">
        <v>-1.2276159652749925</v>
      </c>
      <c r="K53" s="2492">
        <v>1</v>
      </c>
    </row>
    <row r="54" spans="1:11" x14ac:dyDescent="0.25">
      <c r="A54" s="2445" t="s">
        <v>3200</v>
      </c>
      <c r="E54" s="2445" t="str">
        <f t="shared" si="0"/>
        <v>Ratio CodeBucket Number</v>
      </c>
      <c r="F54" s="2495" t="s">
        <v>3004</v>
      </c>
      <c r="G54" s="2487" t="s">
        <v>3005</v>
      </c>
      <c r="H54" s="2487" t="s">
        <v>3006</v>
      </c>
      <c r="I54" s="2487" t="s">
        <v>3007</v>
      </c>
      <c r="J54" s="2495" t="s">
        <v>3039</v>
      </c>
    </row>
    <row r="55" spans="1:11" ht="15" customHeight="1" x14ac:dyDescent="0.25">
      <c r="A55" s="2445" t="s">
        <v>633</v>
      </c>
      <c r="E55" s="2445" t="str">
        <f t="shared" si="0"/>
        <v>MEANWGI3</v>
      </c>
      <c r="F55" s="2503" t="s">
        <v>1902</v>
      </c>
      <c r="G55" s="2491">
        <v>3</v>
      </c>
      <c r="H55" s="2491">
        <v>1</v>
      </c>
      <c r="I55" s="2491">
        <v>2.5</v>
      </c>
      <c r="J55" s="2493">
        <v>1.1729776397993517</v>
      </c>
      <c r="K55" s="2504">
        <v>3</v>
      </c>
    </row>
    <row r="56" spans="1:11" x14ac:dyDescent="0.25">
      <c r="A56" s="2445" t="s">
        <v>3181</v>
      </c>
      <c r="E56" s="2445" t="str">
        <f t="shared" si="0"/>
        <v>MEANWGI2</v>
      </c>
      <c r="F56" s="2503" t="s">
        <v>1902</v>
      </c>
      <c r="G56" s="2491">
        <v>2</v>
      </c>
      <c r="H56" s="2491">
        <v>0.5</v>
      </c>
      <c r="I56" s="2491">
        <v>1</v>
      </c>
      <c r="J56" s="2493">
        <v>0.36709435389185446</v>
      </c>
      <c r="K56" s="2504">
        <v>2</v>
      </c>
    </row>
    <row r="57" spans="1:11" x14ac:dyDescent="0.25">
      <c r="A57" s="2445" t="s">
        <v>3199</v>
      </c>
      <c r="E57" s="2445" t="str">
        <f t="shared" si="0"/>
        <v>MEANWGI1</v>
      </c>
      <c r="F57" s="2503" t="s">
        <v>1902</v>
      </c>
      <c r="G57" s="2491">
        <v>1</v>
      </c>
      <c r="H57" s="2491">
        <v>-2.5</v>
      </c>
      <c r="I57" s="2491">
        <v>0.5</v>
      </c>
      <c r="J57" s="2493">
        <v>-0.72647100446742352</v>
      </c>
      <c r="K57" s="2504">
        <v>1</v>
      </c>
    </row>
    <row r="58" spans="1:11" x14ac:dyDescent="0.25">
      <c r="A58" s="2445" t="s">
        <v>3192</v>
      </c>
      <c r="E58" s="2445" t="str">
        <f t="shared" si="0"/>
        <v>Ratio CodeBucket Number</v>
      </c>
      <c r="F58" s="2495" t="s">
        <v>3004</v>
      </c>
      <c r="G58" s="2487" t="s">
        <v>3005</v>
      </c>
      <c r="H58" s="2487" t="s">
        <v>3006</v>
      </c>
      <c r="I58" s="2487" t="s">
        <v>3007</v>
      </c>
      <c r="J58" s="2495" t="s">
        <v>3040</v>
      </c>
    </row>
    <row r="59" spans="1:11" ht="15" customHeight="1" x14ac:dyDescent="0.25">
      <c r="A59" s="2445" t="s">
        <v>3188</v>
      </c>
      <c r="E59" s="2445" t="str">
        <f t="shared" si="0"/>
        <v>GDPPERCAPITA3</v>
      </c>
      <c r="F59" s="2503" t="s">
        <v>1903</v>
      </c>
      <c r="G59" s="2491">
        <v>3</v>
      </c>
      <c r="H59" s="2491">
        <v>30000</v>
      </c>
      <c r="I59" s="2492" t="s">
        <v>3010</v>
      </c>
      <c r="J59" s="2493">
        <v>0.72072761691982568</v>
      </c>
      <c r="K59" s="2504">
        <v>3</v>
      </c>
    </row>
    <row r="60" spans="1:11" x14ac:dyDescent="0.25">
      <c r="A60" s="2445" t="s">
        <v>3186</v>
      </c>
      <c r="E60" s="2445" t="str">
        <f t="shared" si="0"/>
        <v>GDPPERCAPITA2</v>
      </c>
      <c r="F60" s="2503" t="s">
        <v>1903</v>
      </c>
      <c r="G60" s="2491">
        <v>2</v>
      </c>
      <c r="H60" s="2491">
        <v>20000</v>
      </c>
      <c r="I60" s="2491">
        <v>30000</v>
      </c>
      <c r="J60" s="2493">
        <v>0.13110353278889761</v>
      </c>
      <c r="K60" s="2504">
        <v>2</v>
      </c>
    </row>
    <row r="61" spans="1:11" x14ac:dyDescent="0.25">
      <c r="A61" s="2445" t="s">
        <v>3198</v>
      </c>
      <c r="E61" s="2445" t="str">
        <f t="shared" si="0"/>
        <v>GDPPERCAPITA1</v>
      </c>
      <c r="F61" s="2503" t="s">
        <v>1903</v>
      </c>
      <c r="G61" s="2491">
        <v>1</v>
      </c>
      <c r="H61" s="2491">
        <v>0</v>
      </c>
      <c r="I61" s="2491">
        <v>20000</v>
      </c>
      <c r="J61" s="2493">
        <v>-0.7462026237938113</v>
      </c>
      <c r="K61" s="2504">
        <v>1</v>
      </c>
    </row>
    <row r="62" spans="1:11" x14ac:dyDescent="0.25">
      <c r="A62" s="2445" t="s">
        <v>3191</v>
      </c>
    </row>
    <row r="63" spans="1:11" x14ac:dyDescent="0.25">
      <c r="A63" s="2445" t="s">
        <v>3183</v>
      </c>
    </row>
    <row r="64" spans="1:11" x14ac:dyDescent="0.25">
      <c r="A64" s="2445" t="s">
        <v>3179</v>
      </c>
    </row>
    <row r="65" spans="1:1" x14ac:dyDescent="0.25">
      <c r="A65" s="2445" t="s">
        <v>3194</v>
      </c>
    </row>
    <row r="66" spans="1:1" x14ac:dyDescent="0.25">
      <c r="A66" s="2445" t="s">
        <v>3189</v>
      </c>
    </row>
    <row r="67" spans="1:1" x14ac:dyDescent="0.25">
      <c r="A67" s="2445" t="s">
        <v>2011</v>
      </c>
    </row>
    <row r="68" spans="1:1" x14ac:dyDescent="0.25">
      <c r="A68" s="2445" t="s">
        <v>3195</v>
      </c>
    </row>
    <row r="69" spans="1:1" x14ac:dyDescent="0.25">
      <c r="A69" s="2445" t="s">
        <v>3193</v>
      </c>
    </row>
    <row r="70" spans="1:1" x14ac:dyDescent="0.25">
      <c r="A70" s="2445" t="s">
        <v>3180</v>
      </c>
    </row>
    <row r="71" spans="1:1" x14ac:dyDescent="0.25">
      <c r="A71" s="2994" t="s">
        <v>2017</v>
      </c>
    </row>
  </sheetData>
  <sortState ref="A2:B32">
    <sortCondition ref="A2:A32"/>
  </sortState>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C2:P51"/>
  <sheetViews>
    <sheetView topLeftCell="A31" workbookViewId="0">
      <selection activeCell="O18" sqref="O18"/>
    </sheetView>
  </sheetViews>
  <sheetFormatPr baseColWidth="10" defaultRowHeight="11.25" x14ac:dyDescent="0.2"/>
  <cols>
    <col min="1" max="2" width="3" style="987" customWidth="1"/>
    <col min="3" max="6" width="11.42578125" style="987"/>
    <col min="7" max="7" width="9.5703125" style="987" customWidth="1"/>
    <col min="8" max="8" width="8.7109375" style="987" customWidth="1"/>
    <col min="9" max="16384" width="11.42578125" style="987"/>
  </cols>
  <sheetData>
    <row r="2" spans="3:15" ht="18" x14ac:dyDescent="0.25">
      <c r="C2" s="991" t="s">
        <v>1436</v>
      </c>
      <c r="H2" s="3145">
        <f>+Descripción!F2</f>
        <v>0</v>
      </c>
      <c r="I2" s="3145"/>
      <c r="J2" s="3145"/>
      <c r="K2" s="3145"/>
      <c r="L2" s="3145"/>
      <c r="N2" s="1021">
        <f>'Datos relevantes'!$AJ$13</f>
        <v>3.9000000000000004</v>
      </c>
      <c r="O2" s="1021"/>
    </row>
    <row r="3" spans="3:15" x14ac:dyDescent="0.2">
      <c r="N3" s="985" t="s">
        <v>1435</v>
      </c>
      <c r="O3" s="985"/>
    </row>
    <row r="8" spans="3:15" x14ac:dyDescent="0.2">
      <c r="C8" s="1647"/>
      <c r="I8" s="1647"/>
    </row>
    <row r="48" spans="3:16" x14ac:dyDescent="0.2">
      <c r="C48" s="1043">
        <f>C8</f>
        <v>0</v>
      </c>
      <c r="D48" s="1042">
        <f>'Info Entrada'!E1</f>
        <v>43465</v>
      </c>
      <c r="E48" s="1042"/>
      <c r="F48" s="1042"/>
      <c r="G48" s="1033"/>
      <c r="H48" s="1033"/>
      <c r="J48" s="1043"/>
      <c r="K48" s="2562">
        <f>'Info Entrada'!H1</f>
        <v>43830</v>
      </c>
      <c r="L48" s="2562">
        <f>'Info Entrada'!I1</f>
        <v>44196</v>
      </c>
      <c r="M48" s="2562">
        <f>'Info Entrada'!J1</f>
        <v>44561</v>
      </c>
      <c r="N48" s="2562">
        <f>'Info Entrada'!K1</f>
        <v>44926</v>
      </c>
      <c r="O48" s="2562">
        <f>'Info Entrada'!L1</f>
        <v>45291</v>
      </c>
      <c r="P48" s="2562" t="s">
        <v>1816</v>
      </c>
    </row>
    <row r="49" spans="3:16" x14ac:dyDescent="0.2">
      <c r="C49" s="1032" t="str">
        <f>'Resumen EEFF'!A107</f>
        <v>Deuda financiera Bruta</v>
      </c>
      <c r="D49" s="1034">
        <f>'Resumen EEFF'!D107</f>
        <v>0</v>
      </c>
      <c r="E49" s="1034"/>
      <c r="F49" s="1034"/>
      <c r="G49" s="1034"/>
      <c r="H49" s="1034"/>
      <c r="J49" s="1032" t="s">
        <v>1817</v>
      </c>
      <c r="K49" s="1648"/>
      <c r="L49" s="1648"/>
      <c r="M49" s="1648"/>
      <c r="N49" s="1648"/>
      <c r="O49" s="1648"/>
      <c r="P49" s="1648"/>
    </row>
    <row r="50" spans="3:16" x14ac:dyDescent="0.2">
      <c r="C50" s="1032" t="str">
        <f>'Resumen EEFF'!A75</f>
        <v>Tesorería + Activos Fácilmente Líquidables</v>
      </c>
      <c r="D50" s="1034">
        <f>'Resumen EEFF'!D75</f>
        <v>0</v>
      </c>
      <c r="E50" s="1034"/>
      <c r="F50" s="1034"/>
      <c r="G50" s="1034"/>
      <c r="H50" s="1034"/>
      <c r="J50" s="1032"/>
      <c r="K50" s="1646"/>
      <c r="L50" s="1646"/>
      <c r="M50" s="1646"/>
      <c r="N50" s="1646"/>
      <c r="O50" s="1646"/>
      <c r="P50" s="1646"/>
    </row>
    <row r="51" spans="3:16" x14ac:dyDescent="0.2">
      <c r="C51" s="1032"/>
      <c r="D51" s="1034"/>
      <c r="E51" s="1034"/>
      <c r="F51" s="1034"/>
      <c r="G51" s="1034"/>
      <c r="H51" s="1034"/>
      <c r="K51" s="1020"/>
      <c r="L51" s="1020"/>
      <c r="M51" s="1020"/>
      <c r="N51" s="1020"/>
      <c r="O51" s="1020"/>
    </row>
  </sheetData>
  <mergeCells count="1">
    <mergeCell ref="H2:L2"/>
  </mergeCells>
  <pageMargins left="0.70866141732283472" right="0.70866141732283472" top="0.74803149606299213" bottom="0.74803149606299213" header="0.31496062992125984" footer="0.31496062992125984"/>
  <pageSetup orientation="landscape"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tabColor theme="3" tint="-0.499984740745262"/>
  </sheetPr>
  <dimension ref="A1:L52"/>
  <sheetViews>
    <sheetView showGridLines="0" topLeftCell="A17" zoomScale="80" zoomScaleNormal="80" workbookViewId="0">
      <selection activeCell="F46" sqref="F46"/>
    </sheetView>
  </sheetViews>
  <sheetFormatPr baseColWidth="10" defaultColWidth="0" defaultRowHeight="11.25" x14ac:dyDescent="0.2"/>
  <cols>
    <col min="1" max="1" width="0.7109375" style="2582" customWidth="1"/>
    <col min="2" max="2" width="32" style="2564" bestFit="1" customWidth="1"/>
    <col min="3" max="3" width="13.7109375" style="2565" customWidth="1"/>
    <col min="4" max="10" width="13.7109375" style="2566" customWidth="1"/>
    <col min="11" max="11" width="0.7109375" style="2566" customWidth="1"/>
    <col min="12" max="12" width="11.42578125" style="2582" customWidth="1"/>
    <col min="13" max="16384" width="11.42578125" style="2582" hidden="1"/>
  </cols>
  <sheetData>
    <row r="1" spans="2:9" hidden="1" x14ac:dyDescent="0.2"/>
    <row r="3" spans="2:9" x14ac:dyDescent="0.2">
      <c r="D3" s="3566" t="s">
        <v>3051</v>
      </c>
      <c r="E3" s="3567"/>
      <c r="F3" s="3567"/>
      <c r="G3" s="3567"/>
      <c r="H3" s="3567"/>
      <c r="I3" s="3568"/>
    </row>
    <row r="4" spans="2:9" x14ac:dyDescent="0.2">
      <c r="D4" s="3569"/>
      <c r="E4" s="3570"/>
      <c r="F4" s="3570"/>
      <c r="G4" s="3570"/>
      <c r="H4" s="3570"/>
      <c r="I4" s="3571"/>
    </row>
    <row r="8" spans="2:9" x14ac:dyDescent="0.2">
      <c r="B8" s="2567" t="s">
        <v>544</v>
      </c>
      <c r="C8" s="2568"/>
    </row>
    <row r="9" spans="2:9" x14ac:dyDescent="0.2">
      <c r="B9" s="2569" t="s">
        <v>1295</v>
      </c>
      <c r="C9" s="2570"/>
    </row>
    <row r="10" spans="2:9" x14ac:dyDescent="0.2">
      <c r="B10" s="2569" t="s">
        <v>1302</v>
      </c>
      <c r="C10" s="2571"/>
    </row>
    <row r="11" spans="2:9" x14ac:dyDescent="0.2">
      <c r="B11" s="2569" t="s">
        <v>1303</v>
      </c>
      <c r="C11" s="2570"/>
    </row>
    <row r="12" spans="2:9" x14ac:dyDescent="0.2">
      <c r="B12" s="2572" t="s">
        <v>543</v>
      </c>
      <c r="C12" s="2573"/>
    </row>
    <row r="14" spans="2:9" x14ac:dyDescent="0.2">
      <c r="B14" s="2564" t="s">
        <v>3052</v>
      </c>
    </row>
    <row r="15" spans="2:9" x14ac:dyDescent="0.2">
      <c r="B15" s="2574" t="s">
        <v>3053</v>
      </c>
      <c r="C15" s="2575">
        <f>+'[1]Resumen EEFF'!A6</f>
        <v>1</v>
      </c>
    </row>
    <row r="17" spans="2:11" s="2578" customFormat="1" ht="12" x14ac:dyDescent="0.2">
      <c r="B17" s="2592" t="str">
        <f>'Resumen EEFF'!B10</f>
        <v>COP MM</v>
      </c>
      <c r="C17" s="2590">
        <f>General!D6</f>
        <v>0</v>
      </c>
      <c r="D17" s="2589" t="s">
        <v>3054</v>
      </c>
      <c r="E17" s="2589" t="s">
        <v>3055</v>
      </c>
      <c r="F17" s="2589" t="s">
        <v>3056</v>
      </c>
      <c r="G17" s="2589" t="s">
        <v>3057</v>
      </c>
      <c r="H17" s="2589" t="s">
        <v>3058</v>
      </c>
      <c r="I17" s="2589" t="s">
        <v>3059</v>
      </c>
      <c r="J17" s="2589" t="s">
        <v>3060</v>
      </c>
      <c r="K17" s="2577"/>
    </row>
    <row r="18" spans="2:11" s="2578" customFormat="1" ht="12" x14ac:dyDescent="0.2">
      <c r="B18" s="2576" t="s">
        <v>1325</v>
      </c>
      <c r="C18" s="2579">
        <f>'Resumen EEFF'!D13</f>
        <v>0</v>
      </c>
      <c r="D18" s="2591"/>
      <c r="E18" s="2591"/>
      <c r="F18" s="2591"/>
      <c r="G18" s="2591"/>
      <c r="H18" s="2591"/>
      <c r="I18" s="2591"/>
      <c r="J18" s="2591"/>
      <c r="K18" s="2577"/>
    </row>
    <row r="19" spans="2:11" ht="12.95" customHeight="1" x14ac:dyDescent="0.2">
      <c r="B19" s="2580" t="s">
        <v>859</v>
      </c>
      <c r="C19" s="2581"/>
      <c r="D19" s="2581"/>
      <c r="E19" s="2581"/>
      <c r="F19" s="2581"/>
      <c r="G19" s="2581"/>
      <c r="H19" s="2581"/>
      <c r="I19" s="2581"/>
      <c r="J19" s="2581"/>
    </row>
    <row r="20" spans="2:11" ht="12.95" customHeight="1" x14ac:dyDescent="0.2">
      <c r="B20" s="2580" t="s">
        <v>145</v>
      </c>
      <c r="C20" s="2583">
        <f>'Datos relevantes'!AJ13</f>
        <v>3.9000000000000004</v>
      </c>
      <c r="D20" s="2583"/>
      <c r="E20" s="2583"/>
      <c r="F20" s="2583"/>
      <c r="G20" s="2583"/>
      <c r="H20" s="2583"/>
      <c r="I20" s="2583"/>
      <c r="J20" s="2583"/>
    </row>
    <row r="21" spans="2:11" ht="12.95" customHeight="1" x14ac:dyDescent="0.2">
      <c r="B21" s="2580" t="s">
        <v>3061</v>
      </c>
      <c r="C21" s="2584"/>
      <c r="D21" s="2584"/>
      <c r="E21" s="2584"/>
      <c r="F21" s="2584"/>
      <c r="G21" s="2584"/>
      <c r="H21" s="2584"/>
      <c r="I21" s="2584"/>
      <c r="J21" s="2584"/>
    </row>
    <row r="22" spans="2:11" ht="12.95" customHeight="1" x14ac:dyDescent="0.2">
      <c r="B22" s="2580" t="s">
        <v>1085</v>
      </c>
      <c r="C22" s="2585">
        <f>'Resumen EEFF'!D13</f>
        <v>0</v>
      </c>
      <c r="D22" s="2585"/>
      <c r="E22" s="2585"/>
      <c r="F22" s="2585"/>
      <c r="G22" s="2585"/>
      <c r="H22" s="2585"/>
      <c r="I22" s="2585"/>
      <c r="J22" s="2585"/>
    </row>
    <row r="23" spans="2:11" ht="12.95" customHeight="1" x14ac:dyDescent="0.2">
      <c r="B23" s="2580" t="s">
        <v>188</v>
      </c>
      <c r="C23" s="2585">
        <f>'Resumen EEFF'!D19</f>
        <v>0</v>
      </c>
      <c r="D23" s="2585"/>
      <c r="E23" s="2585"/>
      <c r="F23" s="2585"/>
      <c r="G23" s="2585"/>
      <c r="H23" s="2585"/>
      <c r="I23" s="2585"/>
      <c r="J23" s="2585"/>
    </row>
    <row r="24" spans="2:11" ht="12.95" customHeight="1" x14ac:dyDescent="0.2">
      <c r="B24" s="2580" t="s">
        <v>1144</v>
      </c>
      <c r="C24" s="2586">
        <f>IFERROR(C23/C22,0)</f>
        <v>0</v>
      </c>
      <c r="D24" s="2586">
        <f t="shared" ref="D24:J24" si="0">IFERROR(D23/D22,0)</f>
        <v>0</v>
      </c>
      <c r="E24" s="2586">
        <f t="shared" si="0"/>
        <v>0</v>
      </c>
      <c r="F24" s="2586">
        <f t="shared" si="0"/>
        <v>0</v>
      </c>
      <c r="G24" s="2586">
        <f t="shared" si="0"/>
        <v>0</v>
      </c>
      <c r="H24" s="2586">
        <f t="shared" si="0"/>
        <v>0</v>
      </c>
      <c r="I24" s="2586">
        <f t="shared" si="0"/>
        <v>0</v>
      </c>
      <c r="J24" s="2586">
        <f t="shared" si="0"/>
        <v>0</v>
      </c>
    </row>
    <row r="25" spans="2:11" ht="12.95" customHeight="1" x14ac:dyDescent="0.2">
      <c r="B25" s="2580" t="s">
        <v>762</v>
      </c>
      <c r="C25" s="2585">
        <f>'Resumen EEFF'!D22</f>
        <v>0</v>
      </c>
      <c r="D25" s="2585"/>
      <c r="E25" s="2585"/>
      <c r="F25" s="2585"/>
      <c r="G25" s="2585"/>
      <c r="H25" s="2585"/>
      <c r="I25" s="2585"/>
      <c r="J25" s="2585"/>
    </row>
    <row r="26" spans="2:11" ht="12.95" customHeight="1" x14ac:dyDescent="0.2">
      <c r="B26" s="2580" t="s">
        <v>1146</v>
      </c>
      <c r="C26" s="2586">
        <f>IFERROR(C25/C22,0)</f>
        <v>0</v>
      </c>
      <c r="D26" s="2586">
        <f t="shared" ref="D26:J26" si="1">IFERROR(D25/D22,0)</f>
        <v>0</v>
      </c>
      <c r="E26" s="2586">
        <f t="shared" si="1"/>
        <v>0</v>
      </c>
      <c r="F26" s="2586">
        <f t="shared" si="1"/>
        <v>0</v>
      </c>
      <c r="G26" s="2586">
        <f t="shared" si="1"/>
        <v>0</v>
      </c>
      <c r="H26" s="2586">
        <f t="shared" si="1"/>
        <v>0</v>
      </c>
      <c r="I26" s="2586">
        <f t="shared" si="1"/>
        <v>0</v>
      </c>
      <c r="J26" s="2586">
        <f t="shared" si="1"/>
        <v>0</v>
      </c>
    </row>
    <row r="27" spans="2:11" ht="12.95" customHeight="1" x14ac:dyDescent="0.2">
      <c r="B27" s="2580" t="s">
        <v>461</v>
      </c>
      <c r="C27" s="2585">
        <f>'Resumen EEFF'!D35</f>
        <v>0</v>
      </c>
      <c r="D27" s="2585"/>
      <c r="E27" s="2585"/>
      <c r="F27" s="2585"/>
      <c r="G27" s="2585"/>
      <c r="H27" s="2585"/>
      <c r="I27" s="2585"/>
      <c r="J27" s="2585"/>
    </row>
    <row r="28" spans="2:11" ht="12.95" customHeight="1" x14ac:dyDescent="0.2">
      <c r="B28" s="2580" t="s">
        <v>3062</v>
      </c>
      <c r="C28" s="2585">
        <f ca="1">'Resumen EEFF'!D51</f>
        <v>0</v>
      </c>
      <c r="D28" s="2585"/>
      <c r="E28" s="2585"/>
      <c r="F28" s="2585"/>
      <c r="G28" s="2585"/>
      <c r="H28" s="2585"/>
      <c r="I28" s="2585"/>
      <c r="J28" s="2585"/>
    </row>
    <row r="29" spans="2:11" ht="12.95" customHeight="1" x14ac:dyDescent="0.2">
      <c r="B29" s="2580" t="s">
        <v>498</v>
      </c>
      <c r="C29" s="2585">
        <f ca="1">'Resumen EEFF'!D60</f>
        <v>0</v>
      </c>
      <c r="D29" s="2585"/>
      <c r="E29" s="2585"/>
      <c r="F29" s="2585"/>
      <c r="G29" s="2585"/>
      <c r="H29" s="2585"/>
      <c r="I29" s="2585"/>
      <c r="J29" s="2585"/>
    </row>
    <row r="30" spans="2:11" ht="12.95" customHeight="1" x14ac:dyDescent="0.2">
      <c r="B30" s="2580" t="s">
        <v>3063</v>
      </c>
      <c r="C30" s="2585">
        <f>'Resumen EEFF'!D107</f>
        <v>0</v>
      </c>
      <c r="D30" s="2585"/>
      <c r="E30" s="2585"/>
      <c r="F30" s="2585"/>
      <c r="G30" s="2585"/>
      <c r="H30" s="2585"/>
      <c r="I30" s="2585"/>
      <c r="J30" s="2585"/>
    </row>
    <row r="31" spans="2:11" ht="12.95" customHeight="1" x14ac:dyDescent="0.2">
      <c r="B31" s="2580" t="s">
        <v>3064</v>
      </c>
      <c r="C31" s="2585">
        <f>'Resumen EEFF'!D75</f>
        <v>0</v>
      </c>
      <c r="D31" s="2585"/>
      <c r="E31" s="2585"/>
      <c r="F31" s="2585"/>
      <c r="G31" s="2585"/>
      <c r="H31" s="2585"/>
      <c r="I31" s="2585"/>
      <c r="J31" s="2585"/>
    </row>
    <row r="32" spans="2:11" ht="12.95" customHeight="1" x14ac:dyDescent="0.2">
      <c r="B32" s="2580" t="s">
        <v>3065</v>
      </c>
      <c r="C32" s="2585">
        <f t="shared" ref="C32:J32" si="2">C30-C31</f>
        <v>0</v>
      </c>
      <c r="D32" s="2585">
        <f t="shared" si="2"/>
        <v>0</v>
      </c>
      <c r="E32" s="2585">
        <f t="shared" si="2"/>
        <v>0</v>
      </c>
      <c r="F32" s="2585">
        <f t="shared" si="2"/>
        <v>0</v>
      </c>
      <c r="G32" s="2585">
        <f t="shared" si="2"/>
        <v>0</v>
      </c>
      <c r="H32" s="2585">
        <f t="shared" si="2"/>
        <v>0</v>
      </c>
      <c r="I32" s="2585">
        <f t="shared" si="2"/>
        <v>0</v>
      </c>
      <c r="J32" s="2585">
        <f t="shared" si="2"/>
        <v>0</v>
      </c>
    </row>
    <row r="33" spans="2:10" ht="12.95" customHeight="1" x14ac:dyDescent="0.2">
      <c r="B33" s="2580" t="s">
        <v>464</v>
      </c>
      <c r="C33" s="2585">
        <f>'Resumen EEFF'!D102</f>
        <v>0</v>
      </c>
      <c r="D33" s="2585"/>
      <c r="E33" s="2585"/>
      <c r="F33" s="2585"/>
      <c r="G33" s="2585"/>
      <c r="H33" s="2585"/>
      <c r="I33" s="2585"/>
      <c r="J33" s="2585"/>
    </row>
    <row r="34" spans="2:10" ht="12.95" customHeight="1" x14ac:dyDescent="0.2">
      <c r="B34" s="2580" t="s">
        <v>436</v>
      </c>
      <c r="C34" s="2585">
        <f>'Resumen EEFF'!D104</f>
        <v>0</v>
      </c>
      <c r="D34" s="2585"/>
      <c r="E34" s="2585"/>
      <c r="F34" s="2585"/>
      <c r="G34" s="2585"/>
      <c r="H34" s="2585"/>
      <c r="I34" s="2585"/>
      <c r="J34" s="2585"/>
    </row>
    <row r="35" spans="2:10" ht="12.95" customHeight="1" x14ac:dyDescent="0.2">
      <c r="B35" s="2580" t="s">
        <v>3066</v>
      </c>
      <c r="C35" s="2587">
        <f>IFERROR((C34-C33)/C33,0)</f>
        <v>0</v>
      </c>
      <c r="D35" s="2587">
        <f t="shared" ref="D35:J35" si="3">IFERROR((D34-D33)/D33,0)</f>
        <v>0</v>
      </c>
      <c r="E35" s="2587">
        <f t="shared" si="3"/>
        <v>0</v>
      </c>
      <c r="F35" s="2587">
        <f t="shared" si="3"/>
        <v>0</v>
      </c>
      <c r="G35" s="2587">
        <f t="shared" si="3"/>
        <v>0</v>
      </c>
      <c r="H35" s="2587">
        <f t="shared" si="3"/>
        <v>0</v>
      </c>
      <c r="I35" s="2587">
        <f t="shared" si="3"/>
        <v>0</v>
      </c>
      <c r="J35" s="2587">
        <f t="shared" si="3"/>
        <v>0</v>
      </c>
    </row>
    <row r="36" spans="2:10" ht="12.95" customHeight="1" x14ac:dyDescent="0.2">
      <c r="B36" s="2580" t="s">
        <v>3067</v>
      </c>
      <c r="C36" s="2586">
        <f>IFERROR(C33/C34,0)</f>
        <v>0</v>
      </c>
      <c r="D36" s="2586">
        <f t="shared" ref="D36:J36" si="4">IFERROR(D33/D34,0)</f>
        <v>0</v>
      </c>
      <c r="E36" s="2586">
        <f t="shared" si="4"/>
        <v>0</v>
      </c>
      <c r="F36" s="2586">
        <f t="shared" si="4"/>
        <v>0</v>
      </c>
      <c r="G36" s="2586">
        <f t="shared" si="4"/>
        <v>0</v>
      </c>
      <c r="H36" s="2586">
        <f t="shared" si="4"/>
        <v>0</v>
      </c>
      <c r="I36" s="2586">
        <f t="shared" si="4"/>
        <v>0</v>
      </c>
      <c r="J36" s="2586">
        <f t="shared" si="4"/>
        <v>0</v>
      </c>
    </row>
    <row r="37" spans="2:10" ht="12.95" customHeight="1" x14ac:dyDescent="0.2">
      <c r="B37" s="2580" t="s">
        <v>3068</v>
      </c>
      <c r="C37" s="2587">
        <f>IFERROR(C30/C23,0)</f>
        <v>0</v>
      </c>
      <c r="D37" s="2587">
        <f t="shared" ref="D37:J37" si="5">IFERROR(D30/D23,0)</f>
        <v>0</v>
      </c>
      <c r="E37" s="2587">
        <f t="shared" si="5"/>
        <v>0</v>
      </c>
      <c r="F37" s="2587">
        <f t="shared" si="5"/>
        <v>0</v>
      </c>
      <c r="G37" s="2587">
        <f t="shared" si="5"/>
        <v>0</v>
      </c>
      <c r="H37" s="2587">
        <f t="shared" si="5"/>
        <v>0</v>
      </c>
      <c r="I37" s="2587">
        <f t="shared" si="5"/>
        <v>0</v>
      </c>
      <c r="J37" s="2587">
        <f t="shared" si="5"/>
        <v>0</v>
      </c>
    </row>
    <row r="38" spans="2:10" ht="12.95" customHeight="1" x14ac:dyDescent="0.2">
      <c r="B38" s="2580" t="s">
        <v>3069</v>
      </c>
      <c r="C38" s="2587">
        <f>IFERROR(C32/C23,0)</f>
        <v>0</v>
      </c>
      <c r="D38" s="2587">
        <f t="shared" ref="D38:J38" si="6">IFERROR(D32/D23,0)</f>
        <v>0</v>
      </c>
      <c r="E38" s="2587">
        <f t="shared" si="6"/>
        <v>0</v>
      </c>
      <c r="F38" s="2587">
        <f t="shared" si="6"/>
        <v>0</v>
      </c>
      <c r="G38" s="2587">
        <f t="shared" si="6"/>
        <v>0</v>
      </c>
      <c r="H38" s="2587">
        <f t="shared" si="6"/>
        <v>0</v>
      </c>
      <c r="I38" s="2587">
        <f t="shared" si="6"/>
        <v>0</v>
      </c>
      <c r="J38" s="2587">
        <f t="shared" si="6"/>
        <v>0</v>
      </c>
    </row>
    <row r="39" spans="2:10" ht="12.95" customHeight="1" x14ac:dyDescent="0.2">
      <c r="B39" s="2580" t="s">
        <v>3070</v>
      </c>
      <c r="C39" s="2587">
        <f>IFERROR(C30/C25,0)</f>
        <v>0</v>
      </c>
      <c r="D39" s="2587">
        <f t="shared" ref="D39:J39" si="7">IFERROR(D30/D25,0)</f>
        <v>0</v>
      </c>
      <c r="E39" s="2587">
        <f t="shared" si="7"/>
        <v>0</v>
      </c>
      <c r="F39" s="2587">
        <f t="shared" si="7"/>
        <v>0</v>
      </c>
      <c r="G39" s="2587">
        <f t="shared" si="7"/>
        <v>0</v>
      </c>
      <c r="H39" s="2587">
        <f t="shared" si="7"/>
        <v>0</v>
      </c>
      <c r="I39" s="2587">
        <f t="shared" si="7"/>
        <v>0</v>
      </c>
      <c r="J39" s="2587">
        <f t="shared" si="7"/>
        <v>0</v>
      </c>
    </row>
    <row r="40" spans="2:10" ht="12.95" customHeight="1" x14ac:dyDescent="0.2">
      <c r="B40" s="2580" t="s">
        <v>3071</v>
      </c>
      <c r="C40" s="2587">
        <f>IFERROR(C32/C25,0)</f>
        <v>0</v>
      </c>
      <c r="D40" s="2587">
        <f t="shared" ref="D40:J40" si="8">IFERROR(D32/D25,0)</f>
        <v>0</v>
      </c>
      <c r="E40" s="2587">
        <f t="shared" si="8"/>
        <v>0</v>
      </c>
      <c r="F40" s="2587">
        <f t="shared" si="8"/>
        <v>0</v>
      </c>
      <c r="G40" s="2587">
        <f t="shared" si="8"/>
        <v>0</v>
      </c>
      <c r="H40" s="2587">
        <f t="shared" si="8"/>
        <v>0</v>
      </c>
      <c r="I40" s="2587">
        <f t="shared" si="8"/>
        <v>0</v>
      </c>
      <c r="J40" s="2587">
        <f t="shared" si="8"/>
        <v>0</v>
      </c>
    </row>
    <row r="41" spans="2:10" ht="12.95" customHeight="1" x14ac:dyDescent="0.2">
      <c r="B41" s="2580" t="s">
        <v>3076</v>
      </c>
      <c r="C41" s="2585"/>
      <c r="D41" s="2585"/>
      <c r="E41" s="2585"/>
      <c r="F41" s="2585"/>
      <c r="G41" s="2585"/>
      <c r="H41" s="2585"/>
      <c r="I41" s="2585"/>
      <c r="J41" s="2585"/>
    </row>
    <row r="42" spans="2:10" ht="12.95" customHeight="1" x14ac:dyDescent="0.2">
      <c r="B42" s="2580" t="s">
        <v>3077</v>
      </c>
      <c r="C42" s="2777"/>
      <c r="D42" s="2777"/>
      <c r="E42" s="2777"/>
      <c r="F42" s="2777"/>
      <c r="G42" s="2777"/>
      <c r="H42" s="2777"/>
      <c r="I42" s="2777"/>
      <c r="J42" s="2777"/>
    </row>
    <row r="43" spans="2:10" x14ac:dyDescent="0.2">
      <c r="B43" s="2580" t="s">
        <v>3078</v>
      </c>
      <c r="C43" s="2587"/>
      <c r="D43" s="2587"/>
      <c r="E43" s="2587"/>
      <c r="F43" s="2587"/>
      <c r="G43" s="2587"/>
      <c r="H43" s="2587"/>
      <c r="I43" s="2587"/>
      <c r="J43" s="2587"/>
    </row>
    <row r="44" spans="2:10" x14ac:dyDescent="0.2">
      <c r="B44" s="2580" t="s">
        <v>3079</v>
      </c>
      <c r="C44" s="2587"/>
      <c r="D44" s="2587"/>
      <c r="E44" s="2587"/>
      <c r="F44" s="2587"/>
      <c r="G44" s="2587"/>
      <c r="H44" s="2587"/>
      <c r="I44" s="2587"/>
      <c r="J44" s="2587"/>
    </row>
    <row r="45" spans="2:10" x14ac:dyDescent="0.2">
      <c r="B45" s="2580" t="s">
        <v>3080</v>
      </c>
      <c r="C45" s="2587"/>
      <c r="D45" s="2587"/>
      <c r="E45" s="2587"/>
      <c r="F45" s="2587"/>
      <c r="G45" s="2587"/>
      <c r="H45" s="2587"/>
      <c r="I45" s="2587"/>
      <c r="J45" s="2587"/>
    </row>
    <row r="52" spans="4:10" x14ac:dyDescent="0.2">
      <c r="D52" s="2588"/>
      <c r="E52" s="2588"/>
      <c r="F52" s="2588"/>
      <c r="G52" s="2588"/>
      <c r="H52" s="2588"/>
      <c r="I52" s="2588"/>
      <c r="J52" s="2588"/>
    </row>
  </sheetData>
  <mergeCells count="1">
    <mergeCell ref="D3:I4"/>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pageSetUpPr fitToPage="1"/>
  </sheetPr>
  <dimension ref="A1:K116"/>
  <sheetViews>
    <sheetView showGridLines="0" topLeftCell="A61" zoomScale="70" zoomScaleNormal="70" workbookViewId="0">
      <selection activeCell="F82" sqref="F82"/>
    </sheetView>
  </sheetViews>
  <sheetFormatPr baseColWidth="10" defaultRowHeight="12.75" x14ac:dyDescent="0.2"/>
  <cols>
    <col min="1" max="1" width="30.5703125" style="107" customWidth="1"/>
    <col min="2" max="2" width="34.28515625" style="107" customWidth="1"/>
    <col min="3" max="3" width="14" style="107" customWidth="1"/>
    <col min="4" max="4" width="16.140625" style="107" customWidth="1"/>
    <col min="5" max="5" width="17.5703125" style="107" customWidth="1"/>
    <col min="6" max="6" width="14.28515625" style="107" customWidth="1"/>
    <col min="7" max="8" width="12.85546875" style="107" customWidth="1"/>
    <col min="9" max="9" width="33.7109375" style="107" customWidth="1"/>
    <col min="10" max="10" width="13.28515625" style="107" customWidth="1"/>
    <col min="11" max="11" width="34.28515625" style="107" customWidth="1"/>
    <col min="12" max="16384" width="11.42578125" style="94"/>
  </cols>
  <sheetData>
    <row r="1" spans="1:11" x14ac:dyDescent="0.2">
      <c r="A1" s="91"/>
      <c r="B1" s="92"/>
      <c r="C1" s="92"/>
      <c r="D1" s="92"/>
      <c r="E1" s="92"/>
      <c r="F1" s="92"/>
      <c r="G1" s="92"/>
      <c r="H1" s="92"/>
      <c r="I1" s="92"/>
      <c r="J1" s="92"/>
      <c r="K1" s="93"/>
    </row>
    <row r="2" spans="1:11" x14ac:dyDescent="0.2">
      <c r="A2" s="95"/>
      <c r="B2" s="96"/>
      <c r="C2" s="96"/>
      <c r="D2" s="96"/>
      <c r="E2" s="96"/>
      <c r="F2" s="96"/>
      <c r="G2" s="96"/>
      <c r="H2" s="96"/>
      <c r="I2" s="96"/>
      <c r="J2" s="96"/>
      <c r="K2" s="97"/>
    </row>
    <row r="3" spans="1:11" x14ac:dyDescent="0.2">
      <c r="A3" s="95"/>
      <c r="B3" s="96"/>
      <c r="C3" s="96"/>
      <c r="D3" s="96"/>
      <c r="E3" s="96"/>
      <c r="F3" s="96"/>
      <c r="G3" s="96"/>
      <c r="H3" s="96"/>
      <c r="I3" s="96"/>
      <c r="J3" s="96"/>
      <c r="K3" s="97"/>
    </row>
    <row r="4" spans="1:11" ht="18" x14ac:dyDescent="0.25">
      <c r="A4" s="98" t="s">
        <v>303</v>
      </c>
      <c r="B4" s="99" t="s">
        <v>399</v>
      </c>
      <c r="C4" s="99"/>
      <c r="D4" s="99"/>
      <c r="E4" s="100"/>
      <c r="F4" s="100"/>
      <c r="G4" s="100"/>
      <c r="H4" s="100"/>
      <c r="I4" s="100"/>
      <c r="J4" s="100"/>
      <c r="K4" s="101"/>
    </row>
    <row r="5" spans="1:11" x14ac:dyDescent="0.2">
      <c r="A5" s="102" t="s">
        <v>303</v>
      </c>
      <c r="B5" s="103"/>
      <c r="C5" s="103"/>
      <c r="D5" s="103"/>
      <c r="E5" s="103"/>
      <c r="F5" s="103"/>
      <c r="G5" s="103"/>
      <c r="H5" s="103"/>
      <c r="I5" s="103"/>
      <c r="J5" s="103"/>
      <c r="K5" s="101"/>
    </row>
    <row r="6" spans="1:11" x14ac:dyDescent="0.2">
      <c r="A6" s="104" t="s">
        <v>400</v>
      </c>
      <c r="B6" s="105" t="s">
        <v>401</v>
      </c>
      <c r="C6" s="106">
        <f ca="1">+TODAY()</f>
        <v>43776</v>
      </c>
      <c r="E6" s="103"/>
      <c r="F6" s="103" t="s">
        <v>303</v>
      </c>
      <c r="G6" s="105" t="s">
        <v>402</v>
      </c>
      <c r="H6" s="108"/>
      <c r="I6" s="103"/>
      <c r="J6" s="103"/>
      <c r="K6" s="101"/>
    </row>
    <row r="7" spans="1:11" ht="13.5" thickBot="1" x14ac:dyDescent="0.25">
      <c r="A7" s="109" t="s">
        <v>403</v>
      </c>
      <c r="B7" s="103"/>
      <c r="C7" s="103"/>
      <c r="D7" s="103"/>
      <c r="E7" s="103"/>
      <c r="F7" s="103"/>
      <c r="G7" s="103"/>
      <c r="H7" s="103"/>
      <c r="I7" s="103"/>
      <c r="J7" s="103"/>
      <c r="K7" s="101"/>
    </row>
    <row r="8" spans="1:11" s="113" customFormat="1" ht="26.25" thickBot="1" x14ac:dyDescent="0.2">
      <c r="A8" s="110" t="s">
        <v>404</v>
      </c>
      <c r="B8" s="111" t="s">
        <v>246</v>
      </c>
      <c r="C8" s="111" t="s">
        <v>405</v>
      </c>
      <c r="D8" s="111" t="s">
        <v>406</v>
      </c>
      <c r="E8" s="111" t="s">
        <v>407</v>
      </c>
      <c r="F8" s="111" t="s">
        <v>408</v>
      </c>
      <c r="G8" s="111" t="s">
        <v>409</v>
      </c>
      <c r="H8" s="111" t="s">
        <v>233</v>
      </c>
      <c r="I8" s="111" t="s">
        <v>232</v>
      </c>
      <c r="J8" s="111"/>
      <c r="K8" s="112" t="s">
        <v>410</v>
      </c>
    </row>
    <row r="9" spans="1:11" s="120" customFormat="1" x14ac:dyDescent="0.15">
      <c r="A9" s="114"/>
      <c r="B9" s="115"/>
      <c r="C9" s="116"/>
      <c r="D9" s="116"/>
      <c r="E9" s="116"/>
      <c r="F9" s="117"/>
      <c r="G9" s="117"/>
      <c r="H9" s="118"/>
      <c r="I9" s="115"/>
      <c r="J9" s="115"/>
      <c r="K9" s="119"/>
    </row>
    <row r="10" spans="1:11" s="120" customFormat="1" ht="25.5" x14ac:dyDescent="0.15">
      <c r="A10" s="114">
        <f>+AR!B5</f>
        <v>0</v>
      </c>
      <c r="B10" s="1208" t="s">
        <v>411</v>
      </c>
      <c r="C10" s="1209"/>
      <c r="D10" s="1206"/>
      <c r="E10" s="1210"/>
      <c r="F10" s="1211"/>
      <c r="G10" s="1211"/>
      <c r="H10" s="1205"/>
      <c r="I10" s="1212"/>
      <c r="J10" s="1212"/>
      <c r="K10" s="1213"/>
    </row>
    <row r="11" spans="1:11" s="120" customFormat="1" x14ac:dyDescent="0.15">
      <c r="A11" s="114"/>
      <c r="B11" s="1208" t="s">
        <v>1749</v>
      </c>
      <c r="C11" s="1209"/>
      <c r="D11" s="1206"/>
      <c r="E11" s="1210"/>
      <c r="F11" s="1211"/>
      <c r="G11" s="1211"/>
      <c r="H11" s="1205"/>
      <c r="I11" s="1212"/>
      <c r="J11" s="1212"/>
      <c r="K11" s="1213"/>
    </row>
    <row r="12" spans="1:11" s="120" customFormat="1" x14ac:dyDescent="0.15">
      <c r="A12" s="114"/>
      <c r="B12" s="1204" t="s">
        <v>1750</v>
      </c>
      <c r="C12" s="1209"/>
      <c r="D12" s="1206"/>
      <c r="E12" s="1210"/>
      <c r="F12" s="1211"/>
      <c r="G12" s="1211"/>
      <c r="H12" s="1205"/>
      <c r="I12" s="1212"/>
      <c r="J12" s="1212"/>
      <c r="K12" s="1213"/>
    </row>
    <row r="13" spans="1:11" s="120" customFormat="1" x14ac:dyDescent="0.15">
      <c r="A13" s="114"/>
      <c r="B13" s="1204" t="s">
        <v>413</v>
      </c>
      <c r="C13" s="1209"/>
      <c r="D13" s="1206"/>
      <c r="E13" s="1210"/>
      <c r="F13" s="1211"/>
      <c r="G13" s="1211"/>
      <c r="H13" s="1205"/>
      <c r="I13" s="1212"/>
      <c r="J13" s="1212"/>
      <c r="K13" s="1213"/>
    </row>
    <row r="14" spans="1:11" s="120" customFormat="1" x14ac:dyDescent="0.15">
      <c r="A14" s="114"/>
      <c r="B14" s="1204" t="s">
        <v>413</v>
      </c>
      <c r="C14" s="1206"/>
      <c r="D14" s="1206"/>
      <c r="E14" s="1210"/>
      <c r="F14" s="1211"/>
      <c r="G14" s="1211"/>
      <c r="H14" s="1205"/>
      <c r="I14" s="1212"/>
      <c r="J14" s="1212"/>
      <c r="K14" s="1213"/>
    </row>
    <row r="15" spans="1:11" s="120" customFormat="1" hidden="1" x14ac:dyDescent="0.15">
      <c r="A15" s="114"/>
      <c r="B15" s="1204"/>
      <c r="C15" s="121"/>
      <c r="D15" s="116"/>
      <c r="E15" s="116"/>
      <c r="F15" s="117"/>
      <c r="G15" s="117"/>
      <c r="H15" s="118"/>
      <c r="I15" s="115"/>
      <c r="J15" s="115"/>
      <c r="K15" s="119"/>
    </row>
    <row r="16" spans="1:11" s="120" customFormat="1" x14ac:dyDescent="0.15">
      <c r="A16" s="114"/>
      <c r="B16" s="1202"/>
      <c r="C16" s="121"/>
      <c r="D16" s="116"/>
      <c r="E16" s="116"/>
      <c r="F16" s="117"/>
      <c r="G16" s="117"/>
      <c r="H16" s="118"/>
      <c r="I16" s="115"/>
      <c r="J16" s="115"/>
      <c r="K16" s="119"/>
    </row>
    <row r="17" spans="1:11" s="120" customFormat="1" x14ac:dyDescent="0.15">
      <c r="A17" s="114"/>
      <c r="B17" s="1202"/>
      <c r="C17" s="121"/>
      <c r="D17" s="116"/>
      <c r="E17" s="116"/>
      <c r="F17" s="117"/>
      <c r="G17" s="117"/>
      <c r="H17" s="118"/>
      <c r="I17" s="1203"/>
      <c r="J17" s="1203"/>
      <c r="K17" s="119"/>
    </row>
    <row r="18" spans="1:11" s="120" customFormat="1" x14ac:dyDescent="0.15">
      <c r="A18" s="114"/>
      <c r="B18" s="115"/>
      <c r="C18" s="116"/>
      <c r="D18" s="116"/>
      <c r="E18" s="123" t="s">
        <v>414</v>
      </c>
      <c r="F18" s="124">
        <f>SUM(F10:F16)</f>
        <v>0</v>
      </c>
      <c r="G18" s="125">
        <f>SUM(G10:G16)</f>
        <v>0</v>
      </c>
      <c r="H18" s="118"/>
      <c r="I18" s="115"/>
      <c r="J18" s="115"/>
      <c r="K18" s="119"/>
    </row>
    <row r="19" spans="1:11" s="120" customFormat="1" x14ac:dyDescent="0.15">
      <c r="A19" s="114"/>
      <c r="B19" s="115"/>
      <c r="C19" s="116"/>
      <c r="D19" s="116"/>
      <c r="E19" s="116"/>
      <c r="F19" s="117"/>
      <c r="G19" s="117"/>
      <c r="H19" s="118"/>
      <c r="I19" s="115"/>
      <c r="J19" s="115"/>
      <c r="K19" s="119"/>
    </row>
    <row r="20" spans="1:11" s="120" customFormat="1" x14ac:dyDescent="0.15">
      <c r="A20" s="114" t="s">
        <v>1523</v>
      </c>
      <c r="B20" s="1208" t="s">
        <v>1751</v>
      </c>
      <c r="C20" s="1209"/>
      <c r="D20" s="1206"/>
      <c r="E20" s="1206"/>
      <c r="F20" s="1211"/>
      <c r="G20" s="1211"/>
      <c r="H20" s="1205"/>
      <c r="I20" s="1212"/>
      <c r="J20" s="1212"/>
      <c r="K20" s="1213"/>
    </row>
    <row r="21" spans="1:11" s="120" customFormat="1" x14ac:dyDescent="0.15">
      <c r="A21" s="114"/>
      <c r="B21" s="1208" t="s">
        <v>1750</v>
      </c>
      <c r="C21" s="1209"/>
      <c r="D21" s="1206"/>
      <c r="E21" s="1206"/>
      <c r="F21" s="1211"/>
      <c r="G21" s="1211"/>
      <c r="H21" s="1205"/>
      <c r="I21" s="1212"/>
      <c r="J21" s="1212"/>
      <c r="K21" s="1213"/>
    </row>
    <row r="22" spans="1:11" s="120" customFormat="1" x14ac:dyDescent="0.15">
      <c r="A22" s="114"/>
      <c r="B22" s="1208" t="s">
        <v>413</v>
      </c>
      <c r="C22" s="1209"/>
      <c r="D22" s="1206"/>
      <c r="E22" s="1206"/>
      <c r="F22" s="1211"/>
      <c r="G22" s="1211"/>
      <c r="H22" s="1205"/>
      <c r="I22" s="1212"/>
      <c r="J22" s="1212"/>
      <c r="K22" s="1213"/>
    </row>
    <row r="23" spans="1:11" s="120" customFormat="1" x14ac:dyDescent="0.15">
      <c r="A23" s="114"/>
      <c r="B23" s="122"/>
      <c r="C23" s="1209"/>
      <c r="D23" s="1206"/>
      <c r="E23" s="1206"/>
      <c r="F23" s="1211"/>
      <c r="G23" s="1211"/>
      <c r="H23" s="1205"/>
      <c r="I23" s="1212"/>
      <c r="J23" s="1212"/>
      <c r="K23" s="1213"/>
    </row>
    <row r="24" spans="1:11" s="120" customFormat="1" x14ac:dyDescent="0.15">
      <c r="A24" s="114"/>
      <c r="B24" s="122"/>
      <c r="C24" s="116"/>
      <c r="D24" s="116"/>
      <c r="E24" s="116"/>
      <c r="F24" s="117"/>
      <c r="G24" s="117"/>
      <c r="H24" s="118"/>
      <c r="I24" s="115"/>
      <c r="J24" s="115"/>
      <c r="K24" s="119"/>
    </row>
    <row r="25" spans="1:11" s="120" customFormat="1" x14ac:dyDescent="0.15">
      <c r="A25" s="114"/>
      <c r="B25" s="115"/>
      <c r="C25" s="116"/>
      <c r="D25" s="116"/>
      <c r="E25" s="123" t="s">
        <v>414</v>
      </c>
      <c r="F25" s="124">
        <f>SUM(F20:F24)</f>
        <v>0</v>
      </c>
      <c r="G25" s="125">
        <f>SUM(G20:G24)</f>
        <v>0</v>
      </c>
      <c r="H25" s="118"/>
      <c r="I25" s="115"/>
      <c r="J25" s="115"/>
      <c r="K25" s="119"/>
    </row>
    <row r="26" spans="1:11" s="120" customFormat="1" x14ac:dyDescent="0.15">
      <c r="A26" s="114"/>
      <c r="B26" s="115"/>
      <c r="C26" s="116"/>
      <c r="D26" s="116"/>
      <c r="E26" s="116"/>
      <c r="F26" s="117"/>
      <c r="G26" s="117"/>
      <c r="H26" s="118"/>
      <c r="I26" s="115"/>
      <c r="J26" s="115"/>
      <c r="K26" s="119"/>
    </row>
    <row r="27" spans="1:11" s="120" customFormat="1" ht="25.5" x14ac:dyDescent="0.15">
      <c r="A27" s="126" t="s">
        <v>1523</v>
      </c>
      <c r="B27" s="1208" t="s">
        <v>411</v>
      </c>
      <c r="C27" s="1209"/>
      <c r="D27" s="1206"/>
      <c r="E27" s="1206"/>
      <c r="F27" s="1211"/>
      <c r="G27" s="1211"/>
      <c r="H27" s="1205"/>
      <c r="I27" s="1212"/>
      <c r="J27" s="1214"/>
      <c r="K27" s="1213"/>
    </row>
    <row r="28" spans="1:11" s="120" customFormat="1" x14ac:dyDescent="0.15">
      <c r="A28" s="126"/>
      <c r="B28" s="1204" t="s">
        <v>412</v>
      </c>
      <c r="C28" s="1209"/>
      <c r="D28" s="1206"/>
      <c r="E28" s="1206"/>
      <c r="F28" s="1211"/>
      <c r="G28" s="1211"/>
      <c r="H28" s="1205"/>
      <c r="I28" s="1212"/>
      <c r="J28" s="1212"/>
      <c r="K28" s="1215"/>
    </row>
    <row r="29" spans="1:11" s="120" customFormat="1" x14ac:dyDescent="0.15">
      <c r="A29" s="127"/>
      <c r="B29" s="1204" t="s">
        <v>413</v>
      </c>
      <c r="C29" s="1209"/>
      <c r="D29" s="1206"/>
      <c r="E29" s="1206"/>
      <c r="F29" s="1211"/>
      <c r="G29" s="1211"/>
      <c r="H29" s="1205"/>
      <c r="I29" s="1212"/>
      <c r="J29" s="1204"/>
      <c r="K29" s="1216"/>
    </row>
    <row r="30" spans="1:11" s="120" customFormat="1" x14ac:dyDescent="0.15">
      <c r="A30" s="127"/>
      <c r="B30" s="122"/>
      <c r="C30" s="116"/>
      <c r="D30" s="116"/>
      <c r="E30" s="121"/>
      <c r="F30" s="117"/>
      <c r="G30" s="117"/>
      <c r="H30" s="118"/>
      <c r="I30" s="115"/>
      <c r="J30" s="3438"/>
      <c r="K30" s="3439"/>
    </row>
    <row r="31" spans="1:11" s="120" customFormat="1" x14ac:dyDescent="0.15">
      <c r="A31" s="127"/>
      <c r="B31" s="122"/>
      <c r="C31" s="115"/>
      <c r="D31" s="116"/>
      <c r="E31" s="123" t="s">
        <v>414</v>
      </c>
      <c r="F31" s="124">
        <f>SUM(F27:F30)</f>
        <v>0</v>
      </c>
      <c r="G31" s="125">
        <f>SUM(G27:G30)</f>
        <v>0</v>
      </c>
      <c r="H31" s="118"/>
      <c r="I31" s="115"/>
      <c r="J31" s="115"/>
      <c r="K31" s="119"/>
    </row>
    <row r="32" spans="1:11" s="120" customFormat="1" x14ac:dyDescent="0.15">
      <c r="A32" s="126"/>
      <c r="B32" s="122"/>
      <c r="C32" s="115"/>
      <c r="D32" s="116"/>
      <c r="E32" s="117"/>
      <c r="F32" s="117"/>
      <c r="G32" s="117"/>
      <c r="H32" s="118"/>
      <c r="I32" s="115"/>
      <c r="J32" s="115"/>
      <c r="K32" s="119"/>
    </row>
    <row r="33" spans="1:11" s="120" customFormat="1" ht="25.5" x14ac:dyDescent="0.15">
      <c r="A33" s="126" t="s">
        <v>1523</v>
      </c>
      <c r="B33" s="120" t="s">
        <v>411</v>
      </c>
      <c r="C33" s="121"/>
      <c r="F33" s="117">
        <v>0</v>
      </c>
      <c r="G33" s="117">
        <v>0</v>
      </c>
      <c r="I33" s="115"/>
      <c r="J33" s="3438"/>
      <c r="K33" s="3440"/>
    </row>
    <row r="34" spans="1:11" s="120" customFormat="1" x14ac:dyDescent="0.15">
      <c r="A34" s="126"/>
      <c r="B34" s="122" t="s">
        <v>412</v>
      </c>
      <c r="C34" s="121"/>
      <c r="D34" s="116"/>
      <c r="E34" s="116"/>
      <c r="F34" s="117">
        <v>0</v>
      </c>
      <c r="G34" s="117">
        <v>0</v>
      </c>
      <c r="H34" s="118"/>
      <c r="I34" s="115"/>
      <c r="J34" s="129"/>
      <c r="K34" s="130"/>
    </row>
    <row r="35" spans="1:11" s="120" customFormat="1" x14ac:dyDescent="0.15">
      <c r="A35" s="126"/>
      <c r="B35" s="122" t="s">
        <v>413</v>
      </c>
      <c r="C35" s="121"/>
      <c r="D35" s="116"/>
      <c r="E35" s="116"/>
      <c r="F35" s="117">
        <v>0</v>
      </c>
      <c r="G35" s="117">
        <v>0</v>
      </c>
      <c r="H35" s="118"/>
      <c r="I35" s="115"/>
      <c r="J35" s="129"/>
      <c r="K35" s="130"/>
    </row>
    <row r="36" spans="1:11" s="120" customFormat="1" x14ac:dyDescent="0.15">
      <c r="A36" s="126"/>
      <c r="B36" s="122"/>
      <c r="C36" s="116"/>
      <c r="D36" s="115"/>
      <c r="E36" s="116"/>
      <c r="F36" s="117"/>
      <c r="G36" s="117"/>
      <c r="H36" s="118"/>
      <c r="I36" s="115"/>
      <c r="J36" s="129"/>
      <c r="K36" s="130"/>
    </row>
    <row r="37" spans="1:11" s="120" customFormat="1" x14ac:dyDescent="0.15">
      <c r="A37" s="126"/>
      <c r="B37" s="122"/>
      <c r="C37" s="115"/>
      <c r="D37" s="115"/>
      <c r="E37" s="123" t="s">
        <v>414</v>
      </c>
      <c r="F37" s="124">
        <f>SUM(F33:F36)</f>
        <v>0</v>
      </c>
      <c r="G37" s="125">
        <f>SUM(G33:G36)</f>
        <v>0</v>
      </c>
      <c r="H37" s="118"/>
      <c r="I37" s="115"/>
      <c r="J37" s="115"/>
      <c r="K37" s="119"/>
    </row>
    <row r="38" spans="1:11" s="120" customFormat="1" x14ac:dyDescent="0.15">
      <c r="A38" s="127"/>
      <c r="B38" s="122"/>
      <c r="C38" s="115"/>
      <c r="D38" s="115"/>
      <c r="E38" s="116"/>
      <c r="F38" s="117"/>
      <c r="G38" s="117"/>
      <c r="H38" s="118"/>
      <c r="I38" s="115"/>
      <c r="J38" s="115"/>
      <c r="K38" s="119"/>
    </row>
    <row r="39" spans="1:11" s="120" customFormat="1" ht="25.5" x14ac:dyDescent="0.15">
      <c r="A39" s="126" t="s">
        <v>1523</v>
      </c>
      <c r="B39" s="120" t="s">
        <v>411</v>
      </c>
      <c r="C39" s="121"/>
      <c r="D39" s="116"/>
      <c r="E39" s="116"/>
      <c r="F39" s="117">
        <v>0</v>
      </c>
      <c r="G39" s="117">
        <v>0</v>
      </c>
      <c r="I39" s="115"/>
      <c r="J39" s="3438"/>
      <c r="K39" s="3440"/>
    </row>
    <row r="40" spans="1:11" s="120" customFormat="1" x14ac:dyDescent="0.15">
      <c r="A40" s="126"/>
      <c r="B40" s="122" t="s">
        <v>412</v>
      </c>
      <c r="C40" s="121"/>
      <c r="D40" s="116"/>
      <c r="E40" s="116"/>
      <c r="F40" s="117">
        <v>0</v>
      </c>
      <c r="G40" s="117">
        <v>0</v>
      </c>
      <c r="H40" s="118"/>
      <c r="I40" s="115"/>
      <c r="J40" s="122"/>
      <c r="K40" s="128"/>
    </row>
    <row r="41" spans="1:11" s="120" customFormat="1" x14ac:dyDescent="0.15">
      <c r="A41" s="126"/>
      <c r="B41" s="122" t="s">
        <v>413</v>
      </c>
      <c r="C41" s="121"/>
      <c r="D41" s="116"/>
      <c r="E41" s="116"/>
      <c r="F41" s="117">
        <v>0</v>
      </c>
      <c r="G41" s="117">
        <v>0</v>
      </c>
      <c r="H41" s="118"/>
      <c r="I41" s="115"/>
      <c r="J41" s="122"/>
      <c r="K41" s="128"/>
    </row>
    <row r="42" spans="1:11" s="120" customFormat="1" x14ac:dyDescent="0.15">
      <c r="A42" s="127"/>
      <c r="B42" s="122"/>
      <c r="C42" s="115"/>
      <c r="D42" s="115"/>
      <c r="E42" s="116"/>
      <c r="F42" s="131"/>
      <c r="G42" s="117"/>
      <c r="H42" s="118"/>
      <c r="I42" s="115"/>
      <c r="J42" s="115"/>
      <c r="K42" s="119"/>
    </row>
    <row r="43" spans="1:11" x14ac:dyDescent="0.2">
      <c r="A43" s="126"/>
      <c r="B43" s="122"/>
      <c r="C43" s="115"/>
      <c r="D43" s="115"/>
      <c r="E43" s="123" t="s">
        <v>414</v>
      </c>
      <c r="F43" s="124">
        <f>SUM(F39:F42)</f>
        <v>0</v>
      </c>
      <c r="G43" s="125">
        <f>SUM(G39:G42)</f>
        <v>0</v>
      </c>
      <c r="H43" s="118"/>
      <c r="I43" s="115"/>
      <c r="J43" s="115"/>
      <c r="K43" s="119"/>
    </row>
    <row r="44" spans="1:11" x14ac:dyDescent="0.2">
      <c r="A44" s="126"/>
      <c r="B44" s="122"/>
      <c r="C44" s="115"/>
      <c r="D44" s="115"/>
      <c r="E44" s="131"/>
      <c r="F44" s="131"/>
      <c r="G44" s="131"/>
      <c r="H44" s="118"/>
      <c r="I44" s="115"/>
      <c r="J44" s="115"/>
      <c r="K44" s="119"/>
    </row>
    <row r="45" spans="1:11" ht="25.5" x14ac:dyDescent="0.2">
      <c r="A45" s="126" t="s">
        <v>1523</v>
      </c>
      <c r="B45" s="120" t="s">
        <v>411</v>
      </c>
      <c r="C45" s="121"/>
      <c r="D45" s="116"/>
      <c r="E45" s="116"/>
      <c r="F45" s="117">
        <v>0</v>
      </c>
      <c r="G45" s="117">
        <v>0</v>
      </c>
      <c r="H45" s="118"/>
      <c r="I45" s="115"/>
      <c r="J45" s="115"/>
      <c r="K45" s="119"/>
    </row>
    <row r="46" spans="1:11" x14ac:dyDescent="0.2">
      <c r="A46" s="126"/>
      <c r="B46" s="122" t="s">
        <v>412</v>
      </c>
      <c r="C46" s="121"/>
      <c r="D46" s="116"/>
      <c r="E46" s="116"/>
      <c r="F46" s="117">
        <v>0</v>
      </c>
      <c r="G46" s="117">
        <v>0</v>
      </c>
      <c r="H46" s="118"/>
      <c r="I46" s="115"/>
      <c r="J46" s="115"/>
      <c r="K46" s="119"/>
    </row>
    <row r="47" spans="1:11" x14ac:dyDescent="0.2">
      <c r="A47" s="126"/>
      <c r="B47" s="122" t="s">
        <v>413</v>
      </c>
      <c r="C47" s="121"/>
      <c r="D47" s="116"/>
      <c r="E47" s="116"/>
      <c r="F47" s="117">
        <v>0</v>
      </c>
      <c r="G47" s="117">
        <v>0</v>
      </c>
      <c r="H47" s="118"/>
      <c r="I47" s="115"/>
      <c r="J47" s="115"/>
      <c r="K47" s="119"/>
    </row>
    <row r="48" spans="1:11" s="120" customFormat="1" x14ac:dyDescent="0.15">
      <c r="A48" s="126"/>
      <c r="B48" s="122"/>
      <c r="C48" s="116"/>
      <c r="D48" s="115"/>
      <c r="E48" s="116"/>
      <c r="F48" s="117"/>
      <c r="G48" s="117"/>
      <c r="H48" s="118"/>
      <c r="I48" s="115"/>
      <c r="J48" s="115"/>
      <c r="K48" s="119"/>
    </row>
    <row r="49" spans="1:11" x14ac:dyDescent="0.2">
      <c r="A49" s="126"/>
      <c r="B49" s="122"/>
      <c r="C49" s="115"/>
      <c r="D49" s="115"/>
      <c r="E49" s="123" t="s">
        <v>414</v>
      </c>
      <c r="F49" s="124">
        <f>SUM(F45:F48)</f>
        <v>0</v>
      </c>
      <c r="G49" s="125">
        <f>SUM(G45:G48)</f>
        <v>0</v>
      </c>
      <c r="H49" s="118"/>
      <c r="I49" s="115"/>
      <c r="J49" s="115"/>
      <c r="K49" s="119"/>
    </row>
    <row r="50" spans="1:11" x14ac:dyDescent="0.2">
      <c r="A50" s="126"/>
      <c r="B50" s="122"/>
      <c r="C50" s="115"/>
      <c r="D50" s="115"/>
      <c r="E50" s="131"/>
      <c r="F50" s="131"/>
      <c r="G50" s="131"/>
      <c r="H50" s="118"/>
      <c r="I50" s="115"/>
      <c r="J50" s="115"/>
      <c r="K50" s="119"/>
    </row>
    <row r="51" spans="1:11" ht="25.5" x14ac:dyDescent="0.2">
      <c r="A51" s="126" t="s">
        <v>1523</v>
      </c>
      <c r="B51" s="120" t="s">
        <v>411</v>
      </c>
      <c r="C51" s="121"/>
      <c r="D51" s="94"/>
      <c r="E51" s="94"/>
      <c r="F51" s="117">
        <v>0</v>
      </c>
      <c r="G51" s="117">
        <v>0</v>
      </c>
      <c r="H51" s="94"/>
      <c r="I51" s="115"/>
      <c r="J51" s="115"/>
      <c r="K51" s="119"/>
    </row>
    <row r="52" spans="1:11" x14ac:dyDescent="0.2">
      <c r="A52" s="126"/>
      <c r="B52" s="122" t="s">
        <v>412</v>
      </c>
      <c r="C52" s="121"/>
      <c r="D52" s="116"/>
      <c r="E52" s="116"/>
      <c r="F52" s="117">
        <v>0</v>
      </c>
      <c r="G52" s="117">
        <v>0</v>
      </c>
      <c r="H52" s="118"/>
      <c r="I52" s="115"/>
      <c r="J52" s="115"/>
      <c r="K52" s="119"/>
    </row>
    <row r="53" spans="1:11" x14ac:dyDescent="0.2">
      <c r="A53" s="126"/>
      <c r="B53" s="122" t="s">
        <v>413</v>
      </c>
      <c r="C53" s="121"/>
      <c r="D53" s="116"/>
      <c r="E53" s="116"/>
      <c r="F53" s="117">
        <v>0</v>
      </c>
      <c r="G53" s="117">
        <v>0</v>
      </c>
      <c r="H53" s="118"/>
      <c r="I53" s="115"/>
      <c r="J53" s="115"/>
      <c r="K53" s="119"/>
    </row>
    <row r="54" spans="1:11" s="120" customFormat="1" x14ac:dyDescent="0.15">
      <c r="A54" s="126"/>
      <c r="B54" s="115"/>
      <c r="C54" s="115"/>
      <c r="D54" s="115"/>
      <c r="E54" s="117"/>
      <c r="F54" s="117"/>
      <c r="G54" s="117"/>
      <c r="H54" s="118"/>
      <c r="I54" s="115"/>
      <c r="J54" s="115"/>
      <c r="K54" s="119"/>
    </row>
    <row r="55" spans="1:11" s="120" customFormat="1" x14ac:dyDescent="0.15">
      <c r="A55" s="126"/>
      <c r="B55" s="115"/>
      <c r="C55" s="115"/>
      <c r="D55" s="116"/>
      <c r="E55" s="123" t="s">
        <v>414</v>
      </c>
      <c r="F55" s="124">
        <f>SUM(F51:F54)</f>
        <v>0</v>
      </c>
      <c r="G55" s="125">
        <f>SUM(G51:G54)</f>
        <v>0</v>
      </c>
      <c r="H55" s="118"/>
      <c r="I55" s="115"/>
      <c r="J55" s="115"/>
      <c r="K55" s="119"/>
    </row>
    <row r="56" spans="1:11" s="120" customFormat="1" x14ac:dyDescent="0.15">
      <c r="A56" s="126"/>
      <c r="B56" s="115"/>
      <c r="C56" s="115"/>
      <c r="D56" s="116"/>
      <c r="E56" s="131"/>
      <c r="F56" s="131"/>
      <c r="G56" s="131"/>
      <c r="H56" s="118"/>
      <c r="I56" s="115"/>
      <c r="J56" s="115"/>
      <c r="K56" s="119"/>
    </row>
    <row r="57" spans="1:11" s="120" customFormat="1" ht="25.5" x14ac:dyDescent="0.15">
      <c r="A57" s="126" t="s">
        <v>1523</v>
      </c>
      <c r="B57" s="120" t="s">
        <v>411</v>
      </c>
      <c r="C57" s="121"/>
      <c r="D57" s="116"/>
      <c r="E57" s="116"/>
      <c r="F57" s="117">
        <v>0</v>
      </c>
      <c r="G57" s="117">
        <v>0</v>
      </c>
      <c r="H57" s="118"/>
      <c r="I57" s="115"/>
      <c r="J57" s="3438"/>
      <c r="K57" s="3440"/>
    </row>
    <row r="58" spans="1:11" s="120" customFormat="1" x14ac:dyDescent="0.15">
      <c r="A58" s="126"/>
      <c r="B58" s="122" t="s">
        <v>412</v>
      </c>
      <c r="C58" s="121"/>
      <c r="D58" s="116"/>
      <c r="E58" s="116"/>
      <c r="F58" s="117">
        <v>0</v>
      </c>
      <c r="G58" s="117">
        <v>0</v>
      </c>
      <c r="H58" s="118"/>
      <c r="I58" s="115"/>
      <c r="J58" s="122"/>
      <c r="K58" s="128"/>
    </row>
    <row r="59" spans="1:11" s="120" customFormat="1" x14ac:dyDescent="0.15">
      <c r="A59" s="126"/>
      <c r="B59" s="122" t="s">
        <v>413</v>
      </c>
      <c r="C59" s="121"/>
      <c r="D59" s="116"/>
      <c r="E59" s="116"/>
      <c r="F59" s="117">
        <v>0</v>
      </c>
      <c r="G59" s="117">
        <v>0</v>
      </c>
      <c r="H59" s="118"/>
      <c r="I59" s="115"/>
      <c r="J59" s="122"/>
      <c r="K59" s="128"/>
    </row>
    <row r="60" spans="1:11" s="120" customFormat="1" x14ac:dyDescent="0.15">
      <c r="A60" s="127"/>
      <c r="B60" s="122"/>
      <c r="C60" s="116"/>
      <c r="D60" s="115"/>
      <c r="E60" s="131"/>
      <c r="F60" s="117"/>
      <c r="G60" s="117"/>
      <c r="H60" s="118"/>
      <c r="I60" s="115"/>
      <c r="J60" s="115"/>
      <c r="K60" s="119"/>
    </row>
    <row r="61" spans="1:11" x14ac:dyDescent="0.2">
      <c r="A61" s="127"/>
      <c r="B61" s="115"/>
      <c r="C61" s="115"/>
      <c r="D61" s="115"/>
      <c r="E61" s="123" t="s">
        <v>414</v>
      </c>
      <c r="F61" s="124">
        <f>SUM(F57:F60)</f>
        <v>0</v>
      </c>
      <c r="G61" s="125">
        <f>SUM(G57:G60)</f>
        <v>0</v>
      </c>
      <c r="H61" s="118"/>
      <c r="I61" s="115"/>
      <c r="J61" s="115"/>
      <c r="K61" s="119"/>
    </row>
    <row r="62" spans="1:11" s="120" customFormat="1" x14ac:dyDescent="0.15">
      <c r="A62" s="126"/>
      <c r="B62" s="115"/>
      <c r="C62" s="115"/>
      <c r="D62" s="116"/>
      <c r="E62" s="131"/>
      <c r="F62" s="131"/>
      <c r="G62" s="131"/>
      <c r="H62" s="118"/>
      <c r="I62" s="115"/>
      <c r="J62" s="115"/>
      <c r="K62" s="119"/>
    </row>
    <row r="63" spans="1:11" x14ac:dyDescent="0.2">
      <c r="A63" s="126"/>
      <c r="B63" s="132"/>
      <c r="C63" s="132"/>
      <c r="D63" s="133"/>
      <c r="E63" s="134" t="s">
        <v>186</v>
      </c>
      <c r="F63" s="135">
        <f>+F18+F25+F31+F37+F43+F49+F55+F61</f>
        <v>0</v>
      </c>
      <c r="G63" s="136">
        <f>+G18+G25+G31+G37+G43+G49+G55+G61</f>
        <v>0</v>
      </c>
      <c r="H63" s="137"/>
      <c r="I63" s="132"/>
      <c r="J63" s="132"/>
      <c r="K63" s="138"/>
    </row>
    <row r="64" spans="1:11" ht="13.5" thickBot="1" x14ac:dyDescent="0.25">
      <c r="A64" s="102"/>
      <c r="B64" s="103"/>
      <c r="C64" s="103"/>
      <c r="D64" s="103"/>
      <c r="E64" s="103"/>
      <c r="F64" s="139"/>
      <c r="G64" s="139"/>
      <c r="H64" s="140"/>
      <c r="I64" s="103"/>
      <c r="J64" s="103"/>
      <c r="K64" s="101"/>
    </row>
    <row r="65" spans="1:11" ht="14.25" thickTop="1" thickBot="1" x14ac:dyDescent="0.25">
      <c r="A65" s="141"/>
      <c r="B65" s="142"/>
      <c r="C65" s="142"/>
      <c r="D65" s="142"/>
      <c r="E65" s="142"/>
      <c r="F65" s="142"/>
      <c r="G65" s="142"/>
      <c r="H65" s="142"/>
      <c r="I65" s="142"/>
      <c r="J65" s="142"/>
      <c r="K65" s="143"/>
    </row>
    <row r="66" spans="1:11" s="147" customFormat="1" ht="13.5" thickTop="1" x14ac:dyDescent="0.2">
      <c r="A66" s="144"/>
      <c r="B66" s="145"/>
      <c r="C66" s="145"/>
      <c r="D66" s="145"/>
      <c r="E66" s="145"/>
      <c r="F66" s="145"/>
      <c r="G66" s="145"/>
      <c r="H66" s="145"/>
      <c r="I66" s="145"/>
      <c r="J66" s="145"/>
      <c r="K66" s="146"/>
    </row>
    <row r="67" spans="1:11" x14ac:dyDescent="0.2">
      <c r="A67" s="104" t="s">
        <v>415</v>
      </c>
      <c r="B67" s="148"/>
      <c r="C67" s="148"/>
      <c r="D67" s="148"/>
      <c r="E67" s="103"/>
      <c r="F67" s="103"/>
      <c r="G67" s="103"/>
      <c r="H67" s="103"/>
      <c r="I67" s="103"/>
      <c r="J67" s="103"/>
      <c r="K67" s="101"/>
    </row>
    <row r="68" spans="1:11" x14ac:dyDescent="0.2">
      <c r="A68" s="102"/>
      <c r="B68" s="103"/>
      <c r="C68" s="103"/>
      <c r="D68" s="103"/>
      <c r="E68" s="103"/>
      <c r="F68" s="149" t="s">
        <v>303</v>
      </c>
      <c r="G68" s="103"/>
      <c r="H68" s="103"/>
      <c r="I68" s="103"/>
      <c r="J68" s="103"/>
      <c r="K68" s="101"/>
    </row>
    <row r="69" spans="1:11" x14ac:dyDescent="0.2">
      <c r="A69" s="150" t="s">
        <v>404</v>
      </c>
      <c r="B69" s="151"/>
      <c r="C69" s="151"/>
      <c r="D69" s="151"/>
      <c r="E69" s="152" t="s">
        <v>303</v>
      </c>
      <c r="F69" s="151" t="s">
        <v>169</v>
      </c>
      <c r="G69" s="151" t="s">
        <v>170</v>
      </c>
      <c r="H69" s="151"/>
      <c r="I69" s="151" t="s">
        <v>410</v>
      </c>
      <c r="J69" s="151"/>
      <c r="K69" s="153" t="s">
        <v>303</v>
      </c>
    </row>
    <row r="70" spans="1:11" x14ac:dyDescent="0.2">
      <c r="A70" s="154"/>
      <c r="B70" s="103"/>
      <c r="C70" s="155"/>
      <c r="D70" s="155"/>
      <c r="E70" s="156"/>
      <c r="F70"/>
      <c r="G70" s="157"/>
      <c r="H70" s="155"/>
      <c r="I70" s="155"/>
      <c r="J70" s="155"/>
      <c r="K70" s="158"/>
    </row>
    <row r="71" spans="1:11" x14ac:dyDescent="0.2">
      <c r="A71" s="154">
        <f>+A10</f>
        <v>0</v>
      </c>
      <c r="B71" s="103" t="s">
        <v>416</v>
      </c>
      <c r="C71" s="155"/>
      <c r="D71" s="155"/>
      <c r="E71" s="156"/>
      <c r="F71" s="157">
        <v>0</v>
      </c>
      <c r="G71" s="157">
        <v>0</v>
      </c>
      <c r="H71" s="155"/>
      <c r="I71" s="155"/>
      <c r="J71" s="155"/>
      <c r="K71" s="158"/>
    </row>
    <row r="72" spans="1:11" x14ac:dyDescent="0.2">
      <c r="A72" s="154"/>
      <c r="B72" s="103" t="s">
        <v>417</v>
      </c>
      <c r="C72" s="155"/>
      <c r="D72" s="155"/>
      <c r="E72" s="156"/>
      <c r="F72" s="157">
        <v>0</v>
      </c>
      <c r="G72" s="1217">
        <v>0</v>
      </c>
      <c r="H72" s="155"/>
      <c r="I72" s="155"/>
      <c r="J72" s="155"/>
      <c r="K72" s="158"/>
    </row>
    <row r="73" spans="1:11" x14ac:dyDescent="0.2">
      <c r="A73" s="154"/>
      <c r="B73" s="103" t="s">
        <v>418</v>
      </c>
      <c r="C73" s="103"/>
      <c r="D73" s="103"/>
      <c r="E73" s="103"/>
      <c r="F73" s="157">
        <v>0</v>
      </c>
      <c r="G73" s="157">
        <v>0</v>
      </c>
      <c r="H73" s="147"/>
      <c r="I73" s="103"/>
      <c r="J73" s="103"/>
      <c r="K73" s="101"/>
    </row>
    <row r="74" spans="1:11" x14ac:dyDescent="0.2">
      <c r="A74" s="154"/>
      <c r="B74" s="155"/>
      <c r="C74" s="155"/>
      <c r="D74" s="155"/>
      <c r="E74" s="159" t="s">
        <v>414</v>
      </c>
      <c r="F74" s="160">
        <f>SUM(F70:F72)</f>
        <v>0</v>
      </c>
      <c r="G74" s="160">
        <f>SUM(G70:G72)</f>
        <v>0</v>
      </c>
      <c r="H74" s="155"/>
      <c r="I74" s="155"/>
      <c r="J74" s="155"/>
      <c r="K74" s="158"/>
    </row>
    <row r="75" spans="1:11" x14ac:dyDescent="0.2">
      <c r="A75" s="154"/>
      <c r="B75" s="155"/>
      <c r="C75" s="155"/>
      <c r="D75" s="155"/>
      <c r="E75" s="159"/>
      <c r="F75" s="160"/>
      <c r="G75" s="160"/>
      <c r="H75" s="155"/>
      <c r="I75" s="155"/>
      <c r="J75" s="155"/>
      <c r="K75" s="158"/>
    </row>
    <row r="76" spans="1:11" x14ac:dyDescent="0.2">
      <c r="A76" s="154" t="str">
        <f>+A20</f>
        <v>xxxx</v>
      </c>
      <c r="B76" s="103" t="s">
        <v>416</v>
      </c>
      <c r="C76" s="103"/>
      <c r="D76" s="103"/>
      <c r="E76" s="103"/>
      <c r="F76" s="157">
        <v>0</v>
      </c>
      <c r="G76" s="157">
        <v>0</v>
      </c>
      <c r="H76" s="147"/>
      <c r="I76" s="103"/>
      <c r="J76" s="103"/>
      <c r="K76" s="101"/>
    </row>
    <row r="77" spans="1:11" x14ac:dyDescent="0.2">
      <c r="A77" s="154"/>
      <c r="B77" s="103" t="s">
        <v>417</v>
      </c>
      <c r="C77" s="103"/>
      <c r="D77" s="103"/>
      <c r="E77" s="103"/>
      <c r="F77" s="1217">
        <v>0</v>
      </c>
      <c r="G77" s="1217">
        <v>0</v>
      </c>
      <c r="H77" s="147"/>
      <c r="I77" s="103"/>
      <c r="J77" s="103"/>
      <c r="K77" s="101"/>
    </row>
    <row r="78" spans="1:11" x14ac:dyDescent="0.2">
      <c r="A78" s="154"/>
      <c r="B78" s="103" t="s">
        <v>418</v>
      </c>
      <c r="C78" s="103"/>
      <c r="D78" s="103"/>
      <c r="E78" s="103"/>
      <c r="F78" s="157">
        <v>0</v>
      </c>
      <c r="G78" s="157">
        <v>0</v>
      </c>
      <c r="H78" s="147"/>
      <c r="I78" s="103"/>
      <c r="J78" s="103"/>
      <c r="K78" s="101"/>
    </row>
    <row r="79" spans="1:11" x14ac:dyDescent="0.2">
      <c r="A79" s="154"/>
      <c r="B79" s="103"/>
      <c r="C79" s="103"/>
      <c r="D79" s="103"/>
      <c r="E79" s="159" t="s">
        <v>414</v>
      </c>
      <c r="F79" s="161">
        <f>SUM(F76:F77)</f>
        <v>0</v>
      </c>
      <c r="G79" s="161">
        <f>SUM(G76:G77)</f>
        <v>0</v>
      </c>
      <c r="H79" s="147"/>
      <c r="I79" s="103"/>
      <c r="J79" s="103"/>
      <c r="K79" s="101"/>
    </row>
    <row r="80" spans="1:11" x14ac:dyDescent="0.2">
      <c r="A80" s="154"/>
      <c r="B80" s="103"/>
      <c r="C80" s="103"/>
      <c r="D80" s="103"/>
      <c r="E80" s="159"/>
      <c r="F80" s="161"/>
      <c r="G80" s="161"/>
      <c r="H80" s="147"/>
      <c r="I80" s="103"/>
      <c r="J80" s="103"/>
      <c r="K80" s="101"/>
    </row>
    <row r="81" spans="1:11" x14ac:dyDescent="0.2">
      <c r="A81" s="154" t="str">
        <f>+A27</f>
        <v>xxxx</v>
      </c>
      <c r="B81" s="103" t="s">
        <v>416</v>
      </c>
      <c r="C81" s="103"/>
      <c r="D81" s="103"/>
      <c r="E81" s="103"/>
      <c r="F81" s="157">
        <v>0</v>
      </c>
      <c r="G81" s="157">
        <v>0</v>
      </c>
      <c r="H81" s="147"/>
      <c r="I81" s="103"/>
      <c r="J81" s="103"/>
      <c r="K81" s="101"/>
    </row>
    <row r="82" spans="1:11" x14ac:dyDescent="0.2">
      <c r="A82" s="154"/>
      <c r="B82" s="103" t="s">
        <v>417</v>
      </c>
      <c r="C82" s="103"/>
      <c r="D82" s="103"/>
      <c r="E82" s="103"/>
      <c r="F82" s="1217">
        <v>0</v>
      </c>
      <c r="G82" s="1217">
        <v>0</v>
      </c>
      <c r="H82" s="147"/>
      <c r="I82" s="103"/>
      <c r="J82" s="103"/>
      <c r="K82" s="101"/>
    </row>
    <row r="83" spans="1:11" x14ac:dyDescent="0.2">
      <c r="A83" s="154"/>
      <c r="B83" s="103" t="s">
        <v>418</v>
      </c>
      <c r="C83" s="103"/>
      <c r="D83" s="103"/>
      <c r="E83" s="103"/>
      <c r="F83" s="157">
        <v>0</v>
      </c>
      <c r="G83" s="157">
        <v>0</v>
      </c>
      <c r="H83" s="147"/>
      <c r="I83" s="103"/>
      <c r="J83" s="103"/>
      <c r="K83" s="101"/>
    </row>
    <row r="84" spans="1:11" x14ac:dyDescent="0.2">
      <c r="A84" s="154"/>
      <c r="B84" s="103"/>
      <c r="C84" s="103"/>
      <c r="D84" s="103"/>
      <c r="E84" s="159" t="s">
        <v>414</v>
      </c>
      <c r="F84" s="161">
        <f>SUM(F81:F82)</f>
        <v>0</v>
      </c>
      <c r="G84" s="161">
        <f>SUM(G81:G82)</f>
        <v>0</v>
      </c>
      <c r="H84" s="147"/>
      <c r="I84" s="103"/>
      <c r="J84" s="103"/>
      <c r="K84" s="101"/>
    </row>
    <row r="85" spans="1:11" x14ac:dyDescent="0.2">
      <c r="A85" s="154"/>
      <c r="B85" s="103"/>
      <c r="C85" s="103"/>
      <c r="D85" s="103"/>
      <c r="E85" s="159"/>
      <c r="F85" s="161"/>
      <c r="G85" s="161"/>
      <c r="H85" s="147"/>
      <c r="I85" s="103"/>
      <c r="J85" s="103"/>
      <c r="K85" s="101"/>
    </row>
    <row r="86" spans="1:11" x14ac:dyDescent="0.2">
      <c r="A86" s="154" t="str">
        <f>+A33</f>
        <v>xxxx</v>
      </c>
      <c r="B86" s="103" t="s">
        <v>416</v>
      </c>
      <c r="C86" s="103"/>
      <c r="D86" s="103"/>
      <c r="E86" s="103"/>
      <c r="F86" s="157">
        <v>0</v>
      </c>
      <c r="G86" s="157">
        <v>0</v>
      </c>
      <c r="H86" s="147"/>
      <c r="I86" s="103"/>
      <c r="J86" s="103"/>
      <c r="K86" s="101"/>
    </row>
    <row r="87" spans="1:11" x14ac:dyDescent="0.2">
      <c r="A87" s="154"/>
      <c r="B87" s="103" t="s">
        <v>417</v>
      </c>
      <c r="C87" s="103"/>
      <c r="D87" s="103"/>
      <c r="E87" s="103"/>
      <c r="F87" s="157">
        <v>0</v>
      </c>
      <c r="G87" s="157">
        <v>0</v>
      </c>
      <c r="H87" s="147"/>
      <c r="I87" s="103"/>
      <c r="J87" s="103"/>
      <c r="K87" s="101"/>
    </row>
    <row r="88" spans="1:11" x14ac:dyDescent="0.2">
      <c r="A88" s="154"/>
      <c r="B88" s="103" t="s">
        <v>418</v>
      </c>
      <c r="C88" s="103"/>
      <c r="D88" s="103"/>
      <c r="E88" s="103"/>
      <c r="F88" s="157">
        <v>0</v>
      </c>
      <c r="G88" s="157">
        <v>0</v>
      </c>
      <c r="H88" s="147"/>
      <c r="I88" s="103"/>
      <c r="J88" s="103"/>
      <c r="K88" s="101"/>
    </row>
    <row r="89" spans="1:11" x14ac:dyDescent="0.2">
      <c r="A89" s="154"/>
      <c r="B89" s="103"/>
      <c r="C89" s="103"/>
      <c r="D89" s="103"/>
      <c r="E89" s="159" t="s">
        <v>414</v>
      </c>
      <c r="F89" s="161">
        <f>SUM(F86:F88)</f>
        <v>0</v>
      </c>
      <c r="G89" s="161">
        <f>SUM(G86:G88)</f>
        <v>0</v>
      </c>
      <c r="H89" s="147"/>
      <c r="I89" s="103"/>
      <c r="J89" s="103"/>
      <c r="K89" s="101"/>
    </row>
    <row r="90" spans="1:11" x14ac:dyDescent="0.2">
      <c r="A90" s="154"/>
      <c r="B90" s="103"/>
      <c r="C90" s="103"/>
      <c r="D90" s="103"/>
      <c r="E90" s="159"/>
      <c r="F90" s="161"/>
      <c r="G90" s="161"/>
      <c r="H90" s="147"/>
      <c r="I90" s="103"/>
      <c r="J90" s="103"/>
      <c r="K90" s="101"/>
    </row>
    <row r="91" spans="1:11" x14ac:dyDescent="0.2">
      <c r="A91" s="154" t="str">
        <f>+A39</f>
        <v>xxxx</v>
      </c>
      <c r="B91" s="103" t="s">
        <v>416</v>
      </c>
      <c r="C91" s="103"/>
      <c r="D91" s="103"/>
      <c r="E91" s="103"/>
      <c r="F91" s="157">
        <v>0</v>
      </c>
      <c r="G91" s="157">
        <v>0</v>
      </c>
      <c r="H91" s="147"/>
      <c r="I91" s="103"/>
      <c r="J91" s="103"/>
      <c r="K91" s="101"/>
    </row>
    <row r="92" spans="1:11" x14ac:dyDescent="0.2">
      <c r="A92" s="154"/>
      <c r="B92" s="103" t="s">
        <v>417</v>
      </c>
      <c r="C92" s="103"/>
      <c r="D92" s="103"/>
      <c r="E92" s="103"/>
      <c r="F92" s="157">
        <v>0</v>
      </c>
      <c r="G92" s="157">
        <v>0</v>
      </c>
      <c r="H92" s="147"/>
      <c r="I92" s="103"/>
      <c r="J92" s="103"/>
      <c r="K92" s="101"/>
    </row>
    <row r="93" spans="1:11" x14ac:dyDescent="0.2">
      <c r="A93" s="154"/>
      <c r="B93" s="103" t="s">
        <v>418</v>
      </c>
      <c r="C93" s="103"/>
      <c r="D93" s="103"/>
      <c r="E93" s="103"/>
      <c r="F93" s="157">
        <v>0</v>
      </c>
      <c r="G93" s="157">
        <v>0</v>
      </c>
      <c r="H93" s="147"/>
      <c r="I93" s="103"/>
      <c r="J93" s="103"/>
      <c r="K93" s="101"/>
    </row>
    <row r="94" spans="1:11" x14ac:dyDescent="0.2">
      <c r="A94" s="154"/>
      <c r="B94" s="103"/>
      <c r="C94" s="103"/>
      <c r="D94" s="103"/>
      <c r="E94" s="159" t="s">
        <v>414</v>
      </c>
      <c r="F94" s="161">
        <f>SUM(F91:F92)</f>
        <v>0</v>
      </c>
      <c r="G94" s="161">
        <f>SUM(G91:G92)</f>
        <v>0</v>
      </c>
      <c r="H94" s="147"/>
      <c r="I94" s="103"/>
      <c r="J94" s="103"/>
      <c r="K94" s="101"/>
    </row>
    <row r="95" spans="1:11" x14ac:dyDescent="0.2">
      <c r="A95" s="154"/>
      <c r="B95" s="103"/>
      <c r="C95" s="103"/>
      <c r="D95" s="103"/>
      <c r="E95" s="159"/>
      <c r="F95" s="161"/>
      <c r="G95" s="161"/>
      <c r="H95" s="147"/>
      <c r="I95" s="103"/>
      <c r="J95" s="103"/>
      <c r="K95" s="101"/>
    </row>
    <row r="96" spans="1:11" x14ac:dyDescent="0.2">
      <c r="A96" s="154" t="str">
        <f>+A45</f>
        <v>xxxx</v>
      </c>
      <c r="B96" s="103" t="s">
        <v>416</v>
      </c>
      <c r="C96" s="103"/>
      <c r="D96" s="103"/>
      <c r="E96" s="103"/>
      <c r="F96" s="157">
        <v>0</v>
      </c>
      <c r="G96" s="157">
        <v>0</v>
      </c>
      <c r="H96" s="147"/>
      <c r="I96" s="103"/>
      <c r="J96" s="103"/>
      <c r="K96" s="101"/>
    </row>
    <row r="97" spans="1:11" x14ac:dyDescent="0.2">
      <c r="A97" s="154"/>
      <c r="B97" s="103" t="s">
        <v>417</v>
      </c>
      <c r="C97" s="103"/>
      <c r="D97" s="103"/>
      <c r="E97" s="103"/>
      <c r="F97" s="1217">
        <v>0</v>
      </c>
      <c r="G97" s="1217">
        <v>0</v>
      </c>
      <c r="H97" s="147"/>
      <c r="I97" s="103"/>
      <c r="J97" s="103"/>
      <c r="K97" s="101"/>
    </row>
    <row r="98" spans="1:11" x14ac:dyDescent="0.2">
      <c r="A98" s="154"/>
      <c r="B98" s="103" t="s">
        <v>418</v>
      </c>
      <c r="C98" s="103"/>
      <c r="D98" s="103"/>
      <c r="E98" s="103"/>
      <c r="F98" s="157">
        <v>0</v>
      </c>
      <c r="G98" s="157">
        <v>0</v>
      </c>
      <c r="H98" s="147"/>
      <c r="I98" s="103"/>
      <c r="J98" s="103"/>
      <c r="K98" s="101"/>
    </row>
    <row r="99" spans="1:11" x14ac:dyDescent="0.2">
      <c r="A99" s="154"/>
      <c r="B99" s="103"/>
      <c r="C99" s="103"/>
      <c r="D99" s="103"/>
      <c r="E99" s="159" t="s">
        <v>414</v>
      </c>
      <c r="F99" s="161">
        <f>SUM(F96:F97)</f>
        <v>0</v>
      </c>
      <c r="G99" s="161">
        <f>SUM(G96:G97)</f>
        <v>0</v>
      </c>
      <c r="H99" s="147"/>
      <c r="I99" s="103"/>
      <c r="J99" s="103"/>
      <c r="K99" s="101"/>
    </row>
    <row r="100" spans="1:11" x14ac:dyDescent="0.2">
      <c r="A100" s="154"/>
      <c r="B100" s="147"/>
      <c r="C100" s="147"/>
      <c r="D100" s="103"/>
      <c r="E100" s="162"/>
      <c r="F100" s="161"/>
      <c r="G100" s="161"/>
      <c r="H100" s="147"/>
      <c r="I100" s="103"/>
      <c r="J100" s="103"/>
      <c r="K100" s="101"/>
    </row>
    <row r="101" spans="1:11" x14ac:dyDescent="0.2">
      <c r="A101" s="154" t="str">
        <f>+A51</f>
        <v>xxxx</v>
      </c>
      <c r="B101" s="103" t="s">
        <v>416</v>
      </c>
      <c r="C101" s="147"/>
      <c r="D101" s="103"/>
      <c r="E101" s="133"/>
      <c r="F101" s="157">
        <v>0</v>
      </c>
      <c r="G101" s="157">
        <v>0</v>
      </c>
      <c r="H101" s="147"/>
      <c r="I101" s="103"/>
      <c r="J101" s="103"/>
      <c r="K101" s="101"/>
    </row>
    <row r="102" spans="1:11" x14ac:dyDescent="0.2">
      <c r="A102" s="154"/>
      <c r="B102" s="103" t="s">
        <v>417</v>
      </c>
      <c r="C102" s="147"/>
      <c r="D102" s="103"/>
      <c r="E102" s="133"/>
      <c r="F102" s="157">
        <v>0</v>
      </c>
      <c r="G102" s="157">
        <v>0</v>
      </c>
      <c r="H102" s="147"/>
      <c r="I102" s="103"/>
      <c r="J102" s="103"/>
      <c r="K102" s="101"/>
    </row>
    <row r="103" spans="1:11" x14ac:dyDescent="0.2">
      <c r="A103" s="154"/>
      <c r="B103" s="103" t="s">
        <v>418</v>
      </c>
      <c r="C103" s="103"/>
      <c r="D103" s="103"/>
      <c r="E103" s="103"/>
      <c r="F103" s="157">
        <v>0</v>
      </c>
      <c r="G103" s="157">
        <v>0</v>
      </c>
      <c r="H103" s="147"/>
      <c r="I103" s="103"/>
      <c r="J103" s="103"/>
      <c r="K103" s="101"/>
    </row>
    <row r="104" spans="1:11" x14ac:dyDescent="0.2">
      <c r="A104" s="154"/>
      <c r="B104" s="147"/>
      <c r="C104" s="147"/>
      <c r="D104" s="103"/>
      <c r="E104" s="159" t="s">
        <v>414</v>
      </c>
      <c r="F104" s="161">
        <f>SUM(F101:F102)</f>
        <v>0</v>
      </c>
      <c r="G104" s="161">
        <f>SUM(G101:G102)</f>
        <v>0</v>
      </c>
      <c r="H104" s="147"/>
      <c r="I104" s="103"/>
      <c r="J104" s="103"/>
      <c r="K104" s="101"/>
    </row>
    <row r="105" spans="1:11" x14ac:dyDescent="0.2">
      <c r="A105" s="154"/>
      <c r="B105" s="147"/>
      <c r="C105" s="147"/>
      <c r="D105" s="103"/>
      <c r="E105" s="159"/>
      <c r="F105" s="161"/>
      <c r="G105" s="161"/>
      <c r="H105" s="147"/>
      <c r="I105" s="103"/>
      <c r="J105" s="103"/>
      <c r="K105" s="101"/>
    </row>
    <row r="106" spans="1:11" x14ac:dyDescent="0.2">
      <c r="A106" s="154" t="str">
        <f>+A57</f>
        <v>xxxx</v>
      </c>
      <c r="B106" s="103" t="s">
        <v>416</v>
      </c>
      <c r="C106" s="147"/>
      <c r="D106" s="103"/>
      <c r="E106" s="133"/>
      <c r="F106" s="157">
        <v>0</v>
      </c>
      <c r="G106" s="157">
        <v>0</v>
      </c>
      <c r="H106" s="147"/>
      <c r="I106" s="103"/>
      <c r="J106" s="103"/>
      <c r="K106" s="101"/>
    </row>
    <row r="107" spans="1:11" x14ac:dyDescent="0.2">
      <c r="A107" s="154"/>
      <c r="B107" s="103" t="s">
        <v>417</v>
      </c>
      <c r="C107" s="147"/>
      <c r="D107" s="103"/>
      <c r="E107" s="133"/>
      <c r="F107" s="157">
        <v>0</v>
      </c>
      <c r="G107" s="157">
        <v>0</v>
      </c>
      <c r="H107" s="147"/>
      <c r="I107" s="103"/>
      <c r="J107" s="103"/>
      <c r="K107" s="101"/>
    </row>
    <row r="108" spans="1:11" x14ac:dyDescent="0.2">
      <c r="A108" s="154"/>
      <c r="B108" s="103" t="s">
        <v>418</v>
      </c>
      <c r="C108" s="103"/>
      <c r="D108" s="103"/>
      <c r="E108" s="103"/>
      <c r="F108" s="157">
        <v>0</v>
      </c>
      <c r="G108" s="157">
        <v>0</v>
      </c>
      <c r="H108" s="147"/>
      <c r="I108" s="103"/>
      <c r="J108" s="103"/>
      <c r="K108" s="101"/>
    </row>
    <row r="109" spans="1:11" x14ac:dyDescent="0.2">
      <c r="A109" s="154"/>
      <c r="B109" s="147"/>
      <c r="C109" s="147"/>
      <c r="D109" s="103"/>
      <c r="E109" s="159" t="s">
        <v>414</v>
      </c>
      <c r="F109" s="161">
        <f>SUM(F106:F107)</f>
        <v>0</v>
      </c>
      <c r="G109" s="161">
        <f>SUM(G106:G107)</f>
        <v>0</v>
      </c>
      <c r="H109" s="147"/>
      <c r="I109" s="103"/>
      <c r="J109" s="103"/>
      <c r="K109" s="101"/>
    </row>
    <row r="110" spans="1:11" x14ac:dyDescent="0.2">
      <c r="A110" s="154"/>
      <c r="B110" s="147"/>
      <c r="C110" s="147"/>
      <c r="D110" s="103"/>
      <c r="E110" s="133"/>
      <c r="F110" s="163"/>
      <c r="G110" s="163"/>
      <c r="H110" s="147"/>
      <c r="I110" s="103"/>
      <c r="J110" s="103"/>
      <c r="K110" s="101"/>
    </row>
    <row r="111" spans="1:11" x14ac:dyDescent="0.2">
      <c r="A111" s="154"/>
      <c r="B111" s="103"/>
      <c r="C111" s="103"/>
      <c r="D111" s="103"/>
      <c r="E111" s="103"/>
      <c r="F111" s="157"/>
      <c r="G111" s="157"/>
      <c r="H111" s="103"/>
      <c r="I111" s="103"/>
      <c r="J111" s="103"/>
      <c r="K111" s="101"/>
    </row>
    <row r="112" spans="1:11" x14ac:dyDescent="0.2">
      <c r="A112" s="154"/>
      <c r="B112" s="103"/>
      <c r="C112" s="103"/>
      <c r="D112" s="103"/>
      <c r="E112" s="134" t="s">
        <v>186</v>
      </c>
      <c r="F112" s="164">
        <f>+F74+F79+F84+F89+F94+F99+F104+F109</f>
        <v>0</v>
      </c>
      <c r="G112" s="165">
        <f>+G74+G79+G84+G89+G94+G99+G104+G109</f>
        <v>0</v>
      </c>
      <c r="H112" s="103"/>
      <c r="I112" s="103"/>
      <c r="J112" s="103"/>
      <c r="K112" s="101"/>
    </row>
    <row r="113" spans="1:11" x14ac:dyDescent="0.2">
      <c r="A113" s="154"/>
      <c r="B113" s="103"/>
      <c r="C113" s="103"/>
      <c r="D113" s="103"/>
      <c r="E113" s="162"/>
      <c r="F113" s="160"/>
      <c r="G113" s="160"/>
      <c r="H113" s="103"/>
      <c r="I113" s="103"/>
      <c r="J113" s="103"/>
      <c r="K113" s="101"/>
    </row>
    <row r="114" spans="1:11" x14ac:dyDescent="0.2">
      <c r="A114" s="154"/>
      <c r="B114" s="103"/>
      <c r="C114" s="103"/>
      <c r="D114" s="103"/>
      <c r="E114" s="162"/>
      <c r="F114" s="160"/>
      <c r="G114" s="160"/>
      <c r="H114" s="103"/>
      <c r="I114" s="103"/>
      <c r="J114" s="103"/>
      <c r="K114" s="101"/>
    </row>
    <row r="115" spans="1:11" x14ac:dyDescent="0.2">
      <c r="A115" s="154"/>
      <c r="B115" s="103"/>
      <c r="C115" s="103"/>
      <c r="D115" s="103"/>
      <c r="E115" s="105" t="s">
        <v>419</v>
      </c>
      <c r="F115" s="166">
        <f ca="1">+C6</f>
        <v>43776</v>
      </c>
      <c r="G115" s="157"/>
      <c r="H115" s="103"/>
      <c r="I115" s="103"/>
      <c r="J115" s="103"/>
      <c r="K115" s="101"/>
    </row>
    <row r="116" spans="1:11" ht="13.5" thickBot="1" x14ac:dyDescent="0.25">
      <c r="A116" s="167"/>
      <c r="B116" s="168"/>
      <c r="C116" s="168"/>
      <c r="D116" s="168"/>
      <c r="E116" s="168"/>
      <c r="F116" s="169"/>
      <c r="G116" s="169"/>
      <c r="H116" s="168"/>
      <c r="I116" s="168"/>
      <c r="J116" s="168"/>
      <c r="K116" s="170"/>
    </row>
  </sheetData>
  <mergeCells count="4">
    <mergeCell ref="J57:K57"/>
    <mergeCell ref="J30:K30"/>
    <mergeCell ref="J33:K33"/>
    <mergeCell ref="J39:K39"/>
  </mergeCells>
  <phoneticPr fontId="0" type="noConversion"/>
  <printOptions horizontalCentered="1" verticalCentered="1"/>
  <pageMargins left="0.19685039370078741" right="0.19685039370078741" top="0.19685039370078741" bottom="0.19685039370078741" header="0" footer="0"/>
  <pageSetup scale="46"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B1:DA112"/>
  <sheetViews>
    <sheetView showGridLines="0" zoomScale="70" zoomScaleNormal="70" workbookViewId="0">
      <selection activeCell="G39" sqref="G39"/>
    </sheetView>
  </sheetViews>
  <sheetFormatPr baseColWidth="10" defaultRowHeight="15" x14ac:dyDescent="0.25"/>
  <cols>
    <col min="1" max="2" width="11.42578125" style="2442"/>
    <col min="3" max="3" width="63.7109375" style="2442" bestFit="1" customWidth="1"/>
    <col min="4" max="4" width="39.85546875" style="2442" bestFit="1" customWidth="1"/>
    <col min="5" max="6" width="23.140625" style="2442" bestFit="1" customWidth="1"/>
    <col min="7" max="7" width="27.85546875" style="2442" bestFit="1" customWidth="1"/>
    <col min="8" max="8" width="13" style="2442" customWidth="1"/>
    <col min="9" max="9" width="16" style="2442" bestFit="1" customWidth="1"/>
    <col min="10" max="12" width="11.42578125" style="2442"/>
    <col min="13" max="33" width="11.42578125" style="2442" customWidth="1"/>
    <col min="34" max="35" width="13.42578125" style="2442" customWidth="1"/>
    <col min="36" max="38" width="11.42578125" style="2442" customWidth="1"/>
    <col min="39" max="39" width="12.28515625" style="2442" customWidth="1"/>
    <col min="40" max="40" width="11.42578125" style="2442" customWidth="1"/>
    <col min="41" max="41" width="15" style="2442" customWidth="1"/>
    <col min="42" max="44" width="11.42578125" style="2442" customWidth="1"/>
    <col min="45" max="45" width="14.42578125" style="2442" customWidth="1"/>
    <col min="46" max="73" width="11.42578125" style="2442" customWidth="1"/>
    <col min="74" max="84" width="11.42578125" style="2443"/>
    <col min="85" max="85" width="11.42578125" style="2444"/>
    <col min="86" max="88" width="11.42578125" style="2443"/>
    <col min="89" max="89" width="28.28515625" style="2443" bestFit="1" customWidth="1"/>
    <col min="90" max="100" width="11.42578125" style="2443"/>
    <col min="101" max="258" width="11.42578125" style="2442"/>
    <col min="259" max="259" width="63.7109375" style="2442" bestFit="1" customWidth="1"/>
    <col min="260" max="260" width="39.85546875" style="2442" bestFit="1" customWidth="1"/>
    <col min="261" max="262" width="23.140625" style="2442" bestFit="1" customWidth="1"/>
    <col min="263" max="263" width="27.85546875" style="2442" bestFit="1" customWidth="1"/>
    <col min="264" max="264" width="13" style="2442" customWidth="1"/>
    <col min="265" max="265" width="16" style="2442" bestFit="1" customWidth="1"/>
    <col min="266" max="268" width="11.42578125" style="2442"/>
    <col min="269" max="289" width="11.42578125" style="2442" customWidth="1"/>
    <col min="290" max="291" width="13.42578125" style="2442" customWidth="1"/>
    <col min="292" max="294" width="11.42578125" style="2442" customWidth="1"/>
    <col min="295" max="295" width="12.28515625" style="2442" customWidth="1"/>
    <col min="296" max="296" width="11.42578125" style="2442" customWidth="1"/>
    <col min="297" max="297" width="15" style="2442" customWidth="1"/>
    <col min="298" max="300" width="11.42578125" style="2442" customWidth="1"/>
    <col min="301" max="301" width="14.42578125" style="2442" customWidth="1"/>
    <col min="302" max="329" width="11.42578125" style="2442" customWidth="1"/>
    <col min="330" max="344" width="11.42578125" style="2442"/>
    <col min="345" max="345" width="28.28515625" style="2442" bestFit="1" customWidth="1"/>
    <col min="346" max="514" width="11.42578125" style="2442"/>
    <col min="515" max="515" width="63.7109375" style="2442" bestFit="1" customWidth="1"/>
    <col min="516" max="516" width="39.85546875" style="2442" bestFit="1" customWidth="1"/>
    <col min="517" max="518" width="23.140625" style="2442" bestFit="1" customWidth="1"/>
    <col min="519" max="519" width="27.85546875" style="2442" bestFit="1" customWidth="1"/>
    <col min="520" max="520" width="13" style="2442" customWidth="1"/>
    <col min="521" max="521" width="16" style="2442" bestFit="1" customWidth="1"/>
    <col min="522" max="524" width="11.42578125" style="2442"/>
    <col min="525" max="545" width="11.42578125" style="2442" customWidth="1"/>
    <col min="546" max="547" width="13.42578125" style="2442" customWidth="1"/>
    <col min="548" max="550" width="11.42578125" style="2442" customWidth="1"/>
    <col min="551" max="551" width="12.28515625" style="2442" customWidth="1"/>
    <col min="552" max="552" width="11.42578125" style="2442" customWidth="1"/>
    <col min="553" max="553" width="15" style="2442" customWidth="1"/>
    <col min="554" max="556" width="11.42578125" style="2442" customWidth="1"/>
    <col min="557" max="557" width="14.42578125" style="2442" customWidth="1"/>
    <col min="558" max="585" width="11.42578125" style="2442" customWidth="1"/>
    <col min="586" max="600" width="11.42578125" style="2442"/>
    <col min="601" max="601" width="28.28515625" style="2442" bestFit="1" customWidth="1"/>
    <col min="602" max="770" width="11.42578125" style="2442"/>
    <col min="771" max="771" width="63.7109375" style="2442" bestFit="1" customWidth="1"/>
    <col min="772" max="772" width="39.85546875" style="2442" bestFit="1" customWidth="1"/>
    <col min="773" max="774" width="23.140625" style="2442" bestFit="1" customWidth="1"/>
    <col min="775" max="775" width="27.85546875" style="2442" bestFit="1" customWidth="1"/>
    <col min="776" max="776" width="13" style="2442" customWidth="1"/>
    <col min="777" max="777" width="16" style="2442" bestFit="1" customWidth="1"/>
    <col min="778" max="780" width="11.42578125" style="2442"/>
    <col min="781" max="801" width="11.42578125" style="2442" customWidth="1"/>
    <col min="802" max="803" width="13.42578125" style="2442" customWidth="1"/>
    <col min="804" max="806" width="11.42578125" style="2442" customWidth="1"/>
    <col min="807" max="807" width="12.28515625" style="2442" customWidth="1"/>
    <col min="808" max="808" width="11.42578125" style="2442" customWidth="1"/>
    <col min="809" max="809" width="15" style="2442" customWidth="1"/>
    <col min="810" max="812" width="11.42578125" style="2442" customWidth="1"/>
    <col min="813" max="813" width="14.42578125" style="2442" customWidth="1"/>
    <col min="814" max="841" width="11.42578125" style="2442" customWidth="1"/>
    <col min="842" max="856" width="11.42578125" style="2442"/>
    <col min="857" max="857" width="28.28515625" style="2442" bestFit="1" customWidth="1"/>
    <col min="858" max="1026" width="11.42578125" style="2442"/>
    <col min="1027" max="1027" width="63.7109375" style="2442" bestFit="1" customWidth="1"/>
    <col min="1028" max="1028" width="39.85546875" style="2442" bestFit="1" customWidth="1"/>
    <col min="1029" max="1030" width="23.140625" style="2442" bestFit="1" customWidth="1"/>
    <col min="1031" max="1031" width="27.85546875" style="2442" bestFit="1" customWidth="1"/>
    <col min="1032" max="1032" width="13" style="2442" customWidth="1"/>
    <col min="1033" max="1033" width="16" style="2442" bestFit="1" customWidth="1"/>
    <col min="1034" max="1036" width="11.42578125" style="2442"/>
    <col min="1037" max="1057" width="11.42578125" style="2442" customWidth="1"/>
    <col min="1058" max="1059" width="13.42578125" style="2442" customWidth="1"/>
    <col min="1060" max="1062" width="11.42578125" style="2442" customWidth="1"/>
    <col min="1063" max="1063" width="12.28515625" style="2442" customWidth="1"/>
    <col min="1064" max="1064" width="11.42578125" style="2442" customWidth="1"/>
    <col min="1065" max="1065" width="15" style="2442" customWidth="1"/>
    <col min="1066" max="1068" width="11.42578125" style="2442" customWidth="1"/>
    <col min="1069" max="1069" width="14.42578125" style="2442" customWidth="1"/>
    <col min="1070" max="1097" width="11.42578125" style="2442" customWidth="1"/>
    <col min="1098" max="1112" width="11.42578125" style="2442"/>
    <col min="1113" max="1113" width="28.28515625" style="2442" bestFit="1" customWidth="1"/>
    <col min="1114" max="1282" width="11.42578125" style="2442"/>
    <col min="1283" max="1283" width="63.7109375" style="2442" bestFit="1" customWidth="1"/>
    <col min="1284" max="1284" width="39.85546875" style="2442" bestFit="1" customWidth="1"/>
    <col min="1285" max="1286" width="23.140625" style="2442" bestFit="1" customWidth="1"/>
    <col min="1287" max="1287" width="27.85546875" style="2442" bestFit="1" customWidth="1"/>
    <col min="1288" max="1288" width="13" style="2442" customWidth="1"/>
    <col min="1289" max="1289" width="16" style="2442" bestFit="1" customWidth="1"/>
    <col min="1290" max="1292" width="11.42578125" style="2442"/>
    <col min="1293" max="1313" width="11.42578125" style="2442" customWidth="1"/>
    <col min="1314" max="1315" width="13.42578125" style="2442" customWidth="1"/>
    <col min="1316" max="1318" width="11.42578125" style="2442" customWidth="1"/>
    <col min="1319" max="1319" width="12.28515625" style="2442" customWidth="1"/>
    <col min="1320" max="1320" width="11.42578125" style="2442" customWidth="1"/>
    <col min="1321" max="1321" width="15" style="2442" customWidth="1"/>
    <col min="1322" max="1324" width="11.42578125" style="2442" customWidth="1"/>
    <col min="1325" max="1325" width="14.42578125" style="2442" customWidth="1"/>
    <col min="1326" max="1353" width="11.42578125" style="2442" customWidth="1"/>
    <col min="1354" max="1368" width="11.42578125" style="2442"/>
    <col min="1369" max="1369" width="28.28515625" style="2442" bestFit="1" customWidth="1"/>
    <col min="1370" max="1538" width="11.42578125" style="2442"/>
    <col min="1539" max="1539" width="63.7109375" style="2442" bestFit="1" customWidth="1"/>
    <col min="1540" max="1540" width="39.85546875" style="2442" bestFit="1" customWidth="1"/>
    <col min="1541" max="1542" width="23.140625" style="2442" bestFit="1" customWidth="1"/>
    <col min="1543" max="1543" width="27.85546875" style="2442" bestFit="1" customWidth="1"/>
    <col min="1544" max="1544" width="13" style="2442" customWidth="1"/>
    <col min="1545" max="1545" width="16" style="2442" bestFit="1" customWidth="1"/>
    <col min="1546" max="1548" width="11.42578125" style="2442"/>
    <col min="1549" max="1569" width="11.42578125" style="2442" customWidth="1"/>
    <col min="1570" max="1571" width="13.42578125" style="2442" customWidth="1"/>
    <col min="1572" max="1574" width="11.42578125" style="2442" customWidth="1"/>
    <col min="1575" max="1575" width="12.28515625" style="2442" customWidth="1"/>
    <col min="1576" max="1576" width="11.42578125" style="2442" customWidth="1"/>
    <col min="1577" max="1577" width="15" style="2442" customWidth="1"/>
    <col min="1578" max="1580" width="11.42578125" style="2442" customWidth="1"/>
    <col min="1581" max="1581" width="14.42578125" style="2442" customWidth="1"/>
    <col min="1582" max="1609" width="11.42578125" style="2442" customWidth="1"/>
    <col min="1610" max="1624" width="11.42578125" style="2442"/>
    <col min="1625" max="1625" width="28.28515625" style="2442" bestFit="1" customWidth="1"/>
    <col min="1626" max="1794" width="11.42578125" style="2442"/>
    <col min="1795" max="1795" width="63.7109375" style="2442" bestFit="1" customWidth="1"/>
    <col min="1796" max="1796" width="39.85546875" style="2442" bestFit="1" customWidth="1"/>
    <col min="1797" max="1798" width="23.140625" style="2442" bestFit="1" customWidth="1"/>
    <col min="1799" max="1799" width="27.85546875" style="2442" bestFit="1" customWidth="1"/>
    <col min="1800" max="1800" width="13" style="2442" customWidth="1"/>
    <col min="1801" max="1801" width="16" style="2442" bestFit="1" customWidth="1"/>
    <col min="1802" max="1804" width="11.42578125" style="2442"/>
    <col min="1805" max="1825" width="11.42578125" style="2442" customWidth="1"/>
    <col min="1826" max="1827" width="13.42578125" style="2442" customWidth="1"/>
    <col min="1828" max="1830" width="11.42578125" style="2442" customWidth="1"/>
    <col min="1831" max="1831" width="12.28515625" style="2442" customWidth="1"/>
    <col min="1832" max="1832" width="11.42578125" style="2442" customWidth="1"/>
    <col min="1833" max="1833" width="15" style="2442" customWidth="1"/>
    <col min="1834" max="1836" width="11.42578125" style="2442" customWidth="1"/>
    <col min="1837" max="1837" width="14.42578125" style="2442" customWidth="1"/>
    <col min="1838" max="1865" width="11.42578125" style="2442" customWidth="1"/>
    <col min="1866" max="1880" width="11.42578125" style="2442"/>
    <col min="1881" max="1881" width="28.28515625" style="2442" bestFit="1" customWidth="1"/>
    <col min="1882" max="2050" width="11.42578125" style="2442"/>
    <col min="2051" max="2051" width="63.7109375" style="2442" bestFit="1" customWidth="1"/>
    <col min="2052" max="2052" width="39.85546875" style="2442" bestFit="1" customWidth="1"/>
    <col min="2053" max="2054" width="23.140625" style="2442" bestFit="1" customWidth="1"/>
    <col min="2055" max="2055" width="27.85546875" style="2442" bestFit="1" customWidth="1"/>
    <col min="2056" max="2056" width="13" style="2442" customWidth="1"/>
    <col min="2057" max="2057" width="16" style="2442" bestFit="1" customWidth="1"/>
    <col min="2058" max="2060" width="11.42578125" style="2442"/>
    <col min="2061" max="2081" width="11.42578125" style="2442" customWidth="1"/>
    <col min="2082" max="2083" width="13.42578125" style="2442" customWidth="1"/>
    <col min="2084" max="2086" width="11.42578125" style="2442" customWidth="1"/>
    <col min="2087" max="2087" width="12.28515625" style="2442" customWidth="1"/>
    <col min="2088" max="2088" width="11.42578125" style="2442" customWidth="1"/>
    <col min="2089" max="2089" width="15" style="2442" customWidth="1"/>
    <col min="2090" max="2092" width="11.42578125" style="2442" customWidth="1"/>
    <col min="2093" max="2093" width="14.42578125" style="2442" customWidth="1"/>
    <col min="2094" max="2121" width="11.42578125" style="2442" customWidth="1"/>
    <col min="2122" max="2136" width="11.42578125" style="2442"/>
    <col min="2137" max="2137" width="28.28515625" style="2442" bestFit="1" customWidth="1"/>
    <col min="2138" max="2306" width="11.42578125" style="2442"/>
    <col min="2307" max="2307" width="63.7109375" style="2442" bestFit="1" customWidth="1"/>
    <col min="2308" max="2308" width="39.85546875" style="2442" bestFit="1" customWidth="1"/>
    <col min="2309" max="2310" width="23.140625" style="2442" bestFit="1" customWidth="1"/>
    <col min="2311" max="2311" width="27.85546875" style="2442" bestFit="1" customWidth="1"/>
    <col min="2312" max="2312" width="13" style="2442" customWidth="1"/>
    <col min="2313" max="2313" width="16" style="2442" bestFit="1" customWidth="1"/>
    <col min="2314" max="2316" width="11.42578125" style="2442"/>
    <col min="2317" max="2337" width="11.42578125" style="2442" customWidth="1"/>
    <col min="2338" max="2339" width="13.42578125" style="2442" customWidth="1"/>
    <col min="2340" max="2342" width="11.42578125" style="2442" customWidth="1"/>
    <col min="2343" max="2343" width="12.28515625" style="2442" customWidth="1"/>
    <col min="2344" max="2344" width="11.42578125" style="2442" customWidth="1"/>
    <col min="2345" max="2345" width="15" style="2442" customWidth="1"/>
    <col min="2346" max="2348" width="11.42578125" style="2442" customWidth="1"/>
    <col min="2349" max="2349" width="14.42578125" style="2442" customWidth="1"/>
    <col min="2350" max="2377" width="11.42578125" style="2442" customWidth="1"/>
    <col min="2378" max="2392" width="11.42578125" style="2442"/>
    <col min="2393" max="2393" width="28.28515625" style="2442" bestFit="1" customWidth="1"/>
    <col min="2394" max="2562" width="11.42578125" style="2442"/>
    <col min="2563" max="2563" width="63.7109375" style="2442" bestFit="1" customWidth="1"/>
    <col min="2564" max="2564" width="39.85546875" style="2442" bestFit="1" customWidth="1"/>
    <col min="2565" max="2566" width="23.140625" style="2442" bestFit="1" customWidth="1"/>
    <col min="2567" max="2567" width="27.85546875" style="2442" bestFit="1" customWidth="1"/>
    <col min="2568" max="2568" width="13" style="2442" customWidth="1"/>
    <col min="2569" max="2569" width="16" style="2442" bestFit="1" customWidth="1"/>
    <col min="2570" max="2572" width="11.42578125" style="2442"/>
    <col min="2573" max="2593" width="11.42578125" style="2442" customWidth="1"/>
    <col min="2594" max="2595" width="13.42578125" style="2442" customWidth="1"/>
    <col min="2596" max="2598" width="11.42578125" style="2442" customWidth="1"/>
    <col min="2599" max="2599" width="12.28515625" style="2442" customWidth="1"/>
    <col min="2600" max="2600" width="11.42578125" style="2442" customWidth="1"/>
    <col min="2601" max="2601" width="15" style="2442" customWidth="1"/>
    <col min="2602" max="2604" width="11.42578125" style="2442" customWidth="1"/>
    <col min="2605" max="2605" width="14.42578125" style="2442" customWidth="1"/>
    <col min="2606" max="2633" width="11.42578125" style="2442" customWidth="1"/>
    <col min="2634" max="2648" width="11.42578125" style="2442"/>
    <col min="2649" max="2649" width="28.28515625" style="2442" bestFit="1" customWidth="1"/>
    <col min="2650" max="2818" width="11.42578125" style="2442"/>
    <col min="2819" max="2819" width="63.7109375" style="2442" bestFit="1" customWidth="1"/>
    <col min="2820" max="2820" width="39.85546875" style="2442" bestFit="1" customWidth="1"/>
    <col min="2821" max="2822" width="23.140625" style="2442" bestFit="1" customWidth="1"/>
    <col min="2823" max="2823" width="27.85546875" style="2442" bestFit="1" customWidth="1"/>
    <col min="2824" max="2824" width="13" style="2442" customWidth="1"/>
    <col min="2825" max="2825" width="16" style="2442" bestFit="1" customWidth="1"/>
    <col min="2826" max="2828" width="11.42578125" style="2442"/>
    <col min="2829" max="2849" width="11.42578125" style="2442" customWidth="1"/>
    <col min="2850" max="2851" width="13.42578125" style="2442" customWidth="1"/>
    <col min="2852" max="2854" width="11.42578125" style="2442" customWidth="1"/>
    <col min="2855" max="2855" width="12.28515625" style="2442" customWidth="1"/>
    <col min="2856" max="2856" width="11.42578125" style="2442" customWidth="1"/>
    <col min="2857" max="2857" width="15" style="2442" customWidth="1"/>
    <col min="2858" max="2860" width="11.42578125" style="2442" customWidth="1"/>
    <col min="2861" max="2861" width="14.42578125" style="2442" customWidth="1"/>
    <col min="2862" max="2889" width="11.42578125" style="2442" customWidth="1"/>
    <col min="2890" max="2904" width="11.42578125" style="2442"/>
    <col min="2905" max="2905" width="28.28515625" style="2442" bestFit="1" customWidth="1"/>
    <col min="2906" max="3074" width="11.42578125" style="2442"/>
    <col min="3075" max="3075" width="63.7109375" style="2442" bestFit="1" customWidth="1"/>
    <col min="3076" max="3076" width="39.85546875" style="2442" bestFit="1" customWidth="1"/>
    <col min="3077" max="3078" width="23.140625" style="2442" bestFit="1" customWidth="1"/>
    <col min="3079" max="3079" width="27.85546875" style="2442" bestFit="1" customWidth="1"/>
    <col min="3080" max="3080" width="13" style="2442" customWidth="1"/>
    <col min="3081" max="3081" width="16" style="2442" bestFit="1" customWidth="1"/>
    <col min="3082" max="3084" width="11.42578125" style="2442"/>
    <col min="3085" max="3105" width="11.42578125" style="2442" customWidth="1"/>
    <col min="3106" max="3107" width="13.42578125" style="2442" customWidth="1"/>
    <col min="3108" max="3110" width="11.42578125" style="2442" customWidth="1"/>
    <col min="3111" max="3111" width="12.28515625" style="2442" customWidth="1"/>
    <col min="3112" max="3112" width="11.42578125" style="2442" customWidth="1"/>
    <col min="3113" max="3113" width="15" style="2442" customWidth="1"/>
    <col min="3114" max="3116" width="11.42578125" style="2442" customWidth="1"/>
    <col min="3117" max="3117" width="14.42578125" style="2442" customWidth="1"/>
    <col min="3118" max="3145" width="11.42578125" style="2442" customWidth="1"/>
    <col min="3146" max="3160" width="11.42578125" style="2442"/>
    <col min="3161" max="3161" width="28.28515625" style="2442" bestFit="1" customWidth="1"/>
    <col min="3162" max="3330" width="11.42578125" style="2442"/>
    <col min="3331" max="3331" width="63.7109375" style="2442" bestFit="1" customWidth="1"/>
    <col min="3332" max="3332" width="39.85546875" style="2442" bestFit="1" customWidth="1"/>
    <col min="3333" max="3334" width="23.140625" style="2442" bestFit="1" customWidth="1"/>
    <col min="3335" max="3335" width="27.85546875" style="2442" bestFit="1" customWidth="1"/>
    <col min="3336" max="3336" width="13" style="2442" customWidth="1"/>
    <col min="3337" max="3337" width="16" style="2442" bestFit="1" customWidth="1"/>
    <col min="3338" max="3340" width="11.42578125" style="2442"/>
    <col min="3341" max="3361" width="11.42578125" style="2442" customWidth="1"/>
    <col min="3362" max="3363" width="13.42578125" style="2442" customWidth="1"/>
    <col min="3364" max="3366" width="11.42578125" style="2442" customWidth="1"/>
    <col min="3367" max="3367" width="12.28515625" style="2442" customWidth="1"/>
    <col min="3368" max="3368" width="11.42578125" style="2442" customWidth="1"/>
    <col min="3369" max="3369" width="15" style="2442" customWidth="1"/>
    <col min="3370" max="3372" width="11.42578125" style="2442" customWidth="1"/>
    <col min="3373" max="3373" width="14.42578125" style="2442" customWidth="1"/>
    <col min="3374" max="3401" width="11.42578125" style="2442" customWidth="1"/>
    <col min="3402" max="3416" width="11.42578125" style="2442"/>
    <col min="3417" max="3417" width="28.28515625" style="2442" bestFit="1" customWidth="1"/>
    <col min="3418" max="3586" width="11.42578125" style="2442"/>
    <col min="3587" max="3587" width="63.7109375" style="2442" bestFit="1" customWidth="1"/>
    <col min="3588" max="3588" width="39.85546875" style="2442" bestFit="1" customWidth="1"/>
    <col min="3589" max="3590" width="23.140625" style="2442" bestFit="1" customWidth="1"/>
    <col min="3591" max="3591" width="27.85546875" style="2442" bestFit="1" customWidth="1"/>
    <col min="3592" max="3592" width="13" style="2442" customWidth="1"/>
    <col min="3593" max="3593" width="16" style="2442" bestFit="1" customWidth="1"/>
    <col min="3594" max="3596" width="11.42578125" style="2442"/>
    <col min="3597" max="3617" width="11.42578125" style="2442" customWidth="1"/>
    <col min="3618" max="3619" width="13.42578125" style="2442" customWidth="1"/>
    <col min="3620" max="3622" width="11.42578125" style="2442" customWidth="1"/>
    <col min="3623" max="3623" width="12.28515625" style="2442" customWidth="1"/>
    <col min="3624" max="3624" width="11.42578125" style="2442" customWidth="1"/>
    <col min="3625" max="3625" width="15" style="2442" customWidth="1"/>
    <col min="3626" max="3628" width="11.42578125" style="2442" customWidth="1"/>
    <col min="3629" max="3629" width="14.42578125" style="2442" customWidth="1"/>
    <col min="3630" max="3657" width="11.42578125" style="2442" customWidth="1"/>
    <col min="3658" max="3672" width="11.42578125" style="2442"/>
    <col min="3673" max="3673" width="28.28515625" style="2442" bestFit="1" customWidth="1"/>
    <col min="3674" max="3842" width="11.42578125" style="2442"/>
    <col min="3843" max="3843" width="63.7109375" style="2442" bestFit="1" customWidth="1"/>
    <col min="3844" max="3844" width="39.85546875" style="2442" bestFit="1" customWidth="1"/>
    <col min="3845" max="3846" width="23.140625" style="2442" bestFit="1" customWidth="1"/>
    <col min="3847" max="3847" width="27.85546875" style="2442" bestFit="1" customWidth="1"/>
    <col min="3848" max="3848" width="13" style="2442" customWidth="1"/>
    <col min="3849" max="3849" width="16" style="2442" bestFit="1" customWidth="1"/>
    <col min="3850" max="3852" width="11.42578125" style="2442"/>
    <col min="3853" max="3873" width="11.42578125" style="2442" customWidth="1"/>
    <col min="3874" max="3875" width="13.42578125" style="2442" customWidth="1"/>
    <col min="3876" max="3878" width="11.42578125" style="2442" customWidth="1"/>
    <col min="3879" max="3879" width="12.28515625" style="2442" customWidth="1"/>
    <col min="3880" max="3880" width="11.42578125" style="2442" customWidth="1"/>
    <col min="3881" max="3881" width="15" style="2442" customWidth="1"/>
    <col min="3882" max="3884" width="11.42578125" style="2442" customWidth="1"/>
    <col min="3885" max="3885" width="14.42578125" style="2442" customWidth="1"/>
    <col min="3886" max="3913" width="11.42578125" style="2442" customWidth="1"/>
    <col min="3914" max="3928" width="11.42578125" style="2442"/>
    <col min="3929" max="3929" width="28.28515625" style="2442" bestFit="1" customWidth="1"/>
    <col min="3930" max="4098" width="11.42578125" style="2442"/>
    <col min="4099" max="4099" width="63.7109375" style="2442" bestFit="1" customWidth="1"/>
    <col min="4100" max="4100" width="39.85546875" style="2442" bestFit="1" customWidth="1"/>
    <col min="4101" max="4102" width="23.140625" style="2442" bestFit="1" customWidth="1"/>
    <col min="4103" max="4103" width="27.85546875" style="2442" bestFit="1" customWidth="1"/>
    <col min="4104" max="4104" width="13" style="2442" customWidth="1"/>
    <col min="4105" max="4105" width="16" style="2442" bestFit="1" customWidth="1"/>
    <col min="4106" max="4108" width="11.42578125" style="2442"/>
    <col min="4109" max="4129" width="11.42578125" style="2442" customWidth="1"/>
    <col min="4130" max="4131" width="13.42578125" style="2442" customWidth="1"/>
    <col min="4132" max="4134" width="11.42578125" style="2442" customWidth="1"/>
    <col min="4135" max="4135" width="12.28515625" style="2442" customWidth="1"/>
    <col min="4136" max="4136" width="11.42578125" style="2442" customWidth="1"/>
    <col min="4137" max="4137" width="15" style="2442" customWidth="1"/>
    <col min="4138" max="4140" width="11.42578125" style="2442" customWidth="1"/>
    <col min="4141" max="4141" width="14.42578125" style="2442" customWidth="1"/>
    <col min="4142" max="4169" width="11.42578125" style="2442" customWidth="1"/>
    <col min="4170" max="4184" width="11.42578125" style="2442"/>
    <col min="4185" max="4185" width="28.28515625" style="2442" bestFit="1" customWidth="1"/>
    <col min="4186" max="4354" width="11.42578125" style="2442"/>
    <col min="4355" max="4355" width="63.7109375" style="2442" bestFit="1" customWidth="1"/>
    <col min="4356" max="4356" width="39.85546875" style="2442" bestFit="1" customWidth="1"/>
    <col min="4357" max="4358" width="23.140625" style="2442" bestFit="1" customWidth="1"/>
    <col min="4359" max="4359" width="27.85546875" style="2442" bestFit="1" customWidth="1"/>
    <col min="4360" max="4360" width="13" style="2442" customWidth="1"/>
    <col min="4361" max="4361" width="16" style="2442" bestFit="1" customWidth="1"/>
    <col min="4362" max="4364" width="11.42578125" style="2442"/>
    <col min="4365" max="4385" width="11.42578125" style="2442" customWidth="1"/>
    <col min="4386" max="4387" width="13.42578125" style="2442" customWidth="1"/>
    <col min="4388" max="4390" width="11.42578125" style="2442" customWidth="1"/>
    <col min="4391" max="4391" width="12.28515625" style="2442" customWidth="1"/>
    <col min="4392" max="4392" width="11.42578125" style="2442" customWidth="1"/>
    <col min="4393" max="4393" width="15" style="2442" customWidth="1"/>
    <col min="4394" max="4396" width="11.42578125" style="2442" customWidth="1"/>
    <col min="4397" max="4397" width="14.42578125" style="2442" customWidth="1"/>
    <col min="4398" max="4425" width="11.42578125" style="2442" customWidth="1"/>
    <col min="4426" max="4440" width="11.42578125" style="2442"/>
    <col min="4441" max="4441" width="28.28515625" style="2442" bestFit="1" customWidth="1"/>
    <col min="4442" max="4610" width="11.42578125" style="2442"/>
    <col min="4611" max="4611" width="63.7109375" style="2442" bestFit="1" customWidth="1"/>
    <col min="4612" max="4612" width="39.85546875" style="2442" bestFit="1" customWidth="1"/>
    <col min="4613" max="4614" width="23.140625" style="2442" bestFit="1" customWidth="1"/>
    <col min="4615" max="4615" width="27.85546875" style="2442" bestFit="1" customWidth="1"/>
    <col min="4616" max="4616" width="13" style="2442" customWidth="1"/>
    <col min="4617" max="4617" width="16" style="2442" bestFit="1" customWidth="1"/>
    <col min="4618" max="4620" width="11.42578125" style="2442"/>
    <col min="4621" max="4641" width="11.42578125" style="2442" customWidth="1"/>
    <col min="4642" max="4643" width="13.42578125" style="2442" customWidth="1"/>
    <col min="4644" max="4646" width="11.42578125" style="2442" customWidth="1"/>
    <col min="4647" max="4647" width="12.28515625" style="2442" customWidth="1"/>
    <col min="4648" max="4648" width="11.42578125" style="2442" customWidth="1"/>
    <col min="4649" max="4649" width="15" style="2442" customWidth="1"/>
    <col min="4650" max="4652" width="11.42578125" style="2442" customWidth="1"/>
    <col min="4653" max="4653" width="14.42578125" style="2442" customWidth="1"/>
    <col min="4654" max="4681" width="11.42578125" style="2442" customWidth="1"/>
    <col min="4682" max="4696" width="11.42578125" style="2442"/>
    <col min="4697" max="4697" width="28.28515625" style="2442" bestFit="1" customWidth="1"/>
    <col min="4698" max="4866" width="11.42578125" style="2442"/>
    <col min="4867" max="4867" width="63.7109375" style="2442" bestFit="1" customWidth="1"/>
    <col min="4868" max="4868" width="39.85546875" style="2442" bestFit="1" customWidth="1"/>
    <col min="4869" max="4870" width="23.140625" style="2442" bestFit="1" customWidth="1"/>
    <col min="4871" max="4871" width="27.85546875" style="2442" bestFit="1" customWidth="1"/>
    <col min="4872" max="4872" width="13" style="2442" customWidth="1"/>
    <col min="4873" max="4873" width="16" style="2442" bestFit="1" customWidth="1"/>
    <col min="4874" max="4876" width="11.42578125" style="2442"/>
    <col min="4877" max="4897" width="11.42578125" style="2442" customWidth="1"/>
    <col min="4898" max="4899" width="13.42578125" style="2442" customWidth="1"/>
    <col min="4900" max="4902" width="11.42578125" style="2442" customWidth="1"/>
    <col min="4903" max="4903" width="12.28515625" style="2442" customWidth="1"/>
    <col min="4904" max="4904" width="11.42578125" style="2442" customWidth="1"/>
    <col min="4905" max="4905" width="15" style="2442" customWidth="1"/>
    <col min="4906" max="4908" width="11.42578125" style="2442" customWidth="1"/>
    <col min="4909" max="4909" width="14.42578125" style="2442" customWidth="1"/>
    <col min="4910" max="4937" width="11.42578125" style="2442" customWidth="1"/>
    <col min="4938" max="4952" width="11.42578125" style="2442"/>
    <col min="4953" max="4953" width="28.28515625" style="2442" bestFit="1" customWidth="1"/>
    <col min="4954" max="5122" width="11.42578125" style="2442"/>
    <col min="5123" max="5123" width="63.7109375" style="2442" bestFit="1" customWidth="1"/>
    <col min="5124" max="5124" width="39.85546875" style="2442" bestFit="1" customWidth="1"/>
    <col min="5125" max="5126" width="23.140625" style="2442" bestFit="1" customWidth="1"/>
    <col min="5127" max="5127" width="27.85546875" style="2442" bestFit="1" customWidth="1"/>
    <col min="5128" max="5128" width="13" style="2442" customWidth="1"/>
    <col min="5129" max="5129" width="16" style="2442" bestFit="1" customWidth="1"/>
    <col min="5130" max="5132" width="11.42578125" style="2442"/>
    <col min="5133" max="5153" width="11.42578125" style="2442" customWidth="1"/>
    <col min="5154" max="5155" width="13.42578125" style="2442" customWidth="1"/>
    <col min="5156" max="5158" width="11.42578125" style="2442" customWidth="1"/>
    <col min="5159" max="5159" width="12.28515625" style="2442" customWidth="1"/>
    <col min="5160" max="5160" width="11.42578125" style="2442" customWidth="1"/>
    <col min="5161" max="5161" width="15" style="2442" customWidth="1"/>
    <col min="5162" max="5164" width="11.42578125" style="2442" customWidth="1"/>
    <col min="5165" max="5165" width="14.42578125" style="2442" customWidth="1"/>
    <col min="5166" max="5193" width="11.42578125" style="2442" customWidth="1"/>
    <col min="5194" max="5208" width="11.42578125" style="2442"/>
    <col min="5209" max="5209" width="28.28515625" style="2442" bestFit="1" customWidth="1"/>
    <col min="5210" max="5378" width="11.42578125" style="2442"/>
    <col min="5379" max="5379" width="63.7109375" style="2442" bestFit="1" customWidth="1"/>
    <col min="5380" max="5380" width="39.85546875" style="2442" bestFit="1" customWidth="1"/>
    <col min="5381" max="5382" width="23.140625" style="2442" bestFit="1" customWidth="1"/>
    <col min="5383" max="5383" width="27.85546875" style="2442" bestFit="1" customWidth="1"/>
    <col min="5384" max="5384" width="13" style="2442" customWidth="1"/>
    <col min="5385" max="5385" width="16" style="2442" bestFit="1" customWidth="1"/>
    <col min="5386" max="5388" width="11.42578125" style="2442"/>
    <col min="5389" max="5409" width="11.42578125" style="2442" customWidth="1"/>
    <col min="5410" max="5411" width="13.42578125" style="2442" customWidth="1"/>
    <col min="5412" max="5414" width="11.42578125" style="2442" customWidth="1"/>
    <col min="5415" max="5415" width="12.28515625" style="2442" customWidth="1"/>
    <col min="5416" max="5416" width="11.42578125" style="2442" customWidth="1"/>
    <col min="5417" max="5417" width="15" style="2442" customWidth="1"/>
    <col min="5418" max="5420" width="11.42578125" style="2442" customWidth="1"/>
    <col min="5421" max="5421" width="14.42578125" style="2442" customWidth="1"/>
    <col min="5422" max="5449" width="11.42578125" style="2442" customWidth="1"/>
    <col min="5450" max="5464" width="11.42578125" style="2442"/>
    <col min="5465" max="5465" width="28.28515625" style="2442" bestFit="1" customWidth="1"/>
    <col min="5466" max="5634" width="11.42578125" style="2442"/>
    <col min="5635" max="5635" width="63.7109375" style="2442" bestFit="1" customWidth="1"/>
    <col min="5636" max="5636" width="39.85546875" style="2442" bestFit="1" customWidth="1"/>
    <col min="5637" max="5638" width="23.140625" style="2442" bestFit="1" customWidth="1"/>
    <col min="5639" max="5639" width="27.85546875" style="2442" bestFit="1" customWidth="1"/>
    <col min="5640" max="5640" width="13" style="2442" customWidth="1"/>
    <col min="5641" max="5641" width="16" style="2442" bestFit="1" customWidth="1"/>
    <col min="5642" max="5644" width="11.42578125" style="2442"/>
    <col min="5645" max="5665" width="11.42578125" style="2442" customWidth="1"/>
    <col min="5666" max="5667" width="13.42578125" style="2442" customWidth="1"/>
    <col min="5668" max="5670" width="11.42578125" style="2442" customWidth="1"/>
    <col min="5671" max="5671" width="12.28515625" style="2442" customWidth="1"/>
    <col min="5672" max="5672" width="11.42578125" style="2442" customWidth="1"/>
    <col min="5673" max="5673" width="15" style="2442" customWidth="1"/>
    <col min="5674" max="5676" width="11.42578125" style="2442" customWidth="1"/>
    <col min="5677" max="5677" width="14.42578125" style="2442" customWidth="1"/>
    <col min="5678" max="5705" width="11.42578125" style="2442" customWidth="1"/>
    <col min="5706" max="5720" width="11.42578125" style="2442"/>
    <col min="5721" max="5721" width="28.28515625" style="2442" bestFit="1" customWidth="1"/>
    <col min="5722" max="5890" width="11.42578125" style="2442"/>
    <col min="5891" max="5891" width="63.7109375" style="2442" bestFit="1" customWidth="1"/>
    <col min="5892" max="5892" width="39.85546875" style="2442" bestFit="1" customWidth="1"/>
    <col min="5893" max="5894" width="23.140625" style="2442" bestFit="1" customWidth="1"/>
    <col min="5895" max="5895" width="27.85546875" style="2442" bestFit="1" customWidth="1"/>
    <col min="5896" max="5896" width="13" style="2442" customWidth="1"/>
    <col min="5897" max="5897" width="16" style="2442" bestFit="1" customWidth="1"/>
    <col min="5898" max="5900" width="11.42578125" style="2442"/>
    <col min="5901" max="5921" width="11.42578125" style="2442" customWidth="1"/>
    <col min="5922" max="5923" width="13.42578125" style="2442" customWidth="1"/>
    <col min="5924" max="5926" width="11.42578125" style="2442" customWidth="1"/>
    <col min="5927" max="5927" width="12.28515625" style="2442" customWidth="1"/>
    <col min="5928" max="5928" width="11.42578125" style="2442" customWidth="1"/>
    <col min="5929" max="5929" width="15" style="2442" customWidth="1"/>
    <col min="5930" max="5932" width="11.42578125" style="2442" customWidth="1"/>
    <col min="5933" max="5933" width="14.42578125" style="2442" customWidth="1"/>
    <col min="5934" max="5961" width="11.42578125" style="2442" customWidth="1"/>
    <col min="5962" max="5976" width="11.42578125" style="2442"/>
    <col min="5977" max="5977" width="28.28515625" style="2442" bestFit="1" customWidth="1"/>
    <col min="5978" max="6146" width="11.42578125" style="2442"/>
    <col min="6147" max="6147" width="63.7109375" style="2442" bestFit="1" customWidth="1"/>
    <col min="6148" max="6148" width="39.85546875" style="2442" bestFit="1" customWidth="1"/>
    <col min="6149" max="6150" width="23.140625" style="2442" bestFit="1" customWidth="1"/>
    <col min="6151" max="6151" width="27.85546875" style="2442" bestFit="1" customWidth="1"/>
    <col min="6152" max="6152" width="13" style="2442" customWidth="1"/>
    <col min="6153" max="6153" width="16" style="2442" bestFit="1" customWidth="1"/>
    <col min="6154" max="6156" width="11.42578125" style="2442"/>
    <col min="6157" max="6177" width="11.42578125" style="2442" customWidth="1"/>
    <col min="6178" max="6179" width="13.42578125" style="2442" customWidth="1"/>
    <col min="6180" max="6182" width="11.42578125" style="2442" customWidth="1"/>
    <col min="6183" max="6183" width="12.28515625" style="2442" customWidth="1"/>
    <col min="6184" max="6184" width="11.42578125" style="2442" customWidth="1"/>
    <col min="6185" max="6185" width="15" style="2442" customWidth="1"/>
    <col min="6186" max="6188" width="11.42578125" style="2442" customWidth="1"/>
    <col min="6189" max="6189" width="14.42578125" style="2442" customWidth="1"/>
    <col min="6190" max="6217" width="11.42578125" style="2442" customWidth="1"/>
    <col min="6218" max="6232" width="11.42578125" style="2442"/>
    <col min="6233" max="6233" width="28.28515625" style="2442" bestFit="1" customWidth="1"/>
    <col min="6234" max="6402" width="11.42578125" style="2442"/>
    <col min="6403" max="6403" width="63.7109375" style="2442" bestFit="1" customWidth="1"/>
    <col min="6404" max="6404" width="39.85546875" style="2442" bestFit="1" customWidth="1"/>
    <col min="6405" max="6406" width="23.140625" style="2442" bestFit="1" customWidth="1"/>
    <col min="6407" max="6407" width="27.85546875" style="2442" bestFit="1" customWidth="1"/>
    <col min="6408" max="6408" width="13" style="2442" customWidth="1"/>
    <col min="6409" max="6409" width="16" style="2442" bestFit="1" customWidth="1"/>
    <col min="6410" max="6412" width="11.42578125" style="2442"/>
    <col min="6413" max="6433" width="11.42578125" style="2442" customWidth="1"/>
    <col min="6434" max="6435" width="13.42578125" style="2442" customWidth="1"/>
    <col min="6436" max="6438" width="11.42578125" style="2442" customWidth="1"/>
    <col min="6439" max="6439" width="12.28515625" style="2442" customWidth="1"/>
    <col min="6440" max="6440" width="11.42578125" style="2442" customWidth="1"/>
    <col min="6441" max="6441" width="15" style="2442" customWidth="1"/>
    <col min="6442" max="6444" width="11.42578125" style="2442" customWidth="1"/>
    <col min="6445" max="6445" width="14.42578125" style="2442" customWidth="1"/>
    <col min="6446" max="6473" width="11.42578125" style="2442" customWidth="1"/>
    <col min="6474" max="6488" width="11.42578125" style="2442"/>
    <col min="6489" max="6489" width="28.28515625" style="2442" bestFit="1" customWidth="1"/>
    <col min="6490" max="6658" width="11.42578125" style="2442"/>
    <col min="6659" max="6659" width="63.7109375" style="2442" bestFit="1" customWidth="1"/>
    <col min="6660" max="6660" width="39.85546875" style="2442" bestFit="1" customWidth="1"/>
    <col min="6661" max="6662" width="23.140625" style="2442" bestFit="1" customWidth="1"/>
    <col min="6663" max="6663" width="27.85546875" style="2442" bestFit="1" customWidth="1"/>
    <col min="6664" max="6664" width="13" style="2442" customWidth="1"/>
    <col min="6665" max="6665" width="16" style="2442" bestFit="1" customWidth="1"/>
    <col min="6666" max="6668" width="11.42578125" style="2442"/>
    <col min="6669" max="6689" width="11.42578125" style="2442" customWidth="1"/>
    <col min="6690" max="6691" width="13.42578125" style="2442" customWidth="1"/>
    <col min="6692" max="6694" width="11.42578125" style="2442" customWidth="1"/>
    <col min="6695" max="6695" width="12.28515625" style="2442" customWidth="1"/>
    <col min="6696" max="6696" width="11.42578125" style="2442" customWidth="1"/>
    <col min="6697" max="6697" width="15" style="2442" customWidth="1"/>
    <col min="6698" max="6700" width="11.42578125" style="2442" customWidth="1"/>
    <col min="6701" max="6701" width="14.42578125" style="2442" customWidth="1"/>
    <col min="6702" max="6729" width="11.42578125" style="2442" customWidth="1"/>
    <col min="6730" max="6744" width="11.42578125" style="2442"/>
    <col min="6745" max="6745" width="28.28515625" style="2442" bestFit="1" customWidth="1"/>
    <col min="6746" max="6914" width="11.42578125" style="2442"/>
    <col min="6915" max="6915" width="63.7109375" style="2442" bestFit="1" customWidth="1"/>
    <col min="6916" max="6916" width="39.85546875" style="2442" bestFit="1" customWidth="1"/>
    <col min="6917" max="6918" width="23.140625" style="2442" bestFit="1" customWidth="1"/>
    <col min="6919" max="6919" width="27.85546875" style="2442" bestFit="1" customWidth="1"/>
    <col min="6920" max="6920" width="13" style="2442" customWidth="1"/>
    <col min="6921" max="6921" width="16" style="2442" bestFit="1" customWidth="1"/>
    <col min="6922" max="6924" width="11.42578125" style="2442"/>
    <col min="6925" max="6945" width="11.42578125" style="2442" customWidth="1"/>
    <col min="6946" max="6947" width="13.42578125" style="2442" customWidth="1"/>
    <col min="6948" max="6950" width="11.42578125" style="2442" customWidth="1"/>
    <col min="6951" max="6951" width="12.28515625" style="2442" customWidth="1"/>
    <col min="6952" max="6952" width="11.42578125" style="2442" customWidth="1"/>
    <col min="6953" max="6953" width="15" style="2442" customWidth="1"/>
    <col min="6954" max="6956" width="11.42578125" style="2442" customWidth="1"/>
    <col min="6957" max="6957" width="14.42578125" style="2442" customWidth="1"/>
    <col min="6958" max="6985" width="11.42578125" style="2442" customWidth="1"/>
    <col min="6986" max="7000" width="11.42578125" style="2442"/>
    <col min="7001" max="7001" width="28.28515625" style="2442" bestFit="1" customWidth="1"/>
    <col min="7002" max="7170" width="11.42578125" style="2442"/>
    <col min="7171" max="7171" width="63.7109375" style="2442" bestFit="1" customWidth="1"/>
    <col min="7172" max="7172" width="39.85546875" style="2442" bestFit="1" customWidth="1"/>
    <col min="7173" max="7174" width="23.140625" style="2442" bestFit="1" customWidth="1"/>
    <col min="7175" max="7175" width="27.85546875" style="2442" bestFit="1" customWidth="1"/>
    <col min="7176" max="7176" width="13" style="2442" customWidth="1"/>
    <col min="7177" max="7177" width="16" style="2442" bestFit="1" customWidth="1"/>
    <col min="7178" max="7180" width="11.42578125" style="2442"/>
    <col min="7181" max="7201" width="11.42578125" style="2442" customWidth="1"/>
    <col min="7202" max="7203" width="13.42578125" style="2442" customWidth="1"/>
    <col min="7204" max="7206" width="11.42578125" style="2442" customWidth="1"/>
    <col min="7207" max="7207" width="12.28515625" style="2442" customWidth="1"/>
    <col min="7208" max="7208" width="11.42578125" style="2442" customWidth="1"/>
    <col min="7209" max="7209" width="15" style="2442" customWidth="1"/>
    <col min="7210" max="7212" width="11.42578125" style="2442" customWidth="1"/>
    <col min="7213" max="7213" width="14.42578125" style="2442" customWidth="1"/>
    <col min="7214" max="7241" width="11.42578125" style="2442" customWidth="1"/>
    <col min="7242" max="7256" width="11.42578125" style="2442"/>
    <col min="7257" max="7257" width="28.28515625" style="2442" bestFit="1" customWidth="1"/>
    <col min="7258" max="7426" width="11.42578125" style="2442"/>
    <col min="7427" max="7427" width="63.7109375" style="2442" bestFit="1" customWidth="1"/>
    <col min="7428" max="7428" width="39.85546875" style="2442" bestFit="1" customWidth="1"/>
    <col min="7429" max="7430" width="23.140625" style="2442" bestFit="1" customWidth="1"/>
    <col min="7431" max="7431" width="27.85546875" style="2442" bestFit="1" customWidth="1"/>
    <col min="7432" max="7432" width="13" style="2442" customWidth="1"/>
    <col min="7433" max="7433" width="16" style="2442" bestFit="1" customWidth="1"/>
    <col min="7434" max="7436" width="11.42578125" style="2442"/>
    <col min="7437" max="7457" width="11.42578125" style="2442" customWidth="1"/>
    <col min="7458" max="7459" width="13.42578125" style="2442" customWidth="1"/>
    <col min="7460" max="7462" width="11.42578125" style="2442" customWidth="1"/>
    <col min="7463" max="7463" width="12.28515625" style="2442" customWidth="1"/>
    <col min="7464" max="7464" width="11.42578125" style="2442" customWidth="1"/>
    <col min="7465" max="7465" width="15" style="2442" customWidth="1"/>
    <col min="7466" max="7468" width="11.42578125" style="2442" customWidth="1"/>
    <col min="7469" max="7469" width="14.42578125" style="2442" customWidth="1"/>
    <col min="7470" max="7497" width="11.42578125" style="2442" customWidth="1"/>
    <col min="7498" max="7512" width="11.42578125" style="2442"/>
    <col min="7513" max="7513" width="28.28515625" style="2442" bestFit="1" customWidth="1"/>
    <col min="7514" max="7682" width="11.42578125" style="2442"/>
    <col min="7683" max="7683" width="63.7109375" style="2442" bestFit="1" customWidth="1"/>
    <col min="7684" max="7684" width="39.85546875" style="2442" bestFit="1" customWidth="1"/>
    <col min="7685" max="7686" width="23.140625" style="2442" bestFit="1" customWidth="1"/>
    <col min="7687" max="7687" width="27.85546875" style="2442" bestFit="1" customWidth="1"/>
    <col min="7688" max="7688" width="13" style="2442" customWidth="1"/>
    <col min="7689" max="7689" width="16" style="2442" bestFit="1" customWidth="1"/>
    <col min="7690" max="7692" width="11.42578125" style="2442"/>
    <col min="7693" max="7713" width="11.42578125" style="2442" customWidth="1"/>
    <col min="7714" max="7715" width="13.42578125" style="2442" customWidth="1"/>
    <col min="7716" max="7718" width="11.42578125" style="2442" customWidth="1"/>
    <col min="7719" max="7719" width="12.28515625" style="2442" customWidth="1"/>
    <col min="7720" max="7720" width="11.42578125" style="2442" customWidth="1"/>
    <col min="7721" max="7721" width="15" style="2442" customWidth="1"/>
    <col min="7722" max="7724" width="11.42578125" style="2442" customWidth="1"/>
    <col min="7725" max="7725" width="14.42578125" style="2442" customWidth="1"/>
    <col min="7726" max="7753" width="11.42578125" style="2442" customWidth="1"/>
    <col min="7754" max="7768" width="11.42578125" style="2442"/>
    <col min="7769" max="7769" width="28.28515625" style="2442" bestFit="1" customWidth="1"/>
    <col min="7770" max="7938" width="11.42578125" style="2442"/>
    <col min="7939" max="7939" width="63.7109375" style="2442" bestFit="1" customWidth="1"/>
    <col min="7940" max="7940" width="39.85546875" style="2442" bestFit="1" customWidth="1"/>
    <col min="7941" max="7942" width="23.140625" style="2442" bestFit="1" customWidth="1"/>
    <col min="7943" max="7943" width="27.85546875" style="2442" bestFit="1" customWidth="1"/>
    <col min="7944" max="7944" width="13" style="2442" customWidth="1"/>
    <col min="7945" max="7945" width="16" style="2442" bestFit="1" customWidth="1"/>
    <col min="7946" max="7948" width="11.42578125" style="2442"/>
    <col min="7949" max="7969" width="11.42578125" style="2442" customWidth="1"/>
    <col min="7970" max="7971" width="13.42578125" style="2442" customWidth="1"/>
    <col min="7972" max="7974" width="11.42578125" style="2442" customWidth="1"/>
    <col min="7975" max="7975" width="12.28515625" style="2442" customWidth="1"/>
    <col min="7976" max="7976" width="11.42578125" style="2442" customWidth="1"/>
    <col min="7977" max="7977" width="15" style="2442" customWidth="1"/>
    <col min="7978" max="7980" width="11.42578125" style="2442" customWidth="1"/>
    <col min="7981" max="7981" width="14.42578125" style="2442" customWidth="1"/>
    <col min="7982" max="8009" width="11.42578125" style="2442" customWidth="1"/>
    <col min="8010" max="8024" width="11.42578125" style="2442"/>
    <col min="8025" max="8025" width="28.28515625" style="2442" bestFit="1" customWidth="1"/>
    <col min="8026" max="8194" width="11.42578125" style="2442"/>
    <col min="8195" max="8195" width="63.7109375" style="2442" bestFit="1" customWidth="1"/>
    <col min="8196" max="8196" width="39.85546875" style="2442" bestFit="1" customWidth="1"/>
    <col min="8197" max="8198" width="23.140625" style="2442" bestFit="1" customWidth="1"/>
    <col min="8199" max="8199" width="27.85546875" style="2442" bestFit="1" customWidth="1"/>
    <col min="8200" max="8200" width="13" style="2442" customWidth="1"/>
    <col min="8201" max="8201" width="16" style="2442" bestFit="1" customWidth="1"/>
    <col min="8202" max="8204" width="11.42578125" style="2442"/>
    <col min="8205" max="8225" width="11.42578125" style="2442" customWidth="1"/>
    <col min="8226" max="8227" width="13.42578125" style="2442" customWidth="1"/>
    <col min="8228" max="8230" width="11.42578125" style="2442" customWidth="1"/>
    <col min="8231" max="8231" width="12.28515625" style="2442" customWidth="1"/>
    <col min="8232" max="8232" width="11.42578125" style="2442" customWidth="1"/>
    <col min="8233" max="8233" width="15" style="2442" customWidth="1"/>
    <col min="8234" max="8236" width="11.42578125" style="2442" customWidth="1"/>
    <col min="8237" max="8237" width="14.42578125" style="2442" customWidth="1"/>
    <col min="8238" max="8265" width="11.42578125" style="2442" customWidth="1"/>
    <col min="8266" max="8280" width="11.42578125" style="2442"/>
    <col min="8281" max="8281" width="28.28515625" style="2442" bestFit="1" customWidth="1"/>
    <col min="8282" max="8450" width="11.42578125" style="2442"/>
    <col min="8451" max="8451" width="63.7109375" style="2442" bestFit="1" customWidth="1"/>
    <col min="8452" max="8452" width="39.85546875" style="2442" bestFit="1" customWidth="1"/>
    <col min="8453" max="8454" width="23.140625" style="2442" bestFit="1" customWidth="1"/>
    <col min="8455" max="8455" width="27.85546875" style="2442" bestFit="1" customWidth="1"/>
    <col min="8456" max="8456" width="13" style="2442" customWidth="1"/>
    <col min="8457" max="8457" width="16" style="2442" bestFit="1" customWidth="1"/>
    <col min="8458" max="8460" width="11.42578125" style="2442"/>
    <col min="8461" max="8481" width="11.42578125" style="2442" customWidth="1"/>
    <col min="8482" max="8483" width="13.42578125" style="2442" customWidth="1"/>
    <col min="8484" max="8486" width="11.42578125" style="2442" customWidth="1"/>
    <col min="8487" max="8487" width="12.28515625" style="2442" customWidth="1"/>
    <col min="8488" max="8488" width="11.42578125" style="2442" customWidth="1"/>
    <col min="8489" max="8489" width="15" style="2442" customWidth="1"/>
    <col min="8490" max="8492" width="11.42578125" style="2442" customWidth="1"/>
    <col min="8493" max="8493" width="14.42578125" style="2442" customWidth="1"/>
    <col min="8494" max="8521" width="11.42578125" style="2442" customWidth="1"/>
    <col min="8522" max="8536" width="11.42578125" style="2442"/>
    <col min="8537" max="8537" width="28.28515625" style="2442" bestFit="1" customWidth="1"/>
    <col min="8538" max="8706" width="11.42578125" style="2442"/>
    <col min="8707" max="8707" width="63.7109375" style="2442" bestFit="1" customWidth="1"/>
    <col min="8708" max="8708" width="39.85546875" style="2442" bestFit="1" customWidth="1"/>
    <col min="8709" max="8710" width="23.140625" style="2442" bestFit="1" customWidth="1"/>
    <col min="8711" max="8711" width="27.85546875" style="2442" bestFit="1" customWidth="1"/>
    <col min="8712" max="8712" width="13" style="2442" customWidth="1"/>
    <col min="8713" max="8713" width="16" style="2442" bestFit="1" customWidth="1"/>
    <col min="8714" max="8716" width="11.42578125" style="2442"/>
    <col min="8717" max="8737" width="11.42578125" style="2442" customWidth="1"/>
    <col min="8738" max="8739" width="13.42578125" style="2442" customWidth="1"/>
    <col min="8740" max="8742" width="11.42578125" style="2442" customWidth="1"/>
    <col min="8743" max="8743" width="12.28515625" style="2442" customWidth="1"/>
    <col min="8744" max="8744" width="11.42578125" style="2442" customWidth="1"/>
    <col min="8745" max="8745" width="15" style="2442" customWidth="1"/>
    <col min="8746" max="8748" width="11.42578125" style="2442" customWidth="1"/>
    <col min="8749" max="8749" width="14.42578125" style="2442" customWidth="1"/>
    <col min="8750" max="8777" width="11.42578125" style="2442" customWidth="1"/>
    <col min="8778" max="8792" width="11.42578125" style="2442"/>
    <col min="8793" max="8793" width="28.28515625" style="2442" bestFit="1" customWidth="1"/>
    <col min="8794" max="8962" width="11.42578125" style="2442"/>
    <col min="8963" max="8963" width="63.7109375" style="2442" bestFit="1" customWidth="1"/>
    <col min="8964" max="8964" width="39.85546875" style="2442" bestFit="1" customWidth="1"/>
    <col min="8965" max="8966" width="23.140625" style="2442" bestFit="1" customWidth="1"/>
    <col min="8967" max="8967" width="27.85546875" style="2442" bestFit="1" customWidth="1"/>
    <col min="8968" max="8968" width="13" style="2442" customWidth="1"/>
    <col min="8969" max="8969" width="16" style="2442" bestFit="1" customWidth="1"/>
    <col min="8970" max="8972" width="11.42578125" style="2442"/>
    <col min="8973" max="8993" width="11.42578125" style="2442" customWidth="1"/>
    <col min="8994" max="8995" width="13.42578125" style="2442" customWidth="1"/>
    <col min="8996" max="8998" width="11.42578125" style="2442" customWidth="1"/>
    <col min="8999" max="8999" width="12.28515625" style="2442" customWidth="1"/>
    <col min="9000" max="9000" width="11.42578125" style="2442" customWidth="1"/>
    <col min="9001" max="9001" width="15" style="2442" customWidth="1"/>
    <col min="9002" max="9004" width="11.42578125" style="2442" customWidth="1"/>
    <col min="9005" max="9005" width="14.42578125" style="2442" customWidth="1"/>
    <col min="9006" max="9033" width="11.42578125" style="2442" customWidth="1"/>
    <col min="9034" max="9048" width="11.42578125" style="2442"/>
    <col min="9049" max="9049" width="28.28515625" style="2442" bestFit="1" customWidth="1"/>
    <col min="9050" max="9218" width="11.42578125" style="2442"/>
    <col min="9219" max="9219" width="63.7109375" style="2442" bestFit="1" customWidth="1"/>
    <col min="9220" max="9220" width="39.85546875" style="2442" bestFit="1" customWidth="1"/>
    <col min="9221" max="9222" width="23.140625" style="2442" bestFit="1" customWidth="1"/>
    <col min="9223" max="9223" width="27.85546875" style="2442" bestFit="1" customWidth="1"/>
    <col min="9224" max="9224" width="13" style="2442" customWidth="1"/>
    <col min="9225" max="9225" width="16" style="2442" bestFit="1" customWidth="1"/>
    <col min="9226" max="9228" width="11.42578125" style="2442"/>
    <col min="9229" max="9249" width="11.42578125" style="2442" customWidth="1"/>
    <col min="9250" max="9251" width="13.42578125" style="2442" customWidth="1"/>
    <col min="9252" max="9254" width="11.42578125" style="2442" customWidth="1"/>
    <col min="9255" max="9255" width="12.28515625" style="2442" customWidth="1"/>
    <col min="9256" max="9256" width="11.42578125" style="2442" customWidth="1"/>
    <col min="9257" max="9257" width="15" style="2442" customWidth="1"/>
    <col min="9258" max="9260" width="11.42578125" style="2442" customWidth="1"/>
    <col min="9261" max="9261" width="14.42578125" style="2442" customWidth="1"/>
    <col min="9262" max="9289" width="11.42578125" style="2442" customWidth="1"/>
    <col min="9290" max="9304" width="11.42578125" style="2442"/>
    <col min="9305" max="9305" width="28.28515625" style="2442" bestFit="1" customWidth="1"/>
    <col min="9306" max="9474" width="11.42578125" style="2442"/>
    <col min="9475" max="9475" width="63.7109375" style="2442" bestFit="1" customWidth="1"/>
    <col min="9476" max="9476" width="39.85546875" style="2442" bestFit="1" customWidth="1"/>
    <col min="9477" max="9478" width="23.140625" style="2442" bestFit="1" customWidth="1"/>
    <col min="9479" max="9479" width="27.85546875" style="2442" bestFit="1" customWidth="1"/>
    <col min="9480" max="9480" width="13" style="2442" customWidth="1"/>
    <col min="9481" max="9481" width="16" style="2442" bestFit="1" customWidth="1"/>
    <col min="9482" max="9484" width="11.42578125" style="2442"/>
    <col min="9485" max="9505" width="11.42578125" style="2442" customWidth="1"/>
    <col min="9506" max="9507" width="13.42578125" style="2442" customWidth="1"/>
    <col min="9508" max="9510" width="11.42578125" style="2442" customWidth="1"/>
    <col min="9511" max="9511" width="12.28515625" style="2442" customWidth="1"/>
    <col min="9512" max="9512" width="11.42578125" style="2442" customWidth="1"/>
    <col min="9513" max="9513" width="15" style="2442" customWidth="1"/>
    <col min="9514" max="9516" width="11.42578125" style="2442" customWidth="1"/>
    <col min="9517" max="9517" width="14.42578125" style="2442" customWidth="1"/>
    <col min="9518" max="9545" width="11.42578125" style="2442" customWidth="1"/>
    <col min="9546" max="9560" width="11.42578125" style="2442"/>
    <col min="9561" max="9561" width="28.28515625" style="2442" bestFit="1" customWidth="1"/>
    <col min="9562" max="9730" width="11.42578125" style="2442"/>
    <col min="9731" max="9731" width="63.7109375" style="2442" bestFit="1" customWidth="1"/>
    <col min="9732" max="9732" width="39.85546875" style="2442" bestFit="1" customWidth="1"/>
    <col min="9733" max="9734" width="23.140625" style="2442" bestFit="1" customWidth="1"/>
    <col min="9735" max="9735" width="27.85546875" style="2442" bestFit="1" customWidth="1"/>
    <col min="9736" max="9736" width="13" style="2442" customWidth="1"/>
    <col min="9737" max="9737" width="16" style="2442" bestFit="1" customWidth="1"/>
    <col min="9738" max="9740" width="11.42578125" style="2442"/>
    <col min="9741" max="9761" width="11.42578125" style="2442" customWidth="1"/>
    <col min="9762" max="9763" width="13.42578125" style="2442" customWidth="1"/>
    <col min="9764" max="9766" width="11.42578125" style="2442" customWidth="1"/>
    <col min="9767" max="9767" width="12.28515625" style="2442" customWidth="1"/>
    <col min="9768" max="9768" width="11.42578125" style="2442" customWidth="1"/>
    <col min="9769" max="9769" width="15" style="2442" customWidth="1"/>
    <col min="9770" max="9772" width="11.42578125" style="2442" customWidth="1"/>
    <col min="9773" max="9773" width="14.42578125" style="2442" customWidth="1"/>
    <col min="9774" max="9801" width="11.42578125" style="2442" customWidth="1"/>
    <col min="9802" max="9816" width="11.42578125" style="2442"/>
    <col min="9817" max="9817" width="28.28515625" style="2442" bestFit="1" customWidth="1"/>
    <col min="9818" max="9986" width="11.42578125" style="2442"/>
    <col min="9987" max="9987" width="63.7109375" style="2442" bestFit="1" customWidth="1"/>
    <col min="9988" max="9988" width="39.85546875" style="2442" bestFit="1" customWidth="1"/>
    <col min="9989" max="9990" width="23.140625" style="2442" bestFit="1" customWidth="1"/>
    <col min="9991" max="9991" width="27.85546875" style="2442" bestFit="1" customWidth="1"/>
    <col min="9992" max="9992" width="13" style="2442" customWidth="1"/>
    <col min="9993" max="9993" width="16" style="2442" bestFit="1" customWidth="1"/>
    <col min="9994" max="9996" width="11.42578125" style="2442"/>
    <col min="9997" max="10017" width="11.42578125" style="2442" customWidth="1"/>
    <col min="10018" max="10019" width="13.42578125" style="2442" customWidth="1"/>
    <col min="10020" max="10022" width="11.42578125" style="2442" customWidth="1"/>
    <col min="10023" max="10023" width="12.28515625" style="2442" customWidth="1"/>
    <col min="10024" max="10024" width="11.42578125" style="2442" customWidth="1"/>
    <col min="10025" max="10025" width="15" style="2442" customWidth="1"/>
    <col min="10026" max="10028" width="11.42578125" style="2442" customWidth="1"/>
    <col min="10029" max="10029" width="14.42578125" style="2442" customWidth="1"/>
    <col min="10030" max="10057" width="11.42578125" style="2442" customWidth="1"/>
    <col min="10058" max="10072" width="11.42578125" style="2442"/>
    <col min="10073" max="10073" width="28.28515625" style="2442" bestFit="1" customWidth="1"/>
    <col min="10074" max="10242" width="11.42578125" style="2442"/>
    <col min="10243" max="10243" width="63.7109375" style="2442" bestFit="1" customWidth="1"/>
    <col min="10244" max="10244" width="39.85546875" style="2442" bestFit="1" customWidth="1"/>
    <col min="10245" max="10246" width="23.140625" style="2442" bestFit="1" customWidth="1"/>
    <col min="10247" max="10247" width="27.85546875" style="2442" bestFit="1" customWidth="1"/>
    <col min="10248" max="10248" width="13" style="2442" customWidth="1"/>
    <col min="10249" max="10249" width="16" style="2442" bestFit="1" customWidth="1"/>
    <col min="10250" max="10252" width="11.42578125" style="2442"/>
    <col min="10253" max="10273" width="11.42578125" style="2442" customWidth="1"/>
    <col min="10274" max="10275" width="13.42578125" style="2442" customWidth="1"/>
    <col min="10276" max="10278" width="11.42578125" style="2442" customWidth="1"/>
    <col min="10279" max="10279" width="12.28515625" style="2442" customWidth="1"/>
    <col min="10280" max="10280" width="11.42578125" style="2442" customWidth="1"/>
    <col min="10281" max="10281" width="15" style="2442" customWidth="1"/>
    <col min="10282" max="10284" width="11.42578125" style="2442" customWidth="1"/>
    <col min="10285" max="10285" width="14.42578125" style="2442" customWidth="1"/>
    <col min="10286" max="10313" width="11.42578125" style="2442" customWidth="1"/>
    <col min="10314" max="10328" width="11.42578125" style="2442"/>
    <col min="10329" max="10329" width="28.28515625" style="2442" bestFit="1" customWidth="1"/>
    <col min="10330" max="10498" width="11.42578125" style="2442"/>
    <col min="10499" max="10499" width="63.7109375" style="2442" bestFit="1" customWidth="1"/>
    <col min="10500" max="10500" width="39.85546875" style="2442" bestFit="1" customWidth="1"/>
    <col min="10501" max="10502" width="23.140625" style="2442" bestFit="1" customWidth="1"/>
    <col min="10503" max="10503" width="27.85546875" style="2442" bestFit="1" customWidth="1"/>
    <col min="10504" max="10504" width="13" style="2442" customWidth="1"/>
    <col min="10505" max="10505" width="16" style="2442" bestFit="1" customWidth="1"/>
    <col min="10506" max="10508" width="11.42578125" style="2442"/>
    <col min="10509" max="10529" width="11.42578125" style="2442" customWidth="1"/>
    <col min="10530" max="10531" width="13.42578125" style="2442" customWidth="1"/>
    <col min="10532" max="10534" width="11.42578125" style="2442" customWidth="1"/>
    <col min="10535" max="10535" width="12.28515625" style="2442" customWidth="1"/>
    <col min="10536" max="10536" width="11.42578125" style="2442" customWidth="1"/>
    <col min="10537" max="10537" width="15" style="2442" customWidth="1"/>
    <col min="10538" max="10540" width="11.42578125" style="2442" customWidth="1"/>
    <col min="10541" max="10541" width="14.42578125" style="2442" customWidth="1"/>
    <col min="10542" max="10569" width="11.42578125" style="2442" customWidth="1"/>
    <col min="10570" max="10584" width="11.42578125" style="2442"/>
    <col min="10585" max="10585" width="28.28515625" style="2442" bestFit="1" customWidth="1"/>
    <col min="10586" max="10754" width="11.42578125" style="2442"/>
    <col min="10755" max="10755" width="63.7109375" style="2442" bestFit="1" customWidth="1"/>
    <col min="10756" max="10756" width="39.85546875" style="2442" bestFit="1" customWidth="1"/>
    <col min="10757" max="10758" width="23.140625" style="2442" bestFit="1" customWidth="1"/>
    <col min="10759" max="10759" width="27.85546875" style="2442" bestFit="1" customWidth="1"/>
    <col min="10760" max="10760" width="13" style="2442" customWidth="1"/>
    <col min="10761" max="10761" width="16" style="2442" bestFit="1" customWidth="1"/>
    <col min="10762" max="10764" width="11.42578125" style="2442"/>
    <col min="10765" max="10785" width="11.42578125" style="2442" customWidth="1"/>
    <col min="10786" max="10787" width="13.42578125" style="2442" customWidth="1"/>
    <col min="10788" max="10790" width="11.42578125" style="2442" customWidth="1"/>
    <col min="10791" max="10791" width="12.28515625" style="2442" customWidth="1"/>
    <col min="10792" max="10792" width="11.42578125" style="2442" customWidth="1"/>
    <col min="10793" max="10793" width="15" style="2442" customWidth="1"/>
    <col min="10794" max="10796" width="11.42578125" style="2442" customWidth="1"/>
    <col min="10797" max="10797" width="14.42578125" style="2442" customWidth="1"/>
    <col min="10798" max="10825" width="11.42578125" style="2442" customWidth="1"/>
    <col min="10826" max="10840" width="11.42578125" style="2442"/>
    <col min="10841" max="10841" width="28.28515625" style="2442" bestFit="1" customWidth="1"/>
    <col min="10842" max="11010" width="11.42578125" style="2442"/>
    <col min="11011" max="11011" width="63.7109375" style="2442" bestFit="1" customWidth="1"/>
    <col min="11012" max="11012" width="39.85546875" style="2442" bestFit="1" customWidth="1"/>
    <col min="11013" max="11014" width="23.140625" style="2442" bestFit="1" customWidth="1"/>
    <col min="11015" max="11015" width="27.85546875" style="2442" bestFit="1" customWidth="1"/>
    <col min="11016" max="11016" width="13" style="2442" customWidth="1"/>
    <col min="11017" max="11017" width="16" style="2442" bestFit="1" customWidth="1"/>
    <col min="11018" max="11020" width="11.42578125" style="2442"/>
    <col min="11021" max="11041" width="11.42578125" style="2442" customWidth="1"/>
    <col min="11042" max="11043" width="13.42578125" style="2442" customWidth="1"/>
    <col min="11044" max="11046" width="11.42578125" style="2442" customWidth="1"/>
    <col min="11047" max="11047" width="12.28515625" style="2442" customWidth="1"/>
    <col min="11048" max="11048" width="11.42578125" style="2442" customWidth="1"/>
    <col min="11049" max="11049" width="15" style="2442" customWidth="1"/>
    <col min="11050" max="11052" width="11.42578125" style="2442" customWidth="1"/>
    <col min="11053" max="11053" width="14.42578125" style="2442" customWidth="1"/>
    <col min="11054" max="11081" width="11.42578125" style="2442" customWidth="1"/>
    <col min="11082" max="11096" width="11.42578125" style="2442"/>
    <col min="11097" max="11097" width="28.28515625" style="2442" bestFit="1" customWidth="1"/>
    <col min="11098" max="11266" width="11.42578125" style="2442"/>
    <col min="11267" max="11267" width="63.7109375" style="2442" bestFit="1" customWidth="1"/>
    <col min="11268" max="11268" width="39.85546875" style="2442" bestFit="1" customWidth="1"/>
    <col min="11269" max="11270" width="23.140625" style="2442" bestFit="1" customWidth="1"/>
    <col min="11271" max="11271" width="27.85546875" style="2442" bestFit="1" customWidth="1"/>
    <col min="11272" max="11272" width="13" style="2442" customWidth="1"/>
    <col min="11273" max="11273" width="16" style="2442" bestFit="1" customWidth="1"/>
    <col min="11274" max="11276" width="11.42578125" style="2442"/>
    <col min="11277" max="11297" width="11.42578125" style="2442" customWidth="1"/>
    <col min="11298" max="11299" width="13.42578125" style="2442" customWidth="1"/>
    <col min="11300" max="11302" width="11.42578125" style="2442" customWidth="1"/>
    <col min="11303" max="11303" width="12.28515625" style="2442" customWidth="1"/>
    <col min="11304" max="11304" width="11.42578125" style="2442" customWidth="1"/>
    <col min="11305" max="11305" width="15" style="2442" customWidth="1"/>
    <col min="11306" max="11308" width="11.42578125" style="2442" customWidth="1"/>
    <col min="11309" max="11309" width="14.42578125" style="2442" customWidth="1"/>
    <col min="11310" max="11337" width="11.42578125" style="2442" customWidth="1"/>
    <col min="11338" max="11352" width="11.42578125" style="2442"/>
    <col min="11353" max="11353" width="28.28515625" style="2442" bestFit="1" customWidth="1"/>
    <col min="11354" max="11522" width="11.42578125" style="2442"/>
    <col min="11523" max="11523" width="63.7109375" style="2442" bestFit="1" customWidth="1"/>
    <col min="11524" max="11524" width="39.85546875" style="2442" bestFit="1" customWidth="1"/>
    <col min="11525" max="11526" width="23.140625" style="2442" bestFit="1" customWidth="1"/>
    <col min="11527" max="11527" width="27.85546875" style="2442" bestFit="1" customWidth="1"/>
    <col min="11528" max="11528" width="13" style="2442" customWidth="1"/>
    <col min="11529" max="11529" width="16" style="2442" bestFit="1" customWidth="1"/>
    <col min="11530" max="11532" width="11.42578125" style="2442"/>
    <col min="11533" max="11553" width="11.42578125" style="2442" customWidth="1"/>
    <col min="11554" max="11555" width="13.42578125" style="2442" customWidth="1"/>
    <col min="11556" max="11558" width="11.42578125" style="2442" customWidth="1"/>
    <col min="11559" max="11559" width="12.28515625" style="2442" customWidth="1"/>
    <col min="11560" max="11560" width="11.42578125" style="2442" customWidth="1"/>
    <col min="11561" max="11561" width="15" style="2442" customWidth="1"/>
    <col min="11562" max="11564" width="11.42578125" style="2442" customWidth="1"/>
    <col min="11565" max="11565" width="14.42578125" style="2442" customWidth="1"/>
    <col min="11566" max="11593" width="11.42578125" style="2442" customWidth="1"/>
    <col min="11594" max="11608" width="11.42578125" style="2442"/>
    <col min="11609" max="11609" width="28.28515625" style="2442" bestFit="1" customWidth="1"/>
    <col min="11610" max="11778" width="11.42578125" style="2442"/>
    <col min="11779" max="11779" width="63.7109375" style="2442" bestFit="1" customWidth="1"/>
    <col min="11780" max="11780" width="39.85546875" style="2442" bestFit="1" customWidth="1"/>
    <col min="11781" max="11782" width="23.140625" style="2442" bestFit="1" customWidth="1"/>
    <col min="11783" max="11783" width="27.85546875" style="2442" bestFit="1" customWidth="1"/>
    <col min="11784" max="11784" width="13" style="2442" customWidth="1"/>
    <col min="11785" max="11785" width="16" style="2442" bestFit="1" customWidth="1"/>
    <col min="11786" max="11788" width="11.42578125" style="2442"/>
    <col min="11789" max="11809" width="11.42578125" style="2442" customWidth="1"/>
    <col min="11810" max="11811" width="13.42578125" style="2442" customWidth="1"/>
    <col min="11812" max="11814" width="11.42578125" style="2442" customWidth="1"/>
    <col min="11815" max="11815" width="12.28515625" style="2442" customWidth="1"/>
    <col min="11816" max="11816" width="11.42578125" style="2442" customWidth="1"/>
    <col min="11817" max="11817" width="15" style="2442" customWidth="1"/>
    <col min="11818" max="11820" width="11.42578125" style="2442" customWidth="1"/>
    <col min="11821" max="11821" width="14.42578125" style="2442" customWidth="1"/>
    <col min="11822" max="11849" width="11.42578125" style="2442" customWidth="1"/>
    <col min="11850" max="11864" width="11.42578125" style="2442"/>
    <col min="11865" max="11865" width="28.28515625" style="2442" bestFit="1" customWidth="1"/>
    <col min="11866" max="12034" width="11.42578125" style="2442"/>
    <col min="12035" max="12035" width="63.7109375" style="2442" bestFit="1" customWidth="1"/>
    <col min="12036" max="12036" width="39.85546875" style="2442" bestFit="1" customWidth="1"/>
    <col min="12037" max="12038" width="23.140625" style="2442" bestFit="1" customWidth="1"/>
    <col min="12039" max="12039" width="27.85546875" style="2442" bestFit="1" customWidth="1"/>
    <col min="12040" max="12040" width="13" style="2442" customWidth="1"/>
    <col min="12041" max="12041" width="16" style="2442" bestFit="1" customWidth="1"/>
    <col min="12042" max="12044" width="11.42578125" style="2442"/>
    <col min="12045" max="12065" width="11.42578125" style="2442" customWidth="1"/>
    <col min="12066" max="12067" width="13.42578125" style="2442" customWidth="1"/>
    <col min="12068" max="12070" width="11.42578125" style="2442" customWidth="1"/>
    <col min="12071" max="12071" width="12.28515625" style="2442" customWidth="1"/>
    <col min="12072" max="12072" width="11.42578125" style="2442" customWidth="1"/>
    <col min="12073" max="12073" width="15" style="2442" customWidth="1"/>
    <col min="12074" max="12076" width="11.42578125" style="2442" customWidth="1"/>
    <col min="12077" max="12077" width="14.42578125" style="2442" customWidth="1"/>
    <col min="12078" max="12105" width="11.42578125" style="2442" customWidth="1"/>
    <col min="12106" max="12120" width="11.42578125" style="2442"/>
    <col min="12121" max="12121" width="28.28515625" style="2442" bestFit="1" customWidth="1"/>
    <col min="12122" max="12290" width="11.42578125" style="2442"/>
    <col min="12291" max="12291" width="63.7109375" style="2442" bestFit="1" customWidth="1"/>
    <col min="12292" max="12292" width="39.85546875" style="2442" bestFit="1" customWidth="1"/>
    <col min="12293" max="12294" width="23.140625" style="2442" bestFit="1" customWidth="1"/>
    <col min="12295" max="12295" width="27.85546875" style="2442" bestFit="1" customWidth="1"/>
    <col min="12296" max="12296" width="13" style="2442" customWidth="1"/>
    <col min="12297" max="12297" width="16" style="2442" bestFit="1" customWidth="1"/>
    <col min="12298" max="12300" width="11.42578125" style="2442"/>
    <col min="12301" max="12321" width="11.42578125" style="2442" customWidth="1"/>
    <col min="12322" max="12323" width="13.42578125" style="2442" customWidth="1"/>
    <col min="12324" max="12326" width="11.42578125" style="2442" customWidth="1"/>
    <col min="12327" max="12327" width="12.28515625" style="2442" customWidth="1"/>
    <col min="12328" max="12328" width="11.42578125" style="2442" customWidth="1"/>
    <col min="12329" max="12329" width="15" style="2442" customWidth="1"/>
    <col min="12330" max="12332" width="11.42578125" style="2442" customWidth="1"/>
    <col min="12333" max="12333" width="14.42578125" style="2442" customWidth="1"/>
    <col min="12334" max="12361" width="11.42578125" style="2442" customWidth="1"/>
    <col min="12362" max="12376" width="11.42578125" style="2442"/>
    <col min="12377" max="12377" width="28.28515625" style="2442" bestFit="1" customWidth="1"/>
    <col min="12378" max="12546" width="11.42578125" style="2442"/>
    <col min="12547" max="12547" width="63.7109375" style="2442" bestFit="1" customWidth="1"/>
    <col min="12548" max="12548" width="39.85546875" style="2442" bestFit="1" customWidth="1"/>
    <col min="12549" max="12550" width="23.140625" style="2442" bestFit="1" customWidth="1"/>
    <col min="12551" max="12551" width="27.85546875" style="2442" bestFit="1" customWidth="1"/>
    <col min="12552" max="12552" width="13" style="2442" customWidth="1"/>
    <col min="12553" max="12553" width="16" style="2442" bestFit="1" customWidth="1"/>
    <col min="12554" max="12556" width="11.42578125" style="2442"/>
    <col min="12557" max="12577" width="11.42578125" style="2442" customWidth="1"/>
    <col min="12578" max="12579" width="13.42578125" style="2442" customWidth="1"/>
    <col min="12580" max="12582" width="11.42578125" style="2442" customWidth="1"/>
    <col min="12583" max="12583" width="12.28515625" style="2442" customWidth="1"/>
    <col min="12584" max="12584" width="11.42578125" style="2442" customWidth="1"/>
    <col min="12585" max="12585" width="15" style="2442" customWidth="1"/>
    <col min="12586" max="12588" width="11.42578125" style="2442" customWidth="1"/>
    <col min="12589" max="12589" width="14.42578125" style="2442" customWidth="1"/>
    <col min="12590" max="12617" width="11.42578125" style="2442" customWidth="1"/>
    <col min="12618" max="12632" width="11.42578125" style="2442"/>
    <col min="12633" max="12633" width="28.28515625" style="2442" bestFit="1" customWidth="1"/>
    <col min="12634" max="12802" width="11.42578125" style="2442"/>
    <col min="12803" max="12803" width="63.7109375" style="2442" bestFit="1" customWidth="1"/>
    <col min="12804" max="12804" width="39.85546875" style="2442" bestFit="1" customWidth="1"/>
    <col min="12805" max="12806" width="23.140625" style="2442" bestFit="1" customWidth="1"/>
    <col min="12807" max="12807" width="27.85546875" style="2442" bestFit="1" customWidth="1"/>
    <col min="12808" max="12808" width="13" style="2442" customWidth="1"/>
    <col min="12809" max="12809" width="16" style="2442" bestFit="1" customWidth="1"/>
    <col min="12810" max="12812" width="11.42578125" style="2442"/>
    <col min="12813" max="12833" width="11.42578125" style="2442" customWidth="1"/>
    <col min="12834" max="12835" width="13.42578125" style="2442" customWidth="1"/>
    <col min="12836" max="12838" width="11.42578125" style="2442" customWidth="1"/>
    <col min="12839" max="12839" width="12.28515625" style="2442" customWidth="1"/>
    <col min="12840" max="12840" width="11.42578125" style="2442" customWidth="1"/>
    <col min="12841" max="12841" width="15" style="2442" customWidth="1"/>
    <col min="12842" max="12844" width="11.42578125" style="2442" customWidth="1"/>
    <col min="12845" max="12845" width="14.42578125" style="2442" customWidth="1"/>
    <col min="12846" max="12873" width="11.42578125" style="2442" customWidth="1"/>
    <col min="12874" max="12888" width="11.42578125" style="2442"/>
    <col min="12889" max="12889" width="28.28515625" style="2442" bestFit="1" customWidth="1"/>
    <col min="12890" max="13058" width="11.42578125" style="2442"/>
    <col min="13059" max="13059" width="63.7109375" style="2442" bestFit="1" customWidth="1"/>
    <col min="13060" max="13060" width="39.85546875" style="2442" bestFit="1" customWidth="1"/>
    <col min="13061" max="13062" width="23.140625" style="2442" bestFit="1" customWidth="1"/>
    <col min="13063" max="13063" width="27.85546875" style="2442" bestFit="1" customWidth="1"/>
    <col min="13064" max="13064" width="13" style="2442" customWidth="1"/>
    <col min="13065" max="13065" width="16" style="2442" bestFit="1" customWidth="1"/>
    <col min="13066" max="13068" width="11.42578125" style="2442"/>
    <col min="13069" max="13089" width="11.42578125" style="2442" customWidth="1"/>
    <col min="13090" max="13091" width="13.42578125" style="2442" customWidth="1"/>
    <col min="13092" max="13094" width="11.42578125" style="2442" customWidth="1"/>
    <col min="13095" max="13095" width="12.28515625" style="2442" customWidth="1"/>
    <col min="13096" max="13096" width="11.42578125" style="2442" customWidth="1"/>
    <col min="13097" max="13097" width="15" style="2442" customWidth="1"/>
    <col min="13098" max="13100" width="11.42578125" style="2442" customWidth="1"/>
    <col min="13101" max="13101" width="14.42578125" style="2442" customWidth="1"/>
    <col min="13102" max="13129" width="11.42578125" style="2442" customWidth="1"/>
    <col min="13130" max="13144" width="11.42578125" style="2442"/>
    <col min="13145" max="13145" width="28.28515625" style="2442" bestFit="1" customWidth="1"/>
    <col min="13146" max="13314" width="11.42578125" style="2442"/>
    <col min="13315" max="13315" width="63.7109375" style="2442" bestFit="1" customWidth="1"/>
    <col min="13316" max="13316" width="39.85546875" style="2442" bestFit="1" customWidth="1"/>
    <col min="13317" max="13318" width="23.140625" style="2442" bestFit="1" customWidth="1"/>
    <col min="13319" max="13319" width="27.85546875" style="2442" bestFit="1" customWidth="1"/>
    <col min="13320" max="13320" width="13" style="2442" customWidth="1"/>
    <col min="13321" max="13321" width="16" style="2442" bestFit="1" customWidth="1"/>
    <col min="13322" max="13324" width="11.42578125" style="2442"/>
    <col min="13325" max="13345" width="11.42578125" style="2442" customWidth="1"/>
    <col min="13346" max="13347" width="13.42578125" style="2442" customWidth="1"/>
    <col min="13348" max="13350" width="11.42578125" style="2442" customWidth="1"/>
    <col min="13351" max="13351" width="12.28515625" style="2442" customWidth="1"/>
    <col min="13352" max="13352" width="11.42578125" style="2442" customWidth="1"/>
    <col min="13353" max="13353" width="15" style="2442" customWidth="1"/>
    <col min="13354" max="13356" width="11.42578125" style="2442" customWidth="1"/>
    <col min="13357" max="13357" width="14.42578125" style="2442" customWidth="1"/>
    <col min="13358" max="13385" width="11.42578125" style="2442" customWidth="1"/>
    <col min="13386" max="13400" width="11.42578125" style="2442"/>
    <col min="13401" max="13401" width="28.28515625" style="2442" bestFit="1" customWidth="1"/>
    <col min="13402" max="13570" width="11.42578125" style="2442"/>
    <col min="13571" max="13571" width="63.7109375" style="2442" bestFit="1" customWidth="1"/>
    <col min="13572" max="13572" width="39.85546875" style="2442" bestFit="1" customWidth="1"/>
    <col min="13573" max="13574" width="23.140625" style="2442" bestFit="1" customWidth="1"/>
    <col min="13575" max="13575" width="27.85546875" style="2442" bestFit="1" customWidth="1"/>
    <col min="13576" max="13576" width="13" style="2442" customWidth="1"/>
    <col min="13577" max="13577" width="16" style="2442" bestFit="1" customWidth="1"/>
    <col min="13578" max="13580" width="11.42578125" style="2442"/>
    <col min="13581" max="13601" width="11.42578125" style="2442" customWidth="1"/>
    <col min="13602" max="13603" width="13.42578125" style="2442" customWidth="1"/>
    <col min="13604" max="13606" width="11.42578125" style="2442" customWidth="1"/>
    <col min="13607" max="13607" width="12.28515625" style="2442" customWidth="1"/>
    <col min="13608" max="13608" width="11.42578125" style="2442" customWidth="1"/>
    <col min="13609" max="13609" width="15" style="2442" customWidth="1"/>
    <col min="13610" max="13612" width="11.42578125" style="2442" customWidth="1"/>
    <col min="13613" max="13613" width="14.42578125" style="2442" customWidth="1"/>
    <col min="13614" max="13641" width="11.42578125" style="2442" customWidth="1"/>
    <col min="13642" max="13656" width="11.42578125" style="2442"/>
    <col min="13657" max="13657" width="28.28515625" style="2442" bestFit="1" customWidth="1"/>
    <col min="13658" max="13826" width="11.42578125" style="2442"/>
    <col min="13827" max="13827" width="63.7109375" style="2442" bestFit="1" customWidth="1"/>
    <col min="13828" max="13828" width="39.85546875" style="2442" bestFit="1" customWidth="1"/>
    <col min="13829" max="13830" width="23.140625" style="2442" bestFit="1" customWidth="1"/>
    <col min="13831" max="13831" width="27.85546875" style="2442" bestFit="1" customWidth="1"/>
    <col min="13832" max="13832" width="13" style="2442" customWidth="1"/>
    <col min="13833" max="13833" width="16" style="2442" bestFit="1" customWidth="1"/>
    <col min="13834" max="13836" width="11.42578125" style="2442"/>
    <col min="13837" max="13857" width="11.42578125" style="2442" customWidth="1"/>
    <col min="13858" max="13859" width="13.42578125" style="2442" customWidth="1"/>
    <col min="13860" max="13862" width="11.42578125" style="2442" customWidth="1"/>
    <col min="13863" max="13863" width="12.28515625" style="2442" customWidth="1"/>
    <col min="13864" max="13864" width="11.42578125" style="2442" customWidth="1"/>
    <col min="13865" max="13865" width="15" style="2442" customWidth="1"/>
    <col min="13866" max="13868" width="11.42578125" style="2442" customWidth="1"/>
    <col min="13869" max="13869" width="14.42578125" style="2442" customWidth="1"/>
    <col min="13870" max="13897" width="11.42578125" style="2442" customWidth="1"/>
    <col min="13898" max="13912" width="11.42578125" style="2442"/>
    <col min="13913" max="13913" width="28.28515625" style="2442" bestFit="1" customWidth="1"/>
    <col min="13914" max="14082" width="11.42578125" style="2442"/>
    <col min="14083" max="14083" width="63.7109375" style="2442" bestFit="1" customWidth="1"/>
    <col min="14084" max="14084" width="39.85546875" style="2442" bestFit="1" customWidth="1"/>
    <col min="14085" max="14086" width="23.140625" style="2442" bestFit="1" customWidth="1"/>
    <col min="14087" max="14087" width="27.85546875" style="2442" bestFit="1" customWidth="1"/>
    <col min="14088" max="14088" width="13" style="2442" customWidth="1"/>
    <col min="14089" max="14089" width="16" style="2442" bestFit="1" customWidth="1"/>
    <col min="14090" max="14092" width="11.42578125" style="2442"/>
    <col min="14093" max="14113" width="11.42578125" style="2442" customWidth="1"/>
    <col min="14114" max="14115" width="13.42578125" style="2442" customWidth="1"/>
    <col min="14116" max="14118" width="11.42578125" style="2442" customWidth="1"/>
    <col min="14119" max="14119" width="12.28515625" style="2442" customWidth="1"/>
    <col min="14120" max="14120" width="11.42578125" style="2442" customWidth="1"/>
    <col min="14121" max="14121" width="15" style="2442" customWidth="1"/>
    <col min="14122" max="14124" width="11.42578125" style="2442" customWidth="1"/>
    <col min="14125" max="14125" width="14.42578125" style="2442" customWidth="1"/>
    <col min="14126" max="14153" width="11.42578125" style="2442" customWidth="1"/>
    <col min="14154" max="14168" width="11.42578125" style="2442"/>
    <col min="14169" max="14169" width="28.28515625" style="2442" bestFit="1" customWidth="1"/>
    <col min="14170" max="14338" width="11.42578125" style="2442"/>
    <col min="14339" max="14339" width="63.7109375" style="2442" bestFit="1" customWidth="1"/>
    <col min="14340" max="14340" width="39.85546875" style="2442" bestFit="1" customWidth="1"/>
    <col min="14341" max="14342" width="23.140625" style="2442" bestFit="1" customWidth="1"/>
    <col min="14343" max="14343" width="27.85546875" style="2442" bestFit="1" customWidth="1"/>
    <col min="14344" max="14344" width="13" style="2442" customWidth="1"/>
    <col min="14345" max="14345" width="16" style="2442" bestFit="1" customWidth="1"/>
    <col min="14346" max="14348" width="11.42578125" style="2442"/>
    <col min="14349" max="14369" width="11.42578125" style="2442" customWidth="1"/>
    <col min="14370" max="14371" width="13.42578125" style="2442" customWidth="1"/>
    <col min="14372" max="14374" width="11.42578125" style="2442" customWidth="1"/>
    <col min="14375" max="14375" width="12.28515625" style="2442" customWidth="1"/>
    <col min="14376" max="14376" width="11.42578125" style="2442" customWidth="1"/>
    <col min="14377" max="14377" width="15" style="2442" customWidth="1"/>
    <col min="14378" max="14380" width="11.42578125" style="2442" customWidth="1"/>
    <col min="14381" max="14381" width="14.42578125" style="2442" customWidth="1"/>
    <col min="14382" max="14409" width="11.42578125" style="2442" customWidth="1"/>
    <col min="14410" max="14424" width="11.42578125" style="2442"/>
    <col min="14425" max="14425" width="28.28515625" style="2442" bestFit="1" customWidth="1"/>
    <col min="14426" max="14594" width="11.42578125" style="2442"/>
    <col min="14595" max="14595" width="63.7109375" style="2442" bestFit="1" customWidth="1"/>
    <col min="14596" max="14596" width="39.85546875" style="2442" bestFit="1" customWidth="1"/>
    <col min="14597" max="14598" width="23.140625" style="2442" bestFit="1" customWidth="1"/>
    <col min="14599" max="14599" width="27.85546875" style="2442" bestFit="1" customWidth="1"/>
    <col min="14600" max="14600" width="13" style="2442" customWidth="1"/>
    <col min="14601" max="14601" width="16" style="2442" bestFit="1" customWidth="1"/>
    <col min="14602" max="14604" width="11.42578125" style="2442"/>
    <col min="14605" max="14625" width="11.42578125" style="2442" customWidth="1"/>
    <col min="14626" max="14627" width="13.42578125" style="2442" customWidth="1"/>
    <col min="14628" max="14630" width="11.42578125" style="2442" customWidth="1"/>
    <col min="14631" max="14631" width="12.28515625" style="2442" customWidth="1"/>
    <col min="14632" max="14632" width="11.42578125" style="2442" customWidth="1"/>
    <col min="14633" max="14633" width="15" style="2442" customWidth="1"/>
    <col min="14634" max="14636" width="11.42578125" style="2442" customWidth="1"/>
    <col min="14637" max="14637" width="14.42578125" style="2442" customWidth="1"/>
    <col min="14638" max="14665" width="11.42578125" style="2442" customWidth="1"/>
    <col min="14666" max="14680" width="11.42578125" style="2442"/>
    <col min="14681" max="14681" width="28.28515625" style="2442" bestFit="1" customWidth="1"/>
    <col min="14682" max="14850" width="11.42578125" style="2442"/>
    <col min="14851" max="14851" width="63.7109375" style="2442" bestFit="1" customWidth="1"/>
    <col min="14852" max="14852" width="39.85546875" style="2442" bestFit="1" customWidth="1"/>
    <col min="14853" max="14854" width="23.140625" style="2442" bestFit="1" customWidth="1"/>
    <col min="14855" max="14855" width="27.85546875" style="2442" bestFit="1" customWidth="1"/>
    <col min="14856" max="14856" width="13" style="2442" customWidth="1"/>
    <col min="14857" max="14857" width="16" style="2442" bestFit="1" customWidth="1"/>
    <col min="14858" max="14860" width="11.42578125" style="2442"/>
    <col min="14861" max="14881" width="11.42578125" style="2442" customWidth="1"/>
    <col min="14882" max="14883" width="13.42578125" style="2442" customWidth="1"/>
    <col min="14884" max="14886" width="11.42578125" style="2442" customWidth="1"/>
    <col min="14887" max="14887" width="12.28515625" style="2442" customWidth="1"/>
    <col min="14888" max="14888" width="11.42578125" style="2442" customWidth="1"/>
    <col min="14889" max="14889" width="15" style="2442" customWidth="1"/>
    <col min="14890" max="14892" width="11.42578125" style="2442" customWidth="1"/>
    <col min="14893" max="14893" width="14.42578125" style="2442" customWidth="1"/>
    <col min="14894" max="14921" width="11.42578125" style="2442" customWidth="1"/>
    <col min="14922" max="14936" width="11.42578125" style="2442"/>
    <col min="14937" max="14937" width="28.28515625" style="2442" bestFit="1" customWidth="1"/>
    <col min="14938" max="15106" width="11.42578125" style="2442"/>
    <col min="15107" max="15107" width="63.7109375" style="2442" bestFit="1" customWidth="1"/>
    <col min="15108" max="15108" width="39.85546875" style="2442" bestFit="1" customWidth="1"/>
    <col min="15109" max="15110" width="23.140625" style="2442" bestFit="1" customWidth="1"/>
    <col min="15111" max="15111" width="27.85546875" style="2442" bestFit="1" customWidth="1"/>
    <col min="15112" max="15112" width="13" style="2442" customWidth="1"/>
    <col min="15113" max="15113" width="16" style="2442" bestFit="1" customWidth="1"/>
    <col min="15114" max="15116" width="11.42578125" style="2442"/>
    <col min="15117" max="15137" width="11.42578125" style="2442" customWidth="1"/>
    <col min="15138" max="15139" width="13.42578125" style="2442" customWidth="1"/>
    <col min="15140" max="15142" width="11.42578125" style="2442" customWidth="1"/>
    <col min="15143" max="15143" width="12.28515625" style="2442" customWidth="1"/>
    <col min="15144" max="15144" width="11.42578125" style="2442" customWidth="1"/>
    <col min="15145" max="15145" width="15" style="2442" customWidth="1"/>
    <col min="15146" max="15148" width="11.42578125" style="2442" customWidth="1"/>
    <col min="15149" max="15149" width="14.42578125" style="2442" customWidth="1"/>
    <col min="15150" max="15177" width="11.42578125" style="2442" customWidth="1"/>
    <col min="15178" max="15192" width="11.42578125" style="2442"/>
    <col min="15193" max="15193" width="28.28515625" style="2442" bestFit="1" customWidth="1"/>
    <col min="15194" max="15362" width="11.42578125" style="2442"/>
    <col min="15363" max="15363" width="63.7109375" style="2442" bestFit="1" customWidth="1"/>
    <col min="15364" max="15364" width="39.85546875" style="2442" bestFit="1" customWidth="1"/>
    <col min="15365" max="15366" width="23.140625" style="2442" bestFit="1" customWidth="1"/>
    <col min="15367" max="15367" width="27.85546875" style="2442" bestFit="1" customWidth="1"/>
    <col min="15368" max="15368" width="13" style="2442" customWidth="1"/>
    <col min="15369" max="15369" width="16" style="2442" bestFit="1" customWidth="1"/>
    <col min="15370" max="15372" width="11.42578125" style="2442"/>
    <col min="15373" max="15393" width="11.42578125" style="2442" customWidth="1"/>
    <col min="15394" max="15395" width="13.42578125" style="2442" customWidth="1"/>
    <col min="15396" max="15398" width="11.42578125" style="2442" customWidth="1"/>
    <col min="15399" max="15399" width="12.28515625" style="2442" customWidth="1"/>
    <col min="15400" max="15400" width="11.42578125" style="2442" customWidth="1"/>
    <col min="15401" max="15401" width="15" style="2442" customWidth="1"/>
    <col min="15402" max="15404" width="11.42578125" style="2442" customWidth="1"/>
    <col min="15405" max="15405" width="14.42578125" style="2442" customWidth="1"/>
    <col min="15406" max="15433" width="11.42578125" style="2442" customWidth="1"/>
    <col min="15434" max="15448" width="11.42578125" style="2442"/>
    <col min="15449" max="15449" width="28.28515625" style="2442" bestFit="1" customWidth="1"/>
    <col min="15450" max="15618" width="11.42578125" style="2442"/>
    <col min="15619" max="15619" width="63.7109375" style="2442" bestFit="1" customWidth="1"/>
    <col min="15620" max="15620" width="39.85546875" style="2442" bestFit="1" customWidth="1"/>
    <col min="15621" max="15622" width="23.140625" style="2442" bestFit="1" customWidth="1"/>
    <col min="15623" max="15623" width="27.85546875" style="2442" bestFit="1" customWidth="1"/>
    <col min="15624" max="15624" width="13" style="2442" customWidth="1"/>
    <col min="15625" max="15625" width="16" style="2442" bestFit="1" customWidth="1"/>
    <col min="15626" max="15628" width="11.42578125" style="2442"/>
    <col min="15629" max="15649" width="11.42578125" style="2442" customWidth="1"/>
    <col min="15650" max="15651" width="13.42578125" style="2442" customWidth="1"/>
    <col min="15652" max="15654" width="11.42578125" style="2442" customWidth="1"/>
    <col min="15655" max="15655" width="12.28515625" style="2442" customWidth="1"/>
    <col min="15656" max="15656" width="11.42578125" style="2442" customWidth="1"/>
    <col min="15657" max="15657" width="15" style="2442" customWidth="1"/>
    <col min="15658" max="15660" width="11.42578125" style="2442" customWidth="1"/>
    <col min="15661" max="15661" width="14.42578125" style="2442" customWidth="1"/>
    <col min="15662" max="15689" width="11.42578125" style="2442" customWidth="1"/>
    <col min="15690" max="15704" width="11.42578125" style="2442"/>
    <col min="15705" max="15705" width="28.28515625" style="2442" bestFit="1" customWidth="1"/>
    <col min="15706" max="15874" width="11.42578125" style="2442"/>
    <col min="15875" max="15875" width="63.7109375" style="2442" bestFit="1" customWidth="1"/>
    <col min="15876" max="15876" width="39.85546875" style="2442" bestFit="1" customWidth="1"/>
    <col min="15877" max="15878" width="23.140625" style="2442" bestFit="1" customWidth="1"/>
    <col min="15879" max="15879" width="27.85546875" style="2442" bestFit="1" customWidth="1"/>
    <col min="15880" max="15880" width="13" style="2442" customWidth="1"/>
    <col min="15881" max="15881" width="16" style="2442" bestFit="1" customWidth="1"/>
    <col min="15882" max="15884" width="11.42578125" style="2442"/>
    <col min="15885" max="15905" width="11.42578125" style="2442" customWidth="1"/>
    <col min="15906" max="15907" width="13.42578125" style="2442" customWidth="1"/>
    <col min="15908" max="15910" width="11.42578125" style="2442" customWidth="1"/>
    <col min="15911" max="15911" width="12.28515625" style="2442" customWidth="1"/>
    <col min="15912" max="15912" width="11.42578125" style="2442" customWidth="1"/>
    <col min="15913" max="15913" width="15" style="2442" customWidth="1"/>
    <col min="15914" max="15916" width="11.42578125" style="2442" customWidth="1"/>
    <col min="15917" max="15917" width="14.42578125" style="2442" customWidth="1"/>
    <col min="15918" max="15945" width="11.42578125" style="2442" customWidth="1"/>
    <col min="15946" max="15960" width="11.42578125" style="2442"/>
    <col min="15961" max="15961" width="28.28515625" style="2442" bestFit="1" customWidth="1"/>
    <col min="15962" max="16130" width="11.42578125" style="2442"/>
    <col min="16131" max="16131" width="63.7109375" style="2442" bestFit="1" customWidth="1"/>
    <col min="16132" max="16132" width="39.85546875" style="2442" bestFit="1" customWidth="1"/>
    <col min="16133" max="16134" width="23.140625" style="2442" bestFit="1" customWidth="1"/>
    <col min="16135" max="16135" width="27.85546875" style="2442" bestFit="1" customWidth="1"/>
    <col min="16136" max="16136" width="13" style="2442" customWidth="1"/>
    <col min="16137" max="16137" width="16" style="2442" bestFit="1" customWidth="1"/>
    <col min="16138" max="16140" width="11.42578125" style="2442"/>
    <col min="16141" max="16161" width="11.42578125" style="2442" customWidth="1"/>
    <col min="16162" max="16163" width="13.42578125" style="2442" customWidth="1"/>
    <col min="16164" max="16166" width="11.42578125" style="2442" customWidth="1"/>
    <col min="16167" max="16167" width="12.28515625" style="2442" customWidth="1"/>
    <col min="16168" max="16168" width="11.42578125" style="2442" customWidth="1"/>
    <col min="16169" max="16169" width="15" style="2442" customWidth="1"/>
    <col min="16170" max="16172" width="11.42578125" style="2442" customWidth="1"/>
    <col min="16173" max="16173" width="14.42578125" style="2442" customWidth="1"/>
    <col min="16174" max="16201" width="11.42578125" style="2442" customWidth="1"/>
    <col min="16202" max="16216" width="11.42578125" style="2442"/>
    <col min="16217" max="16217" width="28.28515625" style="2442" bestFit="1" customWidth="1"/>
    <col min="16218" max="16384" width="11.42578125" style="2442"/>
  </cols>
  <sheetData>
    <row r="1" spans="2:105" x14ac:dyDescent="0.25">
      <c r="CS1" s="2443" t="s">
        <v>1885</v>
      </c>
      <c r="CX1" s="2445" t="s">
        <v>1096</v>
      </c>
      <c r="CY1" s="2445">
        <v>-1</v>
      </c>
      <c r="DA1" s="2442" t="s">
        <v>1886</v>
      </c>
    </row>
    <row r="2" spans="2:105" ht="30" customHeight="1" x14ac:dyDescent="0.25">
      <c r="B2" s="2446"/>
      <c r="C2" s="2447"/>
      <c r="D2" s="2447"/>
      <c r="E2" s="2447"/>
      <c r="F2" s="2447"/>
      <c r="G2" s="2448"/>
      <c r="N2" s="2442" t="s">
        <v>1887</v>
      </c>
      <c r="O2" s="2449" t="s">
        <v>1885</v>
      </c>
      <c r="P2" s="2449" t="s">
        <v>1888</v>
      </c>
      <c r="Q2" s="2449" t="s">
        <v>1889</v>
      </c>
      <c r="R2" s="2449" t="s">
        <v>1890</v>
      </c>
      <c r="S2" s="2449" t="s">
        <v>1891</v>
      </c>
      <c r="T2" s="2449" t="s">
        <v>1892</v>
      </c>
      <c r="U2" s="2449" t="s">
        <v>1893</v>
      </c>
      <c r="V2" s="2449" t="s">
        <v>1894</v>
      </c>
      <c r="W2" s="2449" t="s">
        <v>1895</v>
      </c>
      <c r="X2" s="2449" t="s">
        <v>1896</v>
      </c>
      <c r="Y2" s="2449" t="s">
        <v>1897</v>
      </c>
      <c r="Z2" s="2449" t="s">
        <v>1898</v>
      </c>
      <c r="AA2" s="2449" t="s">
        <v>1899</v>
      </c>
      <c r="AB2" s="2449" t="s">
        <v>1900</v>
      </c>
      <c r="AC2" s="2449" t="s">
        <v>1901</v>
      </c>
      <c r="AD2" s="2449" t="s">
        <v>1902</v>
      </c>
      <c r="AE2" s="2449" t="s">
        <v>1903</v>
      </c>
      <c r="AF2" s="2449" t="s">
        <v>1904</v>
      </c>
      <c r="AG2" s="2449" t="s">
        <v>1905</v>
      </c>
      <c r="AH2" s="2449" t="s">
        <v>1906</v>
      </c>
      <c r="AI2" s="2449" t="s">
        <v>1907</v>
      </c>
      <c r="AJ2" s="2449" t="s">
        <v>1908</v>
      </c>
      <c r="AK2" s="2449" t="s">
        <v>1909</v>
      </c>
      <c r="AL2" s="2449" t="s">
        <v>1910</v>
      </c>
      <c r="AM2" s="2449" t="s">
        <v>1911</v>
      </c>
      <c r="AN2" s="2449" t="s">
        <v>1912</v>
      </c>
      <c r="AO2" s="2449" t="s">
        <v>1913</v>
      </c>
      <c r="AP2" s="2449" t="s">
        <v>1914</v>
      </c>
      <c r="AQ2" s="2449" t="s">
        <v>1915</v>
      </c>
      <c r="AR2" s="2449" t="s">
        <v>1916</v>
      </c>
      <c r="AS2" s="2449" t="s">
        <v>1917</v>
      </c>
      <c r="AT2" s="2449" t="str">
        <f t="shared" ref="AT2:BC2" si="0">"B_"&amp;AJ2</f>
        <v>B_RCF03</v>
      </c>
      <c r="AU2" s="2449" t="str">
        <f t="shared" si="0"/>
        <v>B_RCF05</v>
      </c>
      <c r="AV2" s="2449" t="str">
        <f t="shared" si="0"/>
        <v>B_RN03</v>
      </c>
      <c r="AW2" s="2449" t="str">
        <f t="shared" si="0"/>
        <v>B_RR01</v>
      </c>
      <c r="AX2" s="2449" t="str">
        <f t="shared" si="0"/>
        <v>B_RR03</v>
      </c>
      <c r="AY2" s="2449" t="str">
        <f t="shared" si="0"/>
        <v>B_RS03</v>
      </c>
      <c r="AZ2" s="2449" t="str">
        <f t="shared" si="0"/>
        <v>B_RS04</v>
      </c>
      <c r="BA2" s="2449" t="str">
        <f t="shared" si="0"/>
        <v>B_RL02</v>
      </c>
      <c r="BB2" s="2449" t="str">
        <f t="shared" si="0"/>
        <v>B_RSC04</v>
      </c>
      <c r="BC2" s="2449" t="str">
        <f t="shared" si="0"/>
        <v>B_EV01</v>
      </c>
      <c r="BD2" s="2449" t="str">
        <f>"B_"&amp;AD2</f>
        <v>B_MEANWGI</v>
      </c>
      <c r="BE2" s="2449" t="str">
        <f>"B_"&amp;AE2</f>
        <v>B_GDPPERCAPITA</v>
      </c>
      <c r="BF2" s="2449" t="str">
        <f t="shared" ref="BF2:BO2" si="1">"WOE_"&amp;AJ2</f>
        <v>WOE_RCF03</v>
      </c>
      <c r="BG2" s="2449" t="str">
        <f t="shared" si="1"/>
        <v>WOE_RCF05</v>
      </c>
      <c r="BH2" s="2449" t="str">
        <f t="shared" si="1"/>
        <v>WOE_RN03</v>
      </c>
      <c r="BI2" s="2449" t="str">
        <f t="shared" si="1"/>
        <v>WOE_RR01</v>
      </c>
      <c r="BJ2" s="2449" t="str">
        <f t="shared" si="1"/>
        <v>WOE_RR03</v>
      </c>
      <c r="BK2" s="2449" t="str">
        <f t="shared" si="1"/>
        <v>WOE_RS03</v>
      </c>
      <c r="BL2" s="2449" t="str">
        <f t="shared" si="1"/>
        <v>WOE_RS04</v>
      </c>
      <c r="BM2" s="2449" t="str">
        <f t="shared" si="1"/>
        <v>WOE_RL02</v>
      </c>
      <c r="BN2" s="2449" t="str">
        <f t="shared" si="1"/>
        <v>WOE_RSC04</v>
      </c>
      <c r="BO2" s="2449" t="str">
        <f t="shared" si="1"/>
        <v>WOE_EV01</v>
      </c>
      <c r="BP2" s="2449" t="str">
        <f>"WOE_"&amp;AD2</f>
        <v>WOE_MEANWGI</v>
      </c>
      <c r="BQ2" s="2449" t="str">
        <f>"WOE_"&amp;AE2</f>
        <v>WOE_GDPPERCAPITA</v>
      </c>
      <c r="BR2" s="2449" t="s">
        <v>1918</v>
      </c>
      <c r="BS2" s="2449" t="s">
        <v>1476</v>
      </c>
      <c r="BW2" s="2450"/>
      <c r="BX2" s="2450" t="s">
        <v>1919</v>
      </c>
      <c r="BY2" s="2450" t="s">
        <v>1920</v>
      </c>
      <c r="BZ2" s="2450" t="s">
        <v>1921</v>
      </c>
      <c r="CA2" s="2450" t="s">
        <v>1922</v>
      </c>
      <c r="CB2" s="2450" t="s">
        <v>1923</v>
      </c>
      <c r="CC2" s="2450"/>
      <c r="CD2" s="2450" t="s">
        <v>1924</v>
      </c>
      <c r="CE2" s="2450" t="s">
        <v>1925</v>
      </c>
      <c r="CF2" s="2450" t="s">
        <v>1926</v>
      </c>
      <c r="CG2" s="2451" t="s">
        <v>1927</v>
      </c>
      <c r="CH2" s="2450"/>
      <c r="CI2" s="2450"/>
      <c r="CJ2" s="2450"/>
      <c r="CK2" s="2450" t="s">
        <v>1928</v>
      </c>
      <c r="CL2" s="2450" t="s">
        <v>1929</v>
      </c>
      <c r="CM2" s="2450" t="s">
        <v>1925</v>
      </c>
      <c r="CN2" s="2450" t="s">
        <v>1930</v>
      </c>
      <c r="CO2" s="2450" t="s">
        <v>1931</v>
      </c>
      <c r="CP2" s="2450" t="s">
        <v>1923</v>
      </c>
      <c r="CQ2" s="2450"/>
      <c r="CS2" s="2443" t="s">
        <v>1932</v>
      </c>
      <c r="CX2" s="2445" t="s">
        <v>483</v>
      </c>
      <c r="CY2" s="2445">
        <v>-0.5</v>
      </c>
      <c r="DA2" s="2442" t="s">
        <v>1933</v>
      </c>
    </row>
    <row r="3" spans="2:105" x14ac:dyDescent="0.25">
      <c r="B3" s="2452"/>
      <c r="C3" s="2453" t="s">
        <v>1934</v>
      </c>
      <c r="D3" s="2454">
        <f>General!D8</f>
        <v>0</v>
      </c>
      <c r="E3" s="2455"/>
      <c r="F3" s="2455"/>
      <c r="G3" s="2456"/>
      <c r="N3" s="2442">
        <f>D3</f>
        <v>0</v>
      </c>
      <c r="O3" s="2457" t="str">
        <f>IF(E10="","",E10)</f>
        <v>Materiales de Construcción</v>
      </c>
      <c r="P3" s="2457">
        <f>IF(E11="","",E11)</f>
        <v>0</v>
      </c>
      <c r="Q3" s="2457">
        <f>IF(E12="","",E12)</f>
        <v>0</v>
      </c>
      <c r="R3" s="2457">
        <f>IF(E13="","",E13)</f>
        <v>0</v>
      </c>
      <c r="S3" s="2457">
        <f>IF(E14="","",E14)</f>
        <v>0</v>
      </c>
      <c r="T3" s="2457">
        <f>IF(E15="","",E15)</f>
        <v>0</v>
      </c>
      <c r="U3" s="2457">
        <f>IF(E16="","",E16)</f>
        <v>0</v>
      </c>
      <c r="V3" s="2457">
        <f>IF(E17="","",E17)</f>
        <v>0</v>
      </c>
      <c r="W3" s="2457">
        <f>IF(E18="","",E18)</f>
        <v>0</v>
      </c>
      <c r="X3" s="2457">
        <f>IF(E19="","",E19)</f>
        <v>0</v>
      </c>
      <c r="Y3" s="2457">
        <f>IF(E20="","",E20)</f>
        <v>0</v>
      </c>
      <c r="Z3" s="2457">
        <f>IF(E21="","",E21)</f>
        <v>0</v>
      </c>
      <c r="AA3" s="2457">
        <f>IF(E22="","",E22)</f>
        <v>0</v>
      </c>
      <c r="AB3" s="2457">
        <f>IF(E23="","",E23)</f>
        <v>0</v>
      </c>
      <c r="AC3" s="2457">
        <f ca="1">IF(E24="","",E24)</f>
        <v>0</v>
      </c>
      <c r="AD3" s="2457">
        <f>IFERROR(VLOOKUP(E8,WGI!C$1:K$65536,9,0),"")</f>
        <v>-0.21906373649835587</v>
      </c>
      <c r="AE3" s="2457">
        <f>IFERROR(VLOOKUP(E8,GDPpercapita!D$1:E$65536,2,0),"")</f>
        <v>13829.068234605456</v>
      </c>
      <c r="AF3" s="2457">
        <f>IF(E25="","",E25)</f>
        <v>0</v>
      </c>
      <c r="AG3" s="2457">
        <f>IF(E26="","",E26)</f>
        <v>0</v>
      </c>
      <c r="AH3" s="2457">
        <f>IF(AG3="","",100*(AF3)/MAX(AG3,1))</f>
        <v>0</v>
      </c>
      <c r="AI3" s="2457">
        <f>(E27-E28)</f>
        <v>2</v>
      </c>
      <c r="AJ3" s="2458">
        <f>IF(Z3="","",100*(W3)/MAX(Z3,1))</f>
        <v>0</v>
      </c>
      <c r="AK3" s="2459">
        <f ca="1">IF(X3="","",100*(AC3)/MAX(1,X3))</f>
        <v>0</v>
      </c>
      <c r="AL3" s="2459">
        <f>IF(V3="","",MAX(1,V3))</f>
        <v>1</v>
      </c>
      <c r="AM3" s="2459">
        <f>IF(V3="","",100*(W3)/(MAX(1,V3)))</f>
        <v>0</v>
      </c>
      <c r="AN3" s="2459">
        <f>IFERROR(IF(U3="","",100*(Y3)/(MAX(1,U3))),"")</f>
        <v>0</v>
      </c>
      <c r="AO3" s="2459">
        <f>IF(AA3="","",100*(S3)/(MAX(1,AA3)))</f>
        <v>0</v>
      </c>
      <c r="AP3" s="2459">
        <f>IF(AB3="","",AB3)</f>
        <v>0</v>
      </c>
      <c r="AQ3" s="2459">
        <f>IFERROR(IF(T3="","",100*(P3+Q3+R3)/(MAX(1,T3))),"")</f>
        <v>0</v>
      </c>
      <c r="AR3" s="2459">
        <f>IFERROR(IF(O3="","",VLOOKUP(O3,Parametros!A$1:B$65536,2,0)),"")</f>
        <v>6</v>
      </c>
      <c r="AS3" s="2457">
        <f>IFERROR(IF(OR(AJ3="",AH3=""),"",100*((1+MAX(-1,(AJ3-AH3)/MAX(0.01,ABS(AH3))))^(1/(E27-E28))-1)),"")</f>
        <v>0</v>
      </c>
      <c r="AT3" s="2459">
        <f>IF(AJ3="",2,IF(AJ3&gt;100,5,IF(AJ3&gt;70,4,IF(AJ3&gt;35,3,IF(AJ3&gt;0,2,1)))))</f>
        <v>1</v>
      </c>
      <c r="AU3" s="2459">
        <f ca="1">IF(AK3="",2,IF(AK3&gt;1100,5,IF(AK3&gt;700,4,IF(AK3&gt;400,3,IF(AK3&gt;150,2,1)))))</f>
        <v>1</v>
      </c>
      <c r="AV3" s="2459">
        <f>IF(AL3="",2,IF(AL3&gt;11000,5,IF(AL3&gt;1500,4,IF(AL3&gt;100,3,IF(AL3&gt;15,2,1)))))</f>
        <v>1</v>
      </c>
      <c r="AW3" s="2459">
        <f>IF(AM3="",2,IF(AM3&gt;15,5,IF(AM3&gt;10,3,IF(AM3&gt;5,2,1))))</f>
        <v>1</v>
      </c>
      <c r="AX3" s="2459">
        <f>IF(AN3="",2,IF(AN3&gt;5,5,IF(AN3&gt;-15,2,1)))</f>
        <v>2</v>
      </c>
      <c r="AY3" s="2459">
        <f>IF(AO3="",2,IF(AO3&gt;40000,5,IF(AO3&gt;2000,4,IF(AO3&gt;250,3,IF(AO3&gt;100,2,1)))))</f>
        <v>1</v>
      </c>
      <c r="AZ3" s="2459">
        <f>IF(AP3="",2,IF(AP3&gt;7.01,1,IF(AP3&gt;3.01,2,IF(AP3&gt;1.01,3,5))))</f>
        <v>5</v>
      </c>
      <c r="BA3" s="2459">
        <f>IF(AQ3="",2,IF(AQ3&gt;200,5,IF(AQ3&gt;140,3,IF(AQ3&gt;70,2,1))))</f>
        <v>1</v>
      </c>
      <c r="BB3" s="2459">
        <f>IF(AR3="",2,IF(AR3&gt;6.3,4,IF(AR3&gt;5.6,2,1)))</f>
        <v>2</v>
      </c>
      <c r="BC3" s="2459">
        <f>IF(AS3="",2,IF(AS3&gt;90,5,IF(AS3&gt;20,4,IF(AS3&gt;-15,3,IF(AS3&gt;-70,2,1)))))</f>
        <v>3</v>
      </c>
      <c r="BD3" s="2459">
        <f>IF(AD3="",2,IF(AD3&gt;1,3,IF(AD3&gt;0.5,2,1)))</f>
        <v>1</v>
      </c>
      <c r="BE3" s="2459">
        <f>IF(AE3="",2,IF(AE3&gt;30000,3,IF(AE3&gt;20000,2,1)))</f>
        <v>1</v>
      </c>
      <c r="BF3" s="2459">
        <f>VLOOKUP("RCF03"&amp;AT3,Parametros!$E$1:$J$65536,6,0)</f>
        <v>-1.2781699302051821</v>
      </c>
      <c r="BG3" s="2459">
        <f ca="1">VLOOKUP("RCF05"&amp;AU3,Parametros!$E$1:$J$65536,6,0)</f>
        <v>-0.64587983235680557</v>
      </c>
      <c r="BH3" s="2459">
        <f>VLOOKUP("RN03"&amp;AV3,Parametros!$E$1:$J$65536,6,0)</f>
        <v>-0.74034367817495694</v>
      </c>
      <c r="BI3" s="2459">
        <f>VLOOKUP("RR01"&amp;AW3,Parametros!$E$1:$J$65536,6,0)</f>
        <v>-0.73340398930567408</v>
      </c>
      <c r="BJ3" s="2459">
        <f>VLOOKUP("RR03"&amp;AX3,Parametros!$E$1:$J$65536,6,0)</f>
        <v>-0.22857299766960043</v>
      </c>
      <c r="BK3" s="2459">
        <f>VLOOKUP("RS03"&amp;AY3,Parametros!$E$1:$J$65536,6,0)</f>
        <v>-1.1399032506320987</v>
      </c>
      <c r="BL3" s="2459">
        <f>VLOOKUP("RS04"&amp;AZ3,Parametros!$E$1:$J$65536,6,0)</f>
        <v>0.90124461835177927</v>
      </c>
      <c r="BM3" s="2459">
        <f>VLOOKUP("RL02"&amp;BA3,Parametros!$E$1:$J$65536,6,0)</f>
        <v>-0.71017880492824026</v>
      </c>
      <c r="BN3" s="2459">
        <f>VLOOKUP("RSC04"&amp;BB3,Parametros!$E$1:$J$65536,6,0)</f>
        <v>0.1681357168572232</v>
      </c>
      <c r="BO3" s="2459">
        <f>VLOOKUP("EV01"&amp;BC3,Parametros!$E$1:$J$65536,6,0)</f>
        <v>0.47473713643733295</v>
      </c>
      <c r="BP3" s="2459">
        <f>VLOOKUP("MEANWGI"&amp;BD3,Parametros!$E$1:$J$65536,6,0)</f>
        <v>-0.72647100446742352</v>
      </c>
      <c r="BQ3" s="2459">
        <f>VLOOKUP("GDPPERCAPITA"&amp;BE3,Parametros!$E$1:$J$65536,6,0)</f>
        <v>-0.7462026237938113</v>
      </c>
      <c r="BR3" s="2459">
        <f ca="1">1/(1+EXP(-(SUMPRODUCT(BF3:BQ3,Parametros!$N$38:$Y$38)+Parametros!$M$38)))</f>
        <v>3.7440015007232388E-2</v>
      </c>
      <c r="BS3" s="2459">
        <f ca="1">ROUND(MIN(MAX(-0.3883-1.2289*LN(BR3/(1-BR3)),1),9.3),1)</f>
        <v>3.6</v>
      </c>
      <c r="BW3" s="2450" t="s">
        <v>1908</v>
      </c>
      <c r="BX3" s="2450">
        <f t="array" ref="BX3:BX14">TRANSPOSE(AT3:BE3)</f>
        <v>1</v>
      </c>
      <c r="BY3" s="2450">
        <f>VLOOKUP(BW3&amp;BX3,Parametros!E$1:K$65536,7,0)</f>
        <v>1</v>
      </c>
      <c r="BZ3" s="2450">
        <v>5</v>
      </c>
      <c r="CA3" s="2450">
        <f>BY3*5/BZ3</f>
        <v>1</v>
      </c>
      <c r="CB3" s="2450">
        <f>BZ3*5/BZ3</f>
        <v>5</v>
      </c>
      <c r="CC3" s="2450"/>
      <c r="CD3" s="2450">
        <v>-1</v>
      </c>
      <c r="CE3" s="2450">
        <v>1</v>
      </c>
      <c r="CF3" s="2450">
        <v>0</v>
      </c>
      <c r="CG3" s="2451">
        <v>0</v>
      </c>
      <c r="CH3" s="2450"/>
      <c r="CI3" s="2450"/>
      <c r="CJ3" s="2450"/>
      <c r="CK3" s="2450" t="s">
        <v>1935</v>
      </c>
      <c r="CL3" s="2450">
        <f t="shared" ref="CL3:CL8" si="2">H61</f>
        <v>0</v>
      </c>
      <c r="CM3" s="2450">
        <f t="shared" ref="CM3:CM8" si="3">VLOOKUP(CL3,CD:CE,2,0)</f>
        <v>3</v>
      </c>
      <c r="CN3" s="2450">
        <v>5</v>
      </c>
      <c r="CO3" s="2450">
        <f t="shared" ref="CO3:CO8" si="4">CM3/CN3</f>
        <v>0.6</v>
      </c>
      <c r="CP3" s="2450">
        <v>1</v>
      </c>
      <c r="CQ3" s="2450"/>
      <c r="CS3" s="2443" t="s">
        <v>1936</v>
      </c>
      <c r="CX3" s="2445" t="s">
        <v>1095</v>
      </c>
      <c r="CY3" s="2445">
        <v>0</v>
      </c>
      <c r="DA3" s="2442" t="s">
        <v>1937</v>
      </c>
    </row>
    <row r="4" spans="2:105" x14ac:dyDescent="0.25">
      <c r="B4" s="2452"/>
      <c r="C4" s="2453" t="s">
        <v>1938</v>
      </c>
      <c r="D4" s="2454">
        <f>General!D6</f>
        <v>0</v>
      </c>
      <c r="E4" s="2455"/>
      <c r="F4" s="2455"/>
      <c r="G4" s="2456"/>
      <c r="AB4" s="2457"/>
      <c r="BW4" s="2450" t="s">
        <v>1909</v>
      </c>
      <c r="BX4" s="2450">
        <f ca="1"/>
        <v>1</v>
      </c>
      <c r="BY4" s="2450">
        <f ca="1">VLOOKUP(BW4&amp;BX4,Parametros!E$1:K$65536,7,0)</f>
        <v>1</v>
      </c>
      <c r="BZ4" s="2450">
        <v>5</v>
      </c>
      <c r="CA4" s="2450">
        <f t="shared" ref="CA4:CA14" ca="1" si="5">BY4*5/BZ4</f>
        <v>1</v>
      </c>
      <c r="CB4" s="2450">
        <f t="shared" ref="CB4:CB14" si="6">BZ4*5/BZ4</f>
        <v>5</v>
      </c>
      <c r="CC4" s="2450"/>
      <c r="CD4" s="2450">
        <v>-0.5</v>
      </c>
      <c r="CE4" s="2450">
        <v>2</v>
      </c>
      <c r="CF4" s="2450">
        <v>-1</v>
      </c>
      <c r="CG4" s="2451">
        <v>0.25</v>
      </c>
      <c r="CH4" s="2450"/>
      <c r="CI4" s="2450"/>
      <c r="CJ4" s="2450"/>
      <c r="CK4" s="2450" t="s">
        <v>1939</v>
      </c>
      <c r="CL4" s="2450">
        <f t="shared" si="2"/>
        <v>0</v>
      </c>
      <c r="CM4" s="2450">
        <f t="shared" si="3"/>
        <v>3</v>
      </c>
      <c r="CN4" s="2450">
        <v>5</v>
      </c>
      <c r="CO4" s="2450">
        <f t="shared" si="4"/>
        <v>0.6</v>
      </c>
      <c r="CP4" s="2450">
        <v>1</v>
      </c>
      <c r="CQ4" s="2450"/>
      <c r="CS4" s="2443" t="s">
        <v>1940</v>
      </c>
      <c r="CX4" s="2445" t="s">
        <v>484</v>
      </c>
      <c r="CY4" s="2445">
        <v>0.5</v>
      </c>
      <c r="DA4" s="2442" t="s">
        <v>1941</v>
      </c>
    </row>
    <row r="5" spans="2:105" x14ac:dyDescent="0.25">
      <c r="B5" s="2452"/>
      <c r="C5" s="2445"/>
      <c r="D5" s="2445"/>
      <c r="E5" s="2455"/>
      <c r="F5" s="2455"/>
      <c r="G5" s="2456"/>
      <c r="BW5" s="2450" t="s">
        <v>1910</v>
      </c>
      <c r="BX5" s="2450">
        <v>1</v>
      </c>
      <c r="BY5" s="2450">
        <f>VLOOKUP(BW5&amp;BX5,Parametros!E$1:K$65536,7,0)</f>
        <v>1</v>
      </c>
      <c r="BZ5" s="2450">
        <v>5</v>
      </c>
      <c r="CA5" s="2450">
        <f t="shared" si="5"/>
        <v>1</v>
      </c>
      <c r="CB5" s="2450">
        <f t="shared" si="6"/>
        <v>5</v>
      </c>
      <c r="CC5" s="2450"/>
      <c r="CD5" s="2450">
        <v>0</v>
      </c>
      <c r="CE5" s="2450">
        <v>3</v>
      </c>
      <c r="CF5" s="2450">
        <v>-2</v>
      </c>
      <c r="CG5" s="2451">
        <v>0.5</v>
      </c>
      <c r="CH5" s="2450"/>
      <c r="CI5" s="2450"/>
      <c r="CJ5" s="2450"/>
      <c r="CK5" s="2450" t="s">
        <v>1942</v>
      </c>
      <c r="CL5" s="2450">
        <f t="shared" si="2"/>
        <v>0</v>
      </c>
      <c r="CM5" s="2450">
        <f t="shared" si="3"/>
        <v>3</v>
      </c>
      <c r="CN5" s="2450">
        <v>5</v>
      </c>
      <c r="CO5" s="2450">
        <f t="shared" si="4"/>
        <v>0.6</v>
      </c>
      <c r="CP5" s="2450">
        <v>1</v>
      </c>
      <c r="CQ5" s="2450"/>
      <c r="CS5" s="2443" t="s">
        <v>1943</v>
      </c>
      <c r="CX5" s="2445" t="s">
        <v>1098</v>
      </c>
      <c r="CY5" s="2445">
        <v>1</v>
      </c>
    </row>
    <row r="6" spans="2:105" x14ac:dyDescent="0.25">
      <c r="B6" s="2452"/>
      <c r="C6" s="3572" t="s">
        <v>1944</v>
      </c>
      <c r="D6" s="3573"/>
      <c r="E6" s="3573"/>
      <c r="F6" s="3574"/>
      <c r="G6" s="2456"/>
      <c r="AH6" s="2460"/>
      <c r="AI6" s="2460"/>
      <c r="BW6" s="2450" t="s">
        <v>1911</v>
      </c>
      <c r="BX6" s="2450">
        <v>1</v>
      </c>
      <c r="BY6" s="2450">
        <f>VLOOKUP(BW6&amp;BX6,Parametros!E$1:K$65536,7,0)</f>
        <v>1</v>
      </c>
      <c r="BZ6" s="2450">
        <v>4</v>
      </c>
      <c r="CA6" s="2450">
        <f t="shared" si="5"/>
        <v>1.25</v>
      </c>
      <c r="CB6" s="2450">
        <f t="shared" si="6"/>
        <v>5</v>
      </c>
      <c r="CC6" s="2450"/>
      <c r="CD6" s="2450">
        <v>0.5</v>
      </c>
      <c r="CE6" s="2450">
        <v>4</v>
      </c>
      <c r="CF6" s="2450"/>
      <c r="CG6" s="2451">
        <v>0.75</v>
      </c>
      <c r="CH6" s="2450"/>
      <c r="CI6" s="2450"/>
      <c r="CJ6" s="2450"/>
      <c r="CK6" s="2450" t="s">
        <v>1945</v>
      </c>
      <c r="CL6" s="2450">
        <f t="shared" si="2"/>
        <v>0</v>
      </c>
      <c r="CM6" s="2450">
        <f t="shared" si="3"/>
        <v>3</v>
      </c>
      <c r="CN6" s="2450">
        <v>5</v>
      </c>
      <c r="CO6" s="2450">
        <f t="shared" si="4"/>
        <v>0.6</v>
      </c>
      <c r="CP6" s="2450">
        <v>1</v>
      </c>
      <c r="CQ6" s="2450"/>
      <c r="CS6" s="2443" t="s">
        <v>1946</v>
      </c>
    </row>
    <row r="7" spans="2:105" x14ac:dyDescent="0.25">
      <c r="B7" s="2452"/>
      <c r="C7" s="2461" t="s">
        <v>1947</v>
      </c>
      <c r="D7" s="2461" t="s">
        <v>1948</v>
      </c>
      <c r="E7" s="2462" t="s">
        <v>1949</v>
      </c>
      <c r="F7" s="2462" t="s">
        <v>1950</v>
      </c>
      <c r="G7" s="2456"/>
      <c r="BW7" s="2450" t="s">
        <v>1912</v>
      </c>
      <c r="BX7" s="2450">
        <v>2</v>
      </c>
      <c r="BY7" s="2450">
        <f>VLOOKUP(BW7&amp;BX7,Parametros!E$1:K$65536,7,0)</f>
        <v>2</v>
      </c>
      <c r="BZ7" s="2450">
        <v>3</v>
      </c>
      <c r="CA7" s="2450">
        <f t="shared" si="5"/>
        <v>3.3333333333333335</v>
      </c>
      <c r="CB7" s="2450">
        <f t="shared" si="6"/>
        <v>5</v>
      </c>
      <c r="CC7" s="2450"/>
      <c r="CD7" s="2450">
        <v>1</v>
      </c>
      <c r="CE7" s="2450">
        <v>5</v>
      </c>
      <c r="CF7" s="2450"/>
      <c r="CG7" s="2451">
        <v>1</v>
      </c>
      <c r="CH7" s="2450"/>
      <c r="CI7" s="2450"/>
      <c r="CJ7" s="2450"/>
      <c r="CK7" s="2450" t="s">
        <v>1951</v>
      </c>
      <c r="CL7" s="2450">
        <f t="shared" si="2"/>
        <v>0</v>
      </c>
      <c r="CM7" s="2450">
        <f t="shared" si="3"/>
        <v>3</v>
      </c>
      <c r="CN7" s="2450">
        <v>5</v>
      </c>
      <c r="CO7" s="2450">
        <f t="shared" si="4"/>
        <v>0.6</v>
      </c>
      <c r="CP7" s="2450">
        <v>1</v>
      </c>
      <c r="CQ7" s="2450"/>
      <c r="CS7" s="2443" t="s">
        <v>1952</v>
      </c>
    </row>
    <row r="8" spans="2:105" x14ac:dyDescent="0.25">
      <c r="B8" s="2452"/>
      <c r="C8" s="2463" t="s">
        <v>1953</v>
      </c>
      <c r="D8" s="2464"/>
      <c r="E8" s="2465" t="s">
        <v>2173</v>
      </c>
      <c r="F8" s="2466" t="s">
        <v>1955</v>
      </c>
      <c r="G8" s="2456"/>
      <c r="BW8" s="2450" t="s">
        <v>1913</v>
      </c>
      <c r="BX8" s="2450">
        <v>1</v>
      </c>
      <c r="BY8" s="2450">
        <f>VLOOKUP(BW8&amp;BX8,Parametros!E$1:K$65536,7,0)</f>
        <v>1</v>
      </c>
      <c r="BZ8" s="2450">
        <v>5</v>
      </c>
      <c r="CA8" s="2450">
        <f t="shared" si="5"/>
        <v>1</v>
      </c>
      <c r="CB8" s="2450">
        <f t="shared" si="6"/>
        <v>5</v>
      </c>
      <c r="CC8" s="2450"/>
      <c r="CD8" s="2450"/>
      <c r="CE8" s="2450"/>
      <c r="CF8" s="2450"/>
      <c r="CG8" s="2451"/>
      <c r="CH8" s="2450"/>
      <c r="CI8" s="2450"/>
      <c r="CJ8" s="2450"/>
      <c r="CK8" s="2450" t="s">
        <v>1956</v>
      </c>
      <c r="CL8" s="2450">
        <f t="shared" si="2"/>
        <v>0</v>
      </c>
      <c r="CM8" s="2450">
        <f t="shared" si="3"/>
        <v>3</v>
      </c>
      <c r="CN8" s="2450">
        <v>5</v>
      </c>
      <c r="CO8" s="2450">
        <f t="shared" si="4"/>
        <v>0.6</v>
      </c>
      <c r="CP8" s="2450">
        <v>1</v>
      </c>
      <c r="CQ8" s="2450"/>
      <c r="CS8" s="2443" t="s">
        <v>1957</v>
      </c>
    </row>
    <row r="9" spans="2:105" x14ac:dyDescent="0.25">
      <c r="B9" s="2452"/>
      <c r="C9" s="2463" t="s">
        <v>1958</v>
      </c>
      <c r="D9" s="2464"/>
      <c r="E9" s="2465" t="s">
        <v>1941</v>
      </c>
      <c r="F9" s="2466" t="s">
        <v>1941</v>
      </c>
      <c r="G9" s="2456"/>
      <c r="BW9" s="2450" t="s">
        <v>1914</v>
      </c>
      <c r="BX9" s="2450">
        <v>5</v>
      </c>
      <c r="BY9" s="2450">
        <f>VLOOKUP(BW9&amp;BX9,Parametros!E$1:K$65536,7,0)</f>
        <v>4</v>
      </c>
      <c r="BZ9" s="2450">
        <v>4</v>
      </c>
      <c r="CA9" s="2450">
        <f t="shared" si="5"/>
        <v>5</v>
      </c>
      <c r="CB9" s="2450">
        <f t="shared" si="6"/>
        <v>5</v>
      </c>
      <c r="CC9" s="2450"/>
      <c r="CD9" s="2450"/>
      <c r="CE9" s="2450"/>
      <c r="CF9" s="2450"/>
      <c r="CG9" s="2451"/>
      <c r="CH9" s="2450"/>
      <c r="CI9" s="2450"/>
      <c r="CJ9" s="2450"/>
      <c r="CK9" s="2450"/>
      <c r="CL9" s="2450"/>
      <c r="CM9" s="2450"/>
      <c r="CN9" s="2450"/>
      <c r="CO9" s="2450"/>
      <c r="CP9" s="2450"/>
      <c r="CQ9" s="2450"/>
      <c r="CS9" s="2443" t="s">
        <v>1959</v>
      </c>
    </row>
    <row r="10" spans="2:105" x14ac:dyDescent="0.25">
      <c r="B10" s="2452"/>
      <c r="C10" s="2463" t="s">
        <v>1960</v>
      </c>
      <c r="D10" s="2464" t="s">
        <v>1885</v>
      </c>
      <c r="E10" s="2465" t="s">
        <v>1961</v>
      </c>
      <c r="F10" s="2466" t="s">
        <v>1961</v>
      </c>
      <c r="G10" s="2456"/>
      <c r="BW10" s="2450" t="s">
        <v>1915</v>
      </c>
      <c r="BX10" s="2450">
        <v>1</v>
      </c>
      <c r="BY10" s="2450">
        <f>VLOOKUP(BW10&amp;BX10,Parametros!E$1:K$65536,7,0)</f>
        <v>1</v>
      </c>
      <c r="BZ10" s="2450">
        <v>4</v>
      </c>
      <c r="CA10" s="2450">
        <f t="shared" si="5"/>
        <v>1.25</v>
      </c>
      <c r="CB10" s="2450">
        <f t="shared" si="6"/>
        <v>5</v>
      </c>
      <c r="CC10" s="2450"/>
      <c r="CD10" s="2450"/>
      <c r="CE10" s="2450"/>
      <c r="CF10" s="2450"/>
      <c r="CG10" s="2451"/>
      <c r="CH10" s="2450"/>
      <c r="CI10" s="2450"/>
      <c r="CJ10" s="2450"/>
      <c r="CK10" s="2450"/>
      <c r="CL10" s="2450"/>
      <c r="CM10" s="2450"/>
      <c r="CN10" s="2450"/>
      <c r="CO10" s="2450"/>
      <c r="CP10" s="2450"/>
      <c r="CQ10" s="2450"/>
      <c r="CS10" s="2443" t="s">
        <v>1962</v>
      </c>
    </row>
    <row r="11" spans="2:105" x14ac:dyDescent="0.25">
      <c r="B11" s="2452"/>
      <c r="C11" s="2463" t="s">
        <v>1963</v>
      </c>
      <c r="D11" s="2464" t="s">
        <v>1964</v>
      </c>
      <c r="E11" s="2465">
        <f>'Resumen EEFF'!D75</f>
        <v>0</v>
      </c>
      <c r="F11" s="2466">
        <v>316.06</v>
      </c>
      <c r="G11" s="2456"/>
      <c r="BW11" s="2450" t="s">
        <v>1916</v>
      </c>
      <c r="BX11" s="2450">
        <v>2</v>
      </c>
      <c r="BY11" s="2450">
        <f>VLOOKUP(BW11&amp;BX11,Parametros!E$1:K$65536,7,0)</f>
        <v>2</v>
      </c>
      <c r="BZ11" s="2450">
        <v>3</v>
      </c>
      <c r="CA11" s="2450">
        <f t="shared" si="5"/>
        <v>3.3333333333333335</v>
      </c>
      <c r="CB11" s="2450">
        <f t="shared" si="6"/>
        <v>5</v>
      </c>
      <c r="CC11" s="2450"/>
      <c r="CD11" s="2450"/>
      <c r="CE11" s="2450"/>
      <c r="CF11" s="2450"/>
      <c r="CG11" s="2451"/>
      <c r="CH11" s="2450"/>
      <c r="CI11" s="2450"/>
      <c r="CJ11" s="2450"/>
      <c r="CK11" s="2450"/>
      <c r="CL11" s="2450"/>
      <c r="CM11" s="2450"/>
      <c r="CN11" s="2450"/>
      <c r="CO11" s="2450"/>
      <c r="CP11" s="2450"/>
      <c r="CQ11" s="2450"/>
      <c r="CS11" s="2443" t="s">
        <v>1965</v>
      </c>
    </row>
    <row r="12" spans="2:105" x14ac:dyDescent="0.25">
      <c r="B12" s="2452"/>
      <c r="C12" s="2463" t="s">
        <v>1966</v>
      </c>
      <c r="D12" s="2464" t="s">
        <v>1967</v>
      </c>
      <c r="E12" s="2465">
        <f>'Resumen EEFF'!D76</f>
        <v>0</v>
      </c>
      <c r="F12" s="2466">
        <v>6.76</v>
      </c>
      <c r="G12" s="2456"/>
      <c r="BW12" s="2450" t="s">
        <v>1917</v>
      </c>
      <c r="BX12" s="2450">
        <v>3</v>
      </c>
      <c r="BY12" s="2450">
        <f>VLOOKUP(BW12&amp;BX12,Parametros!E$1:K$65536,7,0)</f>
        <v>3</v>
      </c>
      <c r="BZ12" s="2450">
        <v>5</v>
      </c>
      <c r="CA12" s="2450">
        <f t="shared" si="5"/>
        <v>3</v>
      </c>
      <c r="CB12" s="2450">
        <f t="shared" si="6"/>
        <v>5</v>
      </c>
      <c r="CC12" s="2450"/>
      <c r="CD12" s="2450"/>
      <c r="CE12" s="2450"/>
      <c r="CF12" s="2450"/>
      <c r="CG12" s="2451"/>
      <c r="CH12" s="2450"/>
      <c r="CI12" s="2450"/>
      <c r="CJ12" s="2450"/>
      <c r="CK12" s="2450"/>
      <c r="CL12" s="2450"/>
      <c r="CM12" s="2450"/>
      <c r="CN12" s="2450"/>
      <c r="CO12" s="2450"/>
      <c r="CP12" s="2450"/>
      <c r="CQ12" s="2450"/>
      <c r="CS12" s="2443" t="s">
        <v>1968</v>
      </c>
    </row>
    <row r="13" spans="2:105" x14ac:dyDescent="0.25">
      <c r="B13" s="2452"/>
      <c r="C13" s="2463" t="s">
        <v>1969</v>
      </c>
      <c r="D13" s="2464" t="s">
        <v>1970</v>
      </c>
      <c r="E13" s="2465">
        <f>'Resumen EEFF'!D77</f>
        <v>0</v>
      </c>
      <c r="F13" s="2466">
        <v>0</v>
      </c>
      <c r="G13" s="2456"/>
      <c r="BW13" s="2450" t="s">
        <v>1902</v>
      </c>
      <c r="BX13" s="2450">
        <v>1</v>
      </c>
      <c r="BY13" s="2450">
        <f>VLOOKUP(BW13&amp;BX13,Parametros!E$1:K$65536,7,0)</f>
        <v>1</v>
      </c>
      <c r="BZ13" s="2450">
        <v>3</v>
      </c>
      <c r="CA13" s="2450">
        <f t="shared" si="5"/>
        <v>1.6666666666666667</v>
      </c>
      <c r="CB13" s="2450">
        <f t="shared" si="6"/>
        <v>5</v>
      </c>
      <c r="CC13" s="2450"/>
      <c r="CD13" s="2450"/>
      <c r="CE13" s="2450"/>
      <c r="CF13" s="2450"/>
      <c r="CG13" s="2451"/>
      <c r="CH13" s="2450"/>
      <c r="CI13" s="2450"/>
      <c r="CJ13" s="2450"/>
      <c r="CK13" s="2450"/>
      <c r="CL13" s="2450"/>
      <c r="CM13" s="2450"/>
      <c r="CN13" s="2450"/>
      <c r="CO13" s="2450"/>
      <c r="CP13" s="2450"/>
      <c r="CQ13" s="2450"/>
      <c r="CS13" s="2443" t="s">
        <v>1971</v>
      </c>
    </row>
    <row r="14" spans="2:105" x14ac:dyDescent="0.25">
      <c r="B14" s="2452"/>
      <c r="C14" s="2463" t="s">
        <v>1972</v>
      </c>
      <c r="D14" s="2464" t="s">
        <v>1973</v>
      </c>
      <c r="E14" s="2465">
        <f>'Resumen EEFF'!D85</f>
        <v>0</v>
      </c>
      <c r="F14" s="2466">
        <v>252.3</v>
      </c>
      <c r="G14" s="2456"/>
      <c r="BW14" s="2450" t="s">
        <v>1903</v>
      </c>
      <c r="BX14" s="2450">
        <v>1</v>
      </c>
      <c r="BY14" s="2450">
        <f>VLOOKUP(BW14&amp;BX14,Parametros!E$1:K$65536,7,0)</f>
        <v>1</v>
      </c>
      <c r="BZ14" s="2450">
        <v>3</v>
      </c>
      <c r="CA14" s="2450">
        <f t="shared" si="5"/>
        <v>1.6666666666666667</v>
      </c>
      <c r="CB14" s="2450">
        <f t="shared" si="6"/>
        <v>5</v>
      </c>
      <c r="CC14" s="2450"/>
      <c r="CD14" s="2450"/>
      <c r="CE14" s="2450"/>
      <c r="CF14" s="2450"/>
      <c r="CG14" s="2451"/>
      <c r="CH14" s="2450"/>
      <c r="CI14" s="2450"/>
      <c r="CJ14" s="2450"/>
      <c r="CK14" s="2450"/>
      <c r="CL14" s="2450"/>
      <c r="CM14" s="2450"/>
      <c r="CN14" s="2450"/>
      <c r="CO14" s="2450"/>
      <c r="CP14" s="2450"/>
      <c r="CQ14" s="2450"/>
      <c r="CS14" s="2443" t="s">
        <v>1974</v>
      </c>
    </row>
    <row r="15" spans="2:105" x14ac:dyDescent="0.25">
      <c r="B15" s="2452"/>
      <c r="C15" s="2463" t="s">
        <v>1975</v>
      </c>
      <c r="D15" s="2464" t="s">
        <v>1976</v>
      </c>
      <c r="E15" s="2465">
        <f>'Resumen EEFF'!D94</f>
        <v>0</v>
      </c>
      <c r="F15" s="2466">
        <v>247.44</v>
      </c>
      <c r="G15" s="2456"/>
      <c r="BW15" s="2450"/>
      <c r="BX15" s="2450"/>
      <c r="BY15" s="2450"/>
      <c r="BZ15" s="2450"/>
      <c r="CA15" s="2450"/>
      <c r="CB15" s="2450"/>
      <c r="CC15" s="2450"/>
      <c r="CD15" s="2450"/>
      <c r="CE15" s="2450"/>
      <c r="CF15" s="2450"/>
      <c r="CG15" s="2451"/>
      <c r="CH15" s="2450"/>
      <c r="CI15" s="2450"/>
      <c r="CJ15" s="2450"/>
      <c r="CK15" s="2450"/>
      <c r="CL15" s="2450"/>
      <c r="CM15" s="2450"/>
      <c r="CN15" s="2450"/>
      <c r="CO15" s="2450"/>
      <c r="CP15" s="2450"/>
      <c r="CQ15" s="2450"/>
      <c r="CS15" s="2443" t="s">
        <v>1977</v>
      </c>
    </row>
    <row r="16" spans="2:105" x14ac:dyDescent="0.25">
      <c r="B16" s="2452"/>
      <c r="C16" s="2463" t="s">
        <v>1978</v>
      </c>
      <c r="D16" s="2464" t="s">
        <v>1979</v>
      </c>
      <c r="E16" s="2465">
        <f>'Resumen EEFF'!D102</f>
        <v>0</v>
      </c>
      <c r="F16" s="2466">
        <v>208</v>
      </c>
      <c r="G16" s="2456"/>
      <c r="BW16" s="2450"/>
      <c r="BX16" s="2450"/>
      <c r="BY16" s="2450"/>
      <c r="BZ16" s="2450"/>
      <c r="CA16" s="2450"/>
      <c r="CB16" s="2450"/>
      <c r="CC16" s="2450"/>
      <c r="CD16" s="2450"/>
      <c r="CE16" s="2450"/>
      <c r="CF16" s="2450"/>
      <c r="CG16" s="2451"/>
      <c r="CH16" s="2450"/>
      <c r="CI16" s="2450"/>
      <c r="CJ16" s="2450"/>
      <c r="CK16" s="2450"/>
      <c r="CL16" s="2450"/>
      <c r="CM16" s="2450"/>
      <c r="CN16" s="2450"/>
      <c r="CO16" s="2450"/>
      <c r="CP16" s="2450"/>
      <c r="CQ16" s="2450"/>
      <c r="CS16" s="2443" t="s">
        <v>1980</v>
      </c>
    </row>
    <row r="17" spans="2:97" x14ac:dyDescent="0.25">
      <c r="B17" s="2452"/>
      <c r="C17" s="2463" t="s">
        <v>1981</v>
      </c>
      <c r="D17" s="2464" t="s">
        <v>1982</v>
      </c>
      <c r="E17" s="2465">
        <f>'Resumen EEFF'!D13</f>
        <v>0</v>
      </c>
      <c r="F17" s="2466">
        <v>76.72</v>
      </c>
      <c r="G17" s="2456"/>
      <c r="BW17" s="2450"/>
      <c r="BX17" s="2450"/>
      <c r="BY17" s="2450"/>
      <c r="BZ17" s="2450"/>
      <c r="CA17" s="2450"/>
      <c r="CB17" s="2450"/>
      <c r="CC17" s="2450"/>
      <c r="CD17" s="2450"/>
      <c r="CE17" s="2450"/>
      <c r="CF17" s="2450"/>
      <c r="CG17" s="2451"/>
      <c r="CH17" s="2450"/>
      <c r="CI17" s="2450"/>
      <c r="CJ17" s="2450"/>
      <c r="CK17" s="2450"/>
      <c r="CL17" s="2450"/>
      <c r="CM17" s="2450"/>
      <c r="CN17" s="2450"/>
      <c r="CO17" s="2450"/>
      <c r="CP17" s="2450"/>
      <c r="CQ17" s="2450"/>
      <c r="CS17" s="2443" t="s">
        <v>1983</v>
      </c>
    </row>
    <row r="18" spans="2:97" x14ac:dyDescent="0.25">
      <c r="B18" s="2452"/>
      <c r="C18" s="2463" t="s">
        <v>1984</v>
      </c>
      <c r="D18" s="2464" t="s">
        <v>1985</v>
      </c>
      <c r="E18" s="2465">
        <f>'Resumen EEFF'!D19</f>
        <v>0</v>
      </c>
      <c r="F18" s="2466">
        <v>-81.040000000000006</v>
      </c>
      <c r="G18" s="2456"/>
      <c r="BW18" s="2450"/>
      <c r="BX18" s="2450"/>
      <c r="BY18" s="2450"/>
      <c r="BZ18" s="2450"/>
      <c r="CA18" s="2450"/>
      <c r="CB18" s="2450"/>
      <c r="CC18" s="2450"/>
      <c r="CD18" s="2450"/>
      <c r="CE18" s="2450"/>
      <c r="CF18" s="2450"/>
      <c r="CG18" s="2451"/>
      <c r="CH18" s="2450"/>
      <c r="CI18" s="2450"/>
      <c r="CJ18" s="2450"/>
      <c r="CK18" s="2450"/>
      <c r="CL18" s="2450"/>
      <c r="CM18" s="2450"/>
      <c r="CN18" s="2450"/>
      <c r="CO18" s="2450"/>
      <c r="CP18" s="2450"/>
      <c r="CQ18" s="2450"/>
      <c r="CS18" s="2443" t="s">
        <v>1986</v>
      </c>
    </row>
    <row r="19" spans="2:97" x14ac:dyDescent="0.25">
      <c r="B19" s="2452"/>
      <c r="C19" s="2464" t="s">
        <v>1987</v>
      </c>
      <c r="D19" s="2464" t="s">
        <v>1988</v>
      </c>
      <c r="E19" s="2465">
        <f>-'Resumen EEFF'!D26</f>
        <v>0</v>
      </c>
      <c r="F19" s="2466">
        <v>42.68</v>
      </c>
      <c r="G19" s="2456"/>
      <c r="BW19" s="2450"/>
      <c r="BX19" s="2450"/>
      <c r="BY19" s="2450"/>
      <c r="BZ19" s="2450"/>
      <c r="CA19" s="2450"/>
      <c r="CB19" s="2450"/>
      <c r="CC19" s="2450"/>
      <c r="CD19" s="2450"/>
      <c r="CE19" s="2450"/>
      <c r="CF19" s="2450"/>
      <c r="CG19" s="2451"/>
      <c r="CH19" s="2450"/>
      <c r="CI19" s="2450"/>
      <c r="CJ19" s="2450"/>
      <c r="CK19" s="2450"/>
      <c r="CL19" s="2450"/>
      <c r="CM19" s="2450"/>
      <c r="CN19" s="2450"/>
      <c r="CO19" s="2450"/>
      <c r="CP19" s="2450"/>
      <c r="CQ19" s="2450"/>
      <c r="CS19" s="2443" t="s">
        <v>1961</v>
      </c>
    </row>
    <row r="20" spans="2:97" x14ac:dyDescent="0.25">
      <c r="B20" s="2452"/>
      <c r="C20" s="2464" t="s">
        <v>1989</v>
      </c>
      <c r="D20" s="2464" t="s">
        <v>1990</v>
      </c>
      <c r="E20" s="2465">
        <f>'Resumen EEFF'!D35</f>
        <v>0</v>
      </c>
      <c r="F20" s="2466">
        <v>-52.68</v>
      </c>
      <c r="G20" s="2456"/>
      <c r="BW20" s="2450"/>
      <c r="BX20" s="2450"/>
      <c r="BY20" s="2450"/>
      <c r="BZ20" s="2450"/>
      <c r="CA20" s="2450"/>
      <c r="CB20" s="2450"/>
      <c r="CC20" s="2450"/>
      <c r="CD20" s="2450"/>
      <c r="CE20" s="2450"/>
      <c r="CF20" s="2450"/>
      <c r="CG20" s="2451"/>
      <c r="CH20" s="2450"/>
      <c r="CI20" s="2450"/>
      <c r="CJ20" s="2450"/>
      <c r="CK20" s="2450"/>
      <c r="CL20" s="2450"/>
      <c r="CM20" s="2450"/>
      <c r="CN20" s="2450"/>
      <c r="CO20" s="2450"/>
      <c r="CP20" s="2450"/>
      <c r="CQ20" s="2450"/>
      <c r="CS20" s="2443" t="s">
        <v>1991</v>
      </c>
    </row>
    <row r="21" spans="2:97" x14ac:dyDescent="0.25">
      <c r="B21" s="2452"/>
      <c r="C21" s="2463" t="s">
        <v>1992</v>
      </c>
      <c r="D21" s="2464" t="s">
        <v>1993</v>
      </c>
      <c r="E21" s="2465">
        <f>'Resumen EEFF'!D107</f>
        <v>0</v>
      </c>
      <c r="F21" s="2466">
        <v>210.44</v>
      </c>
      <c r="G21" s="2456"/>
      <c r="I21" s="2460"/>
      <c r="BW21" s="2450"/>
      <c r="BX21" s="2450"/>
      <c r="BY21" s="2450"/>
      <c r="BZ21" s="2450"/>
      <c r="CA21" s="2450"/>
      <c r="CB21" s="2450"/>
      <c r="CC21" s="2450"/>
      <c r="CD21" s="2450"/>
      <c r="CE21" s="2450"/>
      <c r="CF21" s="2450"/>
      <c r="CG21" s="2451"/>
      <c r="CH21" s="2450"/>
      <c r="CI21" s="2450"/>
      <c r="CJ21" s="2450"/>
      <c r="CK21" s="2450"/>
      <c r="CL21" s="2450"/>
      <c r="CM21" s="2450"/>
      <c r="CN21" s="2450"/>
      <c r="CO21" s="2450"/>
      <c r="CP21" s="2450"/>
      <c r="CQ21" s="2450"/>
      <c r="CS21" s="2443" t="s">
        <v>1994</v>
      </c>
    </row>
    <row r="22" spans="2:97" x14ac:dyDescent="0.25">
      <c r="B22" s="2452"/>
      <c r="C22" s="2463" t="s">
        <v>1995</v>
      </c>
      <c r="D22" s="2464" t="s">
        <v>1996</v>
      </c>
      <c r="E22" s="2465">
        <f>'Resumen EEFF'!D108</f>
        <v>0</v>
      </c>
      <c r="F22" s="2466">
        <v>-105.62</v>
      </c>
      <c r="G22" s="2456"/>
      <c r="CS22" s="2443" t="s">
        <v>1997</v>
      </c>
    </row>
    <row r="23" spans="2:97" x14ac:dyDescent="0.25">
      <c r="B23" s="2452"/>
      <c r="C23" s="2463" t="s">
        <v>1998</v>
      </c>
      <c r="D23" s="2464" t="s">
        <v>1999</v>
      </c>
      <c r="E23" s="2465">
        <f>'Resumen EEFF'!D110</f>
        <v>0</v>
      </c>
      <c r="F23" s="2466">
        <v>1.8</v>
      </c>
      <c r="G23" s="2456"/>
      <c r="CS23" s="2443" t="s">
        <v>2000</v>
      </c>
    </row>
    <row r="24" spans="2:97" x14ac:dyDescent="0.25">
      <c r="B24" s="2452"/>
      <c r="C24" s="2463" t="s">
        <v>2001</v>
      </c>
      <c r="D24" s="2464" t="s">
        <v>2002</v>
      </c>
      <c r="E24" s="2465">
        <f ca="1">'Resumen EEFF'!D51</f>
        <v>0</v>
      </c>
      <c r="F24" s="2466">
        <v>63.22</v>
      </c>
      <c r="G24" s="2456"/>
      <c r="CS24" s="2443" t="s">
        <v>2003</v>
      </c>
    </row>
    <row r="25" spans="2:97" x14ac:dyDescent="0.25">
      <c r="B25" s="2452"/>
      <c r="C25" s="2463" t="s">
        <v>2004</v>
      </c>
      <c r="D25" s="2464" t="s">
        <v>1895</v>
      </c>
      <c r="E25" s="2465">
        <f>'Resumen EEFF'!B19</f>
        <v>0</v>
      </c>
      <c r="F25" s="2466">
        <v>-35</v>
      </c>
      <c r="G25" s="2456"/>
      <c r="CS25" s="2443" t="s">
        <v>2005</v>
      </c>
    </row>
    <row r="26" spans="2:97" x14ac:dyDescent="0.25">
      <c r="B26" s="2452"/>
      <c r="C26" s="2463" t="s">
        <v>2006</v>
      </c>
      <c r="D26" s="2464" t="s">
        <v>1898</v>
      </c>
      <c r="E26" s="2465">
        <f>'Resumen EEFF'!B107</f>
        <v>0</v>
      </c>
      <c r="F26" s="2466">
        <v>124.35</v>
      </c>
      <c r="G26" s="2456"/>
      <c r="CS26" s="2443" t="s">
        <v>2007</v>
      </c>
    </row>
    <row r="27" spans="2:97" x14ac:dyDescent="0.25">
      <c r="B27" s="2452"/>
      <c r="C27" s="2463" t="s">
        <v>2008</v>
      </c>
      <c r="D27" s="2464"/>
      <c r="E27" s="2467">
        <f>YEAR('Resumen EEFF'!D12)</f>
        <v>2018</v>
      </c>
      <c r="F27" s="2468">
        <v>2015</v>
      </c>
      <c r="G27" s="2456"/>
      <c r="CS27" s="2443" t="s">
        <v>2009</v>
      </c>
    </row>
    <row r="28" spans="2:97" x14ac:dyDescent="0.25">
      <c r="B28" s="2452"/>
      <c r="C28" s="2463" t="s">
        <v>2010</v>
      </c>
      <c r="D28" s="2464"/>
      <c r="E28" s="2467">
        <f>YEAR('Resumen EEFF'!B12)</f>
        <v>2016</v>
      </c>
      <c r="F28" s="2468">
        <v>2012</v>
      </c>
      <c r="G28" s="2456"/>
      <c r="CS28" s="2443" t="s">
        <v>2011</v>
      </c>
    </row>
    <row r="29" spans="2:97" x14ac:dyDescent="0.25">
      <c r="B29" s="2452"/>
      <c r="C29" s="2455"/>
      <c r="D29" s="2455"/>
      <c r="E29" s="2455"/>
      <c r="F29" s="2455"/>
      <c r="G29" s="2456"/>
      <c r="CS29" s="2443" t="s">
        <v>2012</v>
      </c>
    </row>
    <row r="30" spans="2:97" x14ac:dyDescent="0.25">
      <c r="B30" s="2452"/>
      <c r="C30" s="2455"/>
      <c r="D30" s="2455"/>
      <c r="E30" s="2455"/>
      <c r="F30" s="2455"/>
      <c r="G30" s="2456"/>
      <c r="CS30" s="2443" t="s">
        <v>2013</v>
      </c>
    </row>
    <row r="31" spans="2:97" x14ac:dyDescent="0.25">
      <c r="B31" s="2452"/>
      <c r="C31" s="2455"/>
      <c r="D31" s="3572" t="s">
        <v>2014</v>
      </c>
      <c r="E31" s="3573"/>
      <c r="F31" s="3574"/>
      <c r="G31" s="2456"/>
      <c r="CS31" s="2443" t="s">
        <v>2015</v>
      </c>
    </row>
    <row r="32" spans="2:97" x14ac:dyDescent="0.25">
      <c r="B32" s="2452"/>
      <c r="C32" s="2455"/>
      <c r="D32" s="2461" t="s">
        <v>1928</v>
      </c>
      <c r="E32" s="2461" t="s">
        <v>2016</v>
      </c>
      <c r="F32" s="2461" t="s">
        <v>1950</v>
      </c>
      <c r="G32" s="2456"/>
      <c r="CS32" s="2443" t="s">
        <v>2017</v>
      </c>
    </row>
    <row r="33" spans="2:97" x14ac:dyDescent="0.25">
      <c r="B33" s="2452"/>
      <c r="C33" s="2455"/>
      <c r="D33" s="2464" t="s">
        <v>1935</v>
      </c>
      <c r="E33" s="2469" t="s">
        <v>1095</v>
      </c>
      <c r="F33" s="2466" t="s">
        <v>1095</v>
      </c>
      <c r="G33" s="2456"/>
      <c r="CS33" s="2443" t="s">
        <v>2018</v>
      </c>
    </row>
    <row r="34" spans="2:97" x14ac:dyDescent="0.25">
      <c r="B34" s="2452"/>
      <c r="C34" s="2455"/>
      <c r="D34" s="2464" t="s">
        <v>1939</v>
      </c>
      <c r="E34" s="2469" t="s">
        <v>1095</v>
      </c>
      <c r="F34" s="2466" t="s">
        <v>1095</v>
      </c>
      <c r="G34" s="2456"/>
    </row>
    <row r="35" spans="2:97" x14ac:dyDescent="0.25">
      <c r="B35" s="2452"/>
      <c r="C35" s="2455"/>
      <c r="D35" s="2464" t="s">
        <v>1942</v>
      </c>
      <c r="E35" s="2469" t="s">
        <v>1095</v>
      </c>
      <c r="F35" s="2466" t="s">
        <v>1095</v>
      </c>
      <c r="G35" s="2456"/>
    </row>
    <row r="36" spans="2:97" x14ac:dyDescent="0.25">
      <c r="B36" s="2452"/>
      <c r="C36" s="2455"/>
      <c r="D36" s="2464" t="s">
        <v>1945</v>
      </c>
      <c r="E36" s="2469" t="s">
        <v>1095</v>
      </c>
      <c r="F36" s="2466" t="s">
        <v>1095</v>
      </c>
      <c r="G36" s="2456"/>
    </row>
    <row r="37" spans="2:97" x14ac:dyDescent="0.25">
      <c r="B37" s="2452"/>
      <c r="C37" s="2455"/>
      <c r="D37" s="2464" t="s">
        <v>1951</v>
      </c>
      <c r="E37" s="2469" t="s">
        <v>1095</v>
      </c>
      <c r="F37" s="2466" t="s">
        <v>1095</v>
      </c>
      <c r="G37" s="2456"/>
    </row>
    <row r="38" spans="2:97" x14ac:dyDescent="0.25">
      <c r="B38" s="2452"/>
      <c r="C38" s="2455"/>
      <c r="D38" s="2464" t="s">
        <v>1956</v>
      </c>
      <c r="E38" s="2469" t="s">
        <v>1095</v>
      </c>
      <c r="F38" s="2466" t="s">
        <v>1095</v>
      </c>
      <c r="G38" s="2456"/>
    </row>
    <row r="39" spans="2:97" x14ac:dyDescent="0.25">
      <c r="B39" s="2452"/>
      <c r="C39" s="2455"/>
      <c r="D39" s="2455"/>
      <c r="E39" s="2470"/>
      <c r="F39" s="2470"/>
      <c r="G39" s="2456"/>
    </row>
    <row r="40" spans="2:97" x14ac:dyDescent="0.25">
      <c r="B40" s="2452"/>
      <c r="C40" s="2455"/>
      <c r="D40" s="2455"/>
      <c r="E40" s="2470"/>
      <c r="F40" s="2470"/>
      <c r="G40" s="2456"/>
    </row>
    <row r="41" spans="2:97" x14ac:dyDescent="0.25">
      <c r="B41" s="2452"/>
      <c r="C41" s="2455"/>
      <c r="D41" s="3572" t="s">
        <v>2019</v>
      </c>
      <c r="E41" s="3573"/>
      <c r="F41" s="3574"/>
      <c r="G41" s="2456"/>
    </row>
    <row r="42" spans="2:97" x14ac:dyDescent="0.25">
      <c r="B42" s="2452"/>
      <c r="C42" s="2455"/>
      <c r="D42" s="2461" t="s">
        <v>2020</v>
      </c>
      <c r="E42" s="2461" t="s">
        <v>2016</v>
      </c>
      <c r="F42" s="2461" t="s">
        <v>1950</v>
      </c>
      <c r="G42" s="2456"/>
    </row>
    <row r="43" spans="2:97" x14ac:dyDescent="0.25">
      <c r="B43" s="2452"/>
      <c r="C43" s="2455"/>
      <c r="D43" s="2464" t="s">
        <v>2021</v>
      </c>
      <c r="E43" s="2465"/>
      <c r="F43" s="2466">
        <v>0</v>
      </c>
      <c r="G43" s="2456"/>
    </row>
    <row r="44" spans="2:97" x14ac:dyDescent="0.25">
      <c r="B44" s="2452"/>
      <c r="C44" s="2455"/>
      <c r="D44" s="2464" t="s">
        <v>2022</v>
      </c>
      <c r="E44" s="2471"/>
      <c r="F44" s="2466">
        <v>0.5</v>
      </c>
      <c r="G44" s="2456"/>
    </row>
    <row r="45" spans="2:97" x14ac:dyDescent="0.25">
      <c r="B45" s="2452"/>
      <c r="C45" s="2455"/>
      <c r="D45" s="2464" t="s">
        <v>2023</v>
      </c>
      <c r="E45" s="2465"/>
      <c r="F45" s="2466">
        <v>8</v>
      </c>
      <c r="G45" s="2456"/>
    </row>
    <row r="46" spans="2:97" x14ac:dyDescent="0.25">
      <c r="B46" s="2452"/>
      <c r="C46" s="2455"/>
      <c r="D46" s="2455"/>
      <c r="E46" s="2455"/>
      <c r="F46" s="2455"/>
      <c r="G46" s="2456"/>
    </row>
    <row r="47" spans="2:97" x14ac:dyDescent="0.25">
      <c r="B47" s="2452"/>
      <c r="C47" s="2455"/>
      <c r="D47" s="2455"/>
      <c r="E47" s="2455"/>
      <c r="F47" s="2455"/>
      <c r="G47" s="2456"/>
    </row>
    <row r="48" spans="2:97" x14ac:dyDescent="0.25">
      <c r="B48" s="2472"/>
      <c r="C48" s="2473"/>
      <c r="D48" s="2473"/>
      <c r="E48" s="2473"/>
      <c r="F48" s="2473"/>
      <c r="G48" s="2474"/>
    </row>
    <row r="51" spans="2:9" x14ac:dyDescent="0.25">
      <c r="B51" s="2446"/>
      <c r="C51" s="2447"/>
      <c r="D51" s="2447"/>
      <c r="E51" s="2447"/>
      <c r="F51" s="2447"/>
      <c r="G51" s="2447"/>
      <c r="H51" s="2447"/>
      <c r="I51" s="2448"/>
    </row>
    <row r="52" spans="2:9" x14ac:dyDescent="0.25">
      <c r="B52" s="2452"/>
      <c r="C52" s="2455"/>
      <c r="D52" s="2455"/>
      <c r="E52" s="2455"/>
      <c r="F52" s="2455"/>
      <c r="G52" s="2455"/>
      <c r="H52" s="2455"/>
      <c r="I52" s="2456"/>
    </row>
    <row r="53" spans="2:9" x14ac:dyDescent="0.25">
      <c r="B53" s="2452"/>
      <c r="C53" s="2455"/>
      <c r="D53" s="2455"/>
      <c r="E53" s="2455"/>
      <c r="F53" s="2455"/>
      <c r="G53" s="2455"/>
      <c r="H53" s="2455"/>
      <c r="I53" s="2456"/>
    </row>
    <row r="54" spans="2:9" x14ac:dyDescent="0.25">
      <c r="B54" s="2452"/>
      <c r="C54" s="2455"/>
      <c r="D54" s="2455"/>
      <c r="E54" s="2455"/>
      <c r="F54" s="2455"/>
      <c r="G54" s="2455"/>
      <c r="H54" s="2455"/>
      <c r="I54" s="2456"/>
    </row>
    <row r="55" spans="2:9" x14ac:dyDescent="0.25">
      <c r="B55" s="2452"/>
      <c r="C55" s="2455"/>
      <c r="D55" s="2455"/>
      <c r="E55" s="2455"/>
      <c r="F55" s="2455"/>
      <c r="G55" s="2455"/>
      <c r="H55" s="2455"/>
      <c r="I55" s="2456"/>
    </row>
    <row r="56" spans="2:9" x14ac:dyDescent="0.25">
      <c r="B56" s="2452"/>
      <c r="C56" s="2455"/>
      <c r="D56" s="2455"/>
      <c r="E56" s="2455"/>
      <c r="F56" s="2455"/>
      <c r="G56" s="2455"/>
      <c r="H56" s="2455"/>
      <c r="I56" s="2456"/>
    </row>
    <row r="57" spans="2:9" x14ac:dyDescent="0.25">
      <c r="B57" s="2452"/>
      <c r="C57" s="2455"/>
      <c r="D57" s="2455"/>
      <c r="E57" s="2455"/>
      <c r="F57" s="2455"/>
      <c r="G57" s="2455"/>
      <c r="H57" s="2455"/>
      <c r="I57" s="2456"/>
    </row>
    <row r="58" spans="2:9" x14ac:dyDescent="0.25">
      <c r="B58" s="2452"/>
      <c r="C58" s="2455"/>
      <c r="D58" s="2455"/>
      <c r="E58" s="2455"/>
      <c r="F58" s="2455"/>
      <c r="G58" s="2455"/>
      <c r="H58" s="2455"/>
      <c r="I58" s="2456"/>
    </row>
    <row r="59" spans="2:9" x14ac:dyDescent="0.25">
      <c r="B59" s="2452"/>
      <c r="C59" s="2455"/>
      <c r="D59" s="2455"/>
      <c r="E59" s="2455"/>
      <c r="F59" s="2455"/>
      <c r="G59" s="2455"/>
      <c r="H59" s="2455"/>
      <c r="I59" s="2456"/>
    </row>
    <row r="60" spans="2:9" x14ac:dyDescent="0.25">
      <c r="B60" s="2452"/>
      <c r="C60" s="2462" t="s">
        <v>2024</v>
      </c>
      <c r="D60" s="2462" t="s">
        <v>1947</v>
      </c>
      <c r="E60" s="2462" t="s">
        <v>2025</v>
      </c>
      <c r="F60" s="2455"/>
      <c r="G60" s="2462" t="s">
        <v>1928</v>
      </c>
      <c r="H60" s="2462" t="s">
        <v>2016</v>
      </c>
      <c r="I60" s="2456"/>
    </row>
    <row r="61" spans="2:9" x14ac:dyDescent="0.25">
      <c r="B61" s="2452"/>
      <c r="C61" s="2475" t="s">
        <v>1908</v>
      </c>
      <c r="D61" s="2476" t="s">
        <v>2026</v>
      </c>
      <c r="E61" s="2477">
        <f>AJ3</f>
        <v>0</v>
      </c>
      <c r="F61" s="2455"/>
      <c r="G61" s="2476" t="s">
        <v>1935</v>
      </c>
      <c r="H61" s="2478">
        <f>IF(E9&lt;&gt;"P4","na",VLOOKUP(E33,Parametros!$S$1:$T$65536,2,0))</f>
        <v>0</v>
      </c>
      <c r="I61" s="2456"/>
    </row>
    <row r="62" spans="2:9" x14ac:dyDescent="0.25">
      <c r="B62" s="2452"/>
      <c r="C62" s="2475" t="s">
        <v>1909</v>
      </c>
      <c r="D62" s="2476" t="s">
        <v>2027</v>
      </c>
      <c r="E62" s="2477">
        <f ca="1">AK3</f>
        <v>0</v>
      </c>
      <c r="F62" s="2455"/>
      <c r="G62" s="2476" t="s">
        <v>1939</v>
      </c>
      <c r="H62" s="2478">
        <f>IF(E9&lt;&gt;"P4","na",VLOOKUP(E34,Parametros!$S$1:$T$65536,2,0))</f>
        <v>0</v>
      </c>
      <c r="I62" s="2456"/>
    </row>
    <row r="63" spans="2:9" x14ac:dyDescent="0.25">
      <c r="B63" s="2452"/>
      <c r="C63" s="2475" t="s">
        <v>1910</v>
      </c>
      <c r="D63" s="2476" t="s">
        <v>2028</v>
      </c>
      <c r="E63" s="2477">
        <f>AL3</f>
        <v>1</v>
      </c>
      <c r="F63" s="2455"/>
      <c r="G63" s="2476" t="s">
        <v>1942</v>
      </c>
      <c r="H63" s="2478">
        <f>IF(E9&lt;&gt;"P4","na",VLOOKUP(E35,Parametros!$S$1:$T$65536,2,0))</f>
        <v>0</v>
      </c>
      <c r="I63" s="2456"/>
    </row>
    <row r="64" spans="2:9" x14ac:dyDescent="0.25">
      <c r="B64" s="2452"/>
      <c r="C64" s="2475" t="s">
        <v>1911</v>
      </c>
      <c r="D64" s="2476" t="s">
        <v>2029</v>
      </c>
      <c r="E64" s="2477">
        <f>AM3</f>
        <v>0</v>
      </c>
      <c r="F64" s="2455"/>
      <c r="G64" s="2476" t="s">
        <v>1945</v>
      </c>
      <c r="H64" s="2478">
        <f>IF(E9&lt;&gt;"P4","na",VLOOKUP(E36,Parametros!$S$1:$T$65536,2,0))</f>
        <v>0</v>
      </c>
      <c r="I64" s="2456"/>
    </row>
    <row r="65" spans="2:9" x14ac:dyDescent="0.25">
      <c r="B65" s="2452"/>
      <c r="C65" s="2475" t="s">
        <v>1912</v>
      </c>
      <c r="D65" s="2476" t="s">
        <v>376</v>
      </c>
      <c r="E65" s="2477">
        <f>AN3</f>
        <v>0</v>
      </c>
      <c r="F65" s="2455"/>
      <c r="G65" s="2476" t="s">
        <v>1951</v>
      </c>
      <c r="H65" s="2478">
        <f>IF(E9&lt;&gt;"P4","na",VLOOKUP(E37,Parametros!$S$1:$T$65536,2,0))</f>
        <v>0</v>
      </c>
      <c r="I65" s="2456"/>
    </row>
    <row r="66" spans="2:9" x14ac:dyDescent="0.25">
      <c r="B66" s="2452"/>
      <c r="C66" s="2475" t="s">
        <v>1913</v>
      </c>
      <c r="D66" s="2476" t="s">
        <v>2030</v>
      </c>
      <c r="E66" s="2477">
        <f>AO3</f>
        <v>0</v>
      </c>
      <c r="F66" s="2455"/>
      <c r="G66" s="2476" t="s">
        <v>1956</v>
      </c>
      <c r="H66" s="2478">
        <f>IF(E9&lt;&gt;"P4","na",VLOOKUP(E38,Parametros!$S$1:$T$65536,2,0))</f>
        <v>0</v>
      </c>
      <c r="I66" s="2456"/>
    </row>
    <row r="67" spans="2:9" x14ac:dyDescent="0.25">
      <c r="B67" s="2452"/>
      <c r="C67" s="2475" t="s">
        <v>1914</v>
      </c>
      <c r="D67" s="2476" t="s">
        <v>2031</v>
      </c>
      <c r="E67" s="2477">
        <f>AP3</f>
        <v>0</v>
      </c>
      <c r="F67" s="2455"/>
      <c r="G67" s="2455"/>
      <c r="H67" s="2455"/>
      <c r="I67" s="2456"/>
    </row>
    <row r="68" spans="2:9" x14ac:dyDescent="0.25">
      <c r="B68" s="2452"/>
      <c r="C68" s="2475" t="s">
        <v>1916</v>
      </c>
      <c r="D68" s="2476" t="s">
        <v>2032</v>
      </c>
      <c r="E68" s="2477">
        <f>AR3</f>
        <v>6</v>
      </c>
      <c r="F68" s="2455"/>
      <c r="G68" s="2455"/>
      <c r="H68" s="2455"/>
      <c r="I68" s="2456"/>
    </row>
    <row r="69" spans="2:9" x14ac:dyDescent="0.25">
      <c r="B69" s="2452"/>
      <c r="C69" s="2475" t="s">
        <v>1915</v>
      </c>
      <c r="D69" s="2476" t="s">
        <v>2033</v>
      </c>
      <c r="E69" s="2477">
        <f>AQ3</f>
        <v>0</v>
      </c>
      <c r="F69" s="2455"/>
      <c r="G69" s="2455"/>
      <c r="H69" s="2455"/>
      <c r="I69" s="2456"/>
    </row>
    <row r="70" spans="2:9" x14ac:dyDescent="0.25">
      <c r="B70" s="2452"/>
      <c r="C70" s="2475" t="s">
        <v>1917</v>
      </c>
      <c r="D70" s="2476" t="s">
        <v>2034</v>
      </c>
      <c r="E70" s="2477">
        <f>AS3</f>
        <v>0</v>
      </c>
      <c r="F70" s="2455"/>
      <c r="G70" s="2455"/>
      <c r="H70" s="2455"/>
      <c r="I70" s="2456"/>
    </row>
    <row r="71" spans="2:9" x14ac:dyDescent="0.25">
      <c r="B71" s="2452"/>
      <c r="C71" s="2479" t="s">
        <v>1902</v>
      </c>
      <c r="D71" s="2476" t="s">
        <v>2035</v>
      </c>
      <c r="E71" s="2477">
        <f>AD3</f>
        <v>-0.21906373649835587</v>
      </c>
      <c r="F71" s="2455"/>
      <c r="G71" s="2455"/>
      <c r="H71" s="2455"/>
      <c r="I71" s="2456"/>
    </row>
    <row r="72" spans="2:9" x14ac:dyDescent="0.25">
      <c r="B72" s="2452"/>
      <c r="C72" s="2479" t="s">
        <v>1903</v>
      </c>
      <c r="D72" s="2476" t="s">
        <v>2036</v>
      </c>
      <c r="E72" s="2477">
        <f>AE3</f>
        <v>13829.068234605456</v>
      </c>
      <c r="F72" s="2455"/>
      <c r="G72" s="2455"/>
      <c r="H72" s="2455"/>
      <c r="I72" s="2456"/>
    </row>
    <row r="73" spans="2:9" x14ac:dyDescent="0.25">
      <c r="B73" s="2452"/>
      <c r="C73" s="3575" t="s">
        <v>2037</v>
      </c>
      <c r="D73" s="3575"/>
      <c r="E73" s="2480">
        <f ca="1">BS3</f>
        <v>3.6</v>
      </c>
      <c r="F73" s="2455"/>
      <c r="G73" s="2481" t="s">
        <v>2038</v>
      </c>
      <c r="H73" s="2482">
        <f>IF(E9&lt;&gt;"P4",0,SUM(H61:H66)/3)</f>
        <v>0</v>
      </c>
      <c r="I73" s="2456"/>
    </row>
    <row r="74" spans="2:9" x14ac:dyDescent="0.25">
      <c r="B74" s="2452"/>
      <c r="C74" s="2455"/>
      <c r="D74" s="2455"/>
      <c r="E74" s="2455"/>
      <c r="F74" s="2455"/>
      <c r="G74" s="2455"/>
      <c r="H74" s="2455"/>
      <c r="I74" s="2456"/>
    </row>
    <row r="75" spans="2:9" x14ac:dyDescent="0.25">
      <c r="B75" s="2452"/>
      <c r="C75" s="2455"/>
      <c r="D75" s="2455"/>
      <c r="E75" s="2455"/>
      <c r="F75" s="2455"/>
      <c r="G75" s="2455"/>
      <c r="H75" s="2455"/>
      <c r="I75" s="2456"/>
    </row>
    <row r="76" spans="2:9" x14ac:dyDescent="0.25">
      <c r="B76" s="2452"/>
      <c r="C76" s="2455"/>
      <c r="D76" s="2455"/>
      <c r="E76" s="2455"/>
      <c r="F76" s="2455"/>
      <c r="G76" s="2455"/>
      <c r="H76" s="2455"/>
      <c r="I76" s="2456"/>
    </row>
    <row r="77" spans="2:9" x14ac:dyDescent="0.25">
      <c r="B77" s="2452"/>
      <c r="C77" s="2455"/>
      <c r="D77" s="2455"/>
      <c r="E77" s="2455"/>
      <c r="F77" s="2455"/>
      <c r="G77" s="2455"/>
      <c r="H77" s="2455"/>
      <c r="I77" s="2456"/>
    </row>
    <row r="78" spans="2:9" x14ac:dyDescent="0.25">
      <c r="B78" s="2452"/>
      <c r="C78" s="2455"/>
      <c r="D78" s="2455"/>
      <c r="E78" s="2455"/>
      <c r="F78" s="2455"/>
      <c r="G78" s="2455"/>
      <c r="H78" s="2455"/>
      <c r="I78" s="2456"/>
    </row>
    <row r="79" spans="2:9" x14ac:dyDescent="0.25">
      <c r="B79" s="2452"/>
      <c r="C79" s="2455"/>
      <c r="D79" s="2455"/>
      <c r="E79" s="2455"/>
      <c r="F79" s="2455"/>
      <c r="G79" s="2455"/>
      <c r="H79" s="2455"/>
      <c r="I79" s="2456"/>
    </row>
    <row r="80" spans="2:9" x14ac:dyDescent="0.25">
      <c r="B80" s="2452"/>
      <c r="C80" s="2455"/>
      <c r="D80" s="2455"/>
      <c r="E80" s="2455"/>
      <c r="F80" s="2455"/>
      <c r="G80" s="2455"/>
      <c r="H80" s="2455"/>
      <c r="I80" s="2456"/>
    </row>
    <row r="81" spans="2:9" x14ac:dyDescent="0.25">
      <c r="B81" s="2452"/>
      <c r="C81" s="2455"/>
      <c r="D81" s="2455"/>
      <c r="E81" s="2455"/>
      <c r="F81" s="2455"/>
      <c r="G81" s="2455"/>
      <c r="H81" s="2455"/>
      <c r="I81" s="2456"/>
    </row>
    <row r="82" spans="2:9" x14ac:dyDescent="0.25">
      <c r="B82" s="2452"/>
      <c r="C82" s="2455"/>
      <c r="D82" s="2455"/>
      <c r="E82" s="2455"/>
      <c r="F82" s="2455"/>
      <c r="G82" s="2455"/>
      <c r="H82" s="2455"/>
      <c r="I82" s="2456"/>
    </row>
    <row r="83" spans="2:9" x14ac:dyDescent="0.25">
      <c r="B83" s="2452"/>
      <c r="C83" s="2455"/>
      <c r="D83" s="2455"/>
      <c r="E83" s="2455"/>
      <c r="F83" s="2455"/>
      <c r="G83" s="2455"/>
      <c r="H83" s="2455"/>
      <c r="I83" s="2456"/>
    </row>
    <row r="84" spans="2:9" x14ac:dyDescent="0.25">
      <c r="B84" s="2452"/>
      <c r="C84" s="2455"/>
      <c r="D84" s="2455"/>
      <c r="E84" s="2455"/>
      <c r="F84" s="2455"/>
      <c r="G84" s="2455"/>
      <c r="H84" s="2455"/>
      <c r="I84" s="2456"/>
    </row>
    <row r="85" spans="2:9" x14ac:dyDescent="0.25">
      <c r="B85" s="2452"/>
      <c r="C85" s="2455"/>
      <c r="D85" s="2455"/>
      <c r="E85" s="2455"/>
      <c r="F85" s="2455"/>
      <c r="G85" s="2455"/>
      <c r="H85" s="2455"/>
      <c r="I85" s="2456"/>
    </row>
    <row r="86" spans="2:9" x14ac:dyDescent="0.25">
      <c r="B86" s="2452"/>
      <c r="C86" s="2455"/>
      <c r="D86" s="2455"/>
      <c r="E86" s="2455"/>
      <c r="F86" s="2455"/>
      <c r="G86" s="2455"/>
      <c r="H86" s="2455"/>
      <c r="I86" s="2456"/>
    </row>
    <row r="87" spans="2:9" x14ac:dyDescent="0.25">
      <c r="B87" s="2452"/>
      <c r="C87" s="2455"/>
      <c r="D87" s="2455"/>
      <c r="E87" s="2455"/>
      <c r="F87" s="2455"/>
      <c r="G87" s="2455"/>
      <c r="H87" s="2455"/>
      <c r="I87" s="2456"/>
    </row>
    <row r="88" spans="2:9" x14ac:dyDescent="0.25">
      <c r="B88" s="2452"/>
      <c r="C88" s="2455"/>
      <c r="D88" s="2455"/>
      <c r="E88" s="2455"/>
      <c r="F88" s="2455"/>
      <c r="G88" s="2455"/>
      <c r="H88" s="2455"/>
      <c r="I88" s="2456"/>
    </row>
    <row r="89" spans="2:9" x14ac:dyDescent="0.25">
      <c r="B89" s="2452"/>
      <c r="C89" s="2455"/>
      <c r="D89" s="2455"/>
      <c r="E89" s="2455"/>
      <c r="F89" s="2455"/>
      <c r="G89" s="2455"/>
      <c r="H89" s="2455"/>
      <c r="I89" s="2456"/>
    </row>
    <row r="90" spans="2:9" x14ac:dyDescent="0.25">
      <c r="B90" s="2452"/>
      <c r="C90" s="2455"/>
      <c r="D90" s="2455"/>
      <c r="E90" s="2455"/>
      <c r="F90" s="2455"/>
      <c r="G90" s="2455"/>
      <c r="H90" s="2455"/>
      <c r="I90" s="2456"/>
    </row>
    <row r="91" spans="2:9" x14ac:dyDescent="0.25">
      <c r="B91" s="2452"/>
      <c r="C91" s="2455"/>
      <c r="D91" s="2455"/>
      <c r="E91" s="2455"/>
      <c r="F91" s="2455"/>
      <c r="G91" s="2455"/>
      <c r="H91" s="2455"/>
      <c r="I91" s="2456"/>
    </row>
    <row r="92" spans="2:9" x14ac:dyDescent="0.25">
      <c r="B92" s="2452"/>
      <c r="C92" s="2455"/>
      <c r="D92" s="2455"/>
      <c r="E92" s="2455"/>
      <c r="F92" s="2455"/>
      <c r="G92" s="2455"/>
      <c r="H92" s="2455"/>
      <c r="I92" s="2456"/>
    </row>
    <row r="93" spans="2:9" x14ac:dyDescent="0.25">
      <c r="B93" s="2452"/>
      <c r="C93" s="2455"/>
      <c r="D93" s="2455"/>
      <c r="E93" s="2455"/>
      <c r="F93" s="2455"/>
      <c r="G93" s="2455"/>
      <c r="H93" s="2455"/>
      <c r="I93" s="2456"/>
    </row>
    <row r="94" spans="2:9" x14ac:dyDescent="0.25">
      <c r="B94" s="2452"/>
      <c r="C94" s="2455"/>
      <c r="D94" s="2455"/>
      <c r="E94" s="2455"/>
      <c r="F94" s="2455"/>
      <c r="G94" s="2455"/>
      <c r="H94" s="2455"/>
      <c r="I94" s="2456"/>
    </row>
    <row r="95" spans="2:9" x14ac:dyDescent="0.25">
      <c r="B95" s="2452"/>
      <c r="C95" s="2455"/>
      <c r="D95" s="2455"/>
      <c r="E95" s="2455"/>
      <c r="F95" s="2455"/>
      <c r="G95" s="2455"/>
      <c r="H95" s="2455"/>
      <c r="I95" s="2456"/>
    </row>
    <row r="96" spans="2:9" x14ac:dyDescent="0.25">
      <c r="B96" s="2452"/>
      <c r="C96" s="2455"/>
      <c r="D96" s="2455"/>
      <c r="E96" s="2455"/>
      <c r="F96" s="2455"/>
      <c r="G96" s="2455"/>
      <c r="H96" s="2455"/>
      <c r="I96" s="2456"/>
    </row>
    <row r="97" spans="2:9" x14ac:dyDescent="0.25">
      <c r="B97" s="2452"/>
      <c r="C97" s="2455"/>
      <c r="D97" s="2455"/>
      <c r="E97" s="2455"/>
      <c r="F97" s="2455"/>
      <c r="G97" s="2455"/>
      <c r="H97" s="2455"/>
      <c r="I97" s="2456"/>
    </row>
    <row r="98" spans="2:9" x14ac:dyDescent="0.25">
      <c r="B98" s="2452"/>
      <c r="C98" s="2455"/>
      <c r="D98" s="2455"/>
      <c r="E98" s="2455"/>
      <c r="F98" s="2455"/>
      <c r="G98" s="2455"/>
      <c r="H98" s="2455"/>
      <c r="I98" s="2456"/>
    </row>
    <row r="99" spans="2:9" x14ac:dyDescent="0.25">
      <c r="B99" s="2452"/>
      <c r="C99" s="2455"/>
      <c r="D99" s="2455"/>
      <c r="E99" s="2455"/>
      <c r="F99" s="2455"/>
      <c r="G99" s="2455"/>
      <c r="H99" s="2455"/>
      <c r="I99" s="2456"/>
    </row>
    <row r="100" spans="2:9" x14ac:dyDescent="0.25">
      <c r="B100" s="2452"/>
      <c r="C100" s="2455"/>
      <c r="D100" s="2455"/>
      <c r="E100" s="2455"/>
      <c r="F100" s="2455"/>
      <c r="G100" s="2455"/>
      <c r="H100" s="2455"/>
      <c r="I100" s="2456"/>
    </row>
    <row r="101" spans="2:9" x14ac:dyDescent="0.25">
      <c r="B101" s="2452"/>
      <c r="C101" s="2455"/>
      <c r="D101" s="2483" t="s">
        <v>2039</v>
      </c>
      <c r="E101" s="2484">
        <f ca="1">E73+H73</f>
        <v>3.6</v>
      </c>
      <c r="F101" s="2455"/>
      <c r="G101" s="2455"/>
      <c r="H101" s="2455"/>
      <c r="I101" s="2456"/>
    </row>
    <row r="102" spans="2:9" x14ac:dyDescent="0.25">
      <c r="B102" s="2452"/>
      <c r="C102" s="2455"/>
      <c r="D102" s="2455"/>
      <c r="E102" s="2455"/>
      <c r="F102" s="2455"/>
      <c r="G102" s="2455"/>
      <c r="H102" s="2455"/>
      <c r="I102" s="2456"/>
    </row>
    <row r="103" spans="2:9" x14ac:dyDescent="0.25">
      <c r="B103" s="2452"/>
      <c r="C103" s="2455"/>
      <c r="D103" s="2483" t="s">
        <v>2040</v>
      </c>
      <c r="E103" s="2484">
        <f>E43</f>
        <v>0</v>
      </c>
      <c r="F103" s="2455"/>
      <c r="G103" s="2455"/>
      <c r="H103" s="2455"/>
      <c r="I103" s="2456"/>
    </row>
    <row r="104" spans="2:9" x14ac:dyDescent="0.25">
      <c r="B104" s="2452"/>
      <c r="C104" s="2455"/>
      <c r="D104" s="2455"/>
      <c r="E104" s="2455"/>
      <c r="F104" s="2455"/>
      <c r="G104" s="2455"/>
      <c r="H104" s="2455"/>
      <c r="I104" s="2456"/>
    </row>
    <row r="105" spans="2:9" x14ac:dyDescent="0.25">
      <c r="B105" s="2452"/>
      <c r="C105" s="2455"/>
      <c r="D105" s="2483" t="s">
        <v>2041</v>
      </c>
      <c r="E105" s="2484">
        <f>IF(E45="",0,E101+(E45-E101)*E44)</f>
        <v>0</v>
      </c>
      <c r="F105" s="2455"/>
      <c r="G105" s="2455"/>
      <c r="H105" s="2455"/>
      <c r="I105" s="2456"/>
    </row>
    <row r="106" spans="2:9" x14ac:dyDescent="0.25">
      <c r="B106" s="2452"/>
      <c r="C106" s="2455"/>
      <c r="D106" s="2455"/>
      <c r="E106" s="2455"/>
      <c r="F106" s="2455"/>
      <c r="G106" s="2455"/>
      <c r="H106" s="2455"/>
      <c r="I106" s="2456"/>
    </row>
    <row r="107" spans="2:9" x14ac:dyDescent="0.25">
      <c r="B107" s="2452"/>
      <c r="C107" s="2455"/>
      <c r="D107" s="2483" t="s">
        <v>2042</v>
      </c>
      <c r="E107" s="2484">
        <f ca="1">IF(E105=0,E101+E103,E105)</f>
        <v>3.6</v>
      </c>
      <c r="F107" s="2455"/>
      <c r="G107" s="2455"/>
      <c r="H107" s="2455"/>
      <c r="I107" s="2456"/>
    </row>
    <row r="108" spans="2:9" x14ac:dyDescent="0.25">
      <c r="B108" s="2452"/>
      <c r="C108" s="2455"/>
      <c r="D108" s="2455"/>
      <c r="E108" s="2455"/>
      <c r="F108" s="2455"/>
      <c r="G108" s="2455"/>
      <c r="H108" s="2455"/>
      <c r="I108" s="2456"/>
    </row>
    <row r="109" spans="2:9" x14ac:dyDescent="0.25">
      <c r="B109" s="2452"/>
      <c r="C109" s="2455"/>
      <c r="D109" s="2483" t="s">
        <v>2043</v>
      </c>
      <c r="E109" s="2485"/>
      <c r="F109" s="2455"/>
      <c r="G109" s="2455"/>
      <c r="H109" s="2455"/>
      <c r="I109" s="2456"/>
    </row>
    <row r="110" spans="2:9" x14ac:dyDescent="0.25">
      <c r="B110" s="2452"/>
      <c r="C110" s="2455"/>
      <c r="D110" s="2445"/>
      <c r="E110" s="2445"/>
      <c r="F110" s="2455"/>
      <c r="G110" s="2455"/>
      <c r="H110" s="2455"/>
      <c r="I110" s="2456"/>
    </row>
    <row r="111" spans="2:9" x14ac:dyDescent="0.25">
      <c r="B111" s="2452"/>
      <c r="C111" s="2455"/>
      <c r="D111" s="2445"/>
      <c r="E111" s="2445"/>
      <c r="F111" s="2455"/>
      <c r="G111" s="2455"/>
      <c r="H111" s="2455"/>
      <c r="I111" s="2456"/>
    </row>
    <row r="112" spans="2:9" x14ac:dyDescent="0.25">
      <c r="B112" s="2472"/>
      <c r="C112" s="2473"/>
      <c r="D112" s="2473"/>
      <c r="E112" s="2473"/>
      <c r="F112" s="2473"/>
      <c r="G112" s="2473"/>
      <c r="H112" s="2473"/>
      <c r="I112" s="2474"/>
    </row>
  </sheetData>
  <sheetProtection sheet="1"/>
  <mergeCells count="4">
    <mergeCell ref="C6:F6"/>
    <mergeCell ref="D31:F31"/>
    <mergeCell ref="D41:F41"/>
    <mergeCell ref="C73:D73"/>
  </mergeCells>
  <conditionalFormatting sqref="E33:E38">
    <cfRule type="expression" dxfId="4" priority="1" stopIfTrue="1">
      <formula>$E$9&lt;&gt;"P4"</formula>
    </cfRule>
    <cfRule type="expression" dxfId="3" priority="2" stopIfTrue="1">
      <formula>$E$9="P4"</formula>
    </cfRule>
  </conditionalFormatting>
  <dataValidations count="5">
    <dataValidation type="list" allowBlank="1" showInputMessage="1" showErrorMessage="1" sqref="E9:F9 JA9:JB9 SW9:SX9 ACS9:ACT9 AMO9:AMP9 AWK9:AWL9 BGG9:BGH9 BQC9:BQD9 BZY9:BZZ9 CJU9:CJV9 CTQ9:CTR9 DDM9:DDN9 DNI9:DNJ9 DXE9:DXF9 EHA9:EHB9 EQW9:EQX9 FAS9:FAT9 FKO9:FKP9 FUK9:FUL9 GEG9:GEH9 GOC9:GOD9 GXY9:GXZ9 HHU9:HHV9 HRQ9:HRR9 IBM9:IBN9 ILI9:ILJ9 IVE9:IVF9 JFA9:JFB9 JOW9:JOX9 JYS9:JYT9 KIO9:KIP9 KSK9:KSL9 LCG9:LCH9 LMC9:LMD9 LVY9:LVZ9 MFU9:MFV9 MPQ9:MPR9 MZM9:MZN9 NJI9:NJJ9 NTE9:NTF9 ODA9:ODB9 OMW9:OMX9 OWS9:OWT9 PGO9:PGP9 PQK9:PQL9 QAG9:QAH9 QKC9:QKD9 QTY9:QTZ9 RDU9:RDV9 RNQ9:RNR9 RXM9:RXN9 SHI9:SHJ9 SRE9:SRF9 TBA9:TBB9 TKW9:TKX9 TUS9:TUT9 UEO9:UEP9 UOK9:UOL9 UYG9:UYH9 VIC9:VID9 VRY9:VRZ9 WBU9:WBV9 WLQ9:WLR9 WVM9:WVN9 E65545:F65545 JA65545:JB65545 SW65545:SX65545 ACS65545:ACT65545 AMO65545:AMP65545 AWK65545:AWL65545 BGG65545:BGH65545 BQC65545:BQD65545 BZY65545:BZZ65545 CJU65545:CJV65545 CTQ65545:CTR65545 DDM65545:DDN65545 DNI65545:DNJ65545 DXE65545:DXF65545 EHA65545:EHB65545 EQW65545:EQX65545 FAS65545:FAT65545 FKO65545:FKP65545 FUK65545:FUL65545 GEG65545:GEH65545 GOC65545:GOD65545 GXY65545:GXZ65545 HHU65545:HHV65545 HRQ65545:HRR65545 IBM65545:IBN65545 ILI65545:ILJ65545 IVE65545:IVF65545 JFA65545:JFB65545 JOW65545:JOX65545 JYS65545:JYT65545 KIO65545:KIP65545 KSK65545:KSL65545 LCG65545:LCH65545 LMC65545:LMD65545 LVY65545:LVZ65545 MFU65545:MFV65545 MPQ65545:MPR65545 MZM65545:MZN65545 NJI65545:NJJ65545 NTE65545:NTF65545 ODA65545:ODB65545 OMW65545:OMX65545 OWS65545:OWT65545 PGO65545:PGP65545 PQK65545:PQL65545 QAG65545:QAH65545 QKC65545:QKD65545 QTY65545:QTZ65545 RDU65545:RDV65545 RNQ65545:RNR65545 RXM65545:RXN65545 SHI65545:SHJ65545 SRE65545:SRF65545 TBA65545:TBB65545 TKW65545:TKX65545 TUS65545:TUT65545 UEO65545:UEP65545 UOK65545:UOL65545 UYG65545:UYH65545 VIC65545:VID65545 VRY65545:VRZ65545 WBU65545:WBV65545 WLQ65545:WLR65545 WVM65545:WVN65545 E131081:F131081 JA131081:JB131081 SW131081:SX131081 ACS131081:ACT131081 AMO131081:AMP131081 AWK131081:AWL131081 BGG131081:BGH131081 BQC131081:BQD131081 BZY131081:BZZ131081 CJU131081:CJV131081 CTQ131081:CTR131081 DDM131081:DDN131081 DNI131081:DNJ131081 DXE131081:DXF131081 EHA131081:EHB131081 EQW131081:EQX131081 FAS131081:FAT131081 FKO131081:FKP131081 FUK131081:FUL131081 GEG131081:GEH131081 GOC131081:GOD131081 GXY131081:GXZ131081 HHU131081:HHV131081 HRQ131081:HRR131081 IBM131081:IBN131081 ILI131081:ILJ131081 IVE131081:IVF131081 JFA131081:JFB131081 JOW131081:JOX131081 JYS131081:JYT131081 KIO131081:KIP131081 KSK131081:KSL131081 LCG131081:LCH131081 LMC131081:LMD131081 LVY131081:LVZ131081 MFU131081:MFV131081 MPQ131081:MPR131081 MZM131081:MZN131081 NJI131081:NJJ131081 NTE131081:NTF131081 ODA131081:ODB131081 OMW131081:OMX131081 OWS131081:OWT131081 PGO131081:PGP131081 PQK131081:PQL131081 QAG131081:QAH131081 QKC131081:QKD131081 QTY131081:QTZ131081 RDU131081:RDV131081 RNQ131081:RNR131081 RXM131081:RXN131081 SHI131081:SHJ131081 SRE131081:SRF131081 TBA131081:TBB131081 TKW131081:TKX131081 TUS131081:TUT131081 UEO131081:UEP131081 UOK131081:UOL131081 UYG131081:UYH131081 VIC131081:VID131081 VRY131081:VRZ131081 WBU131081:WBV131081 WLQ131081:WLR131081 WVM131081:WVN131081 E196617:F196617 JA196617:JB196617 SW196617:SX196617 ACS196617:ACT196617 AMO196617:AMP196617 AWK196617:AWL196617 BGG196617:BGH196617 BQC196617:BQD196617 BZY196617:BZZ196617 CJU196617:CJV196617 CTQ196617:CTR196617 DDM196617:DDN196617 DNI196617:DNJ196617 DXE196617:DXF196617 EHA196617:EHB196617 EQW196617:EQX196617 FAS196617:FAT196617 FKO196617:FKP196617 FUK196617:FUL196617 GEG196617:GEH196617 GOC196617:GOD196617 GXY196617:GXZ196617 HHU196617:HHV196617 HRQ196617:HRR196617 IBM196617:IBN196617 ILI196617:ILJ196617 IVE196617:IVF196617 JFA196617:JFB196617 JOW196617:JOX196617 JYS196617:JYT196617 KIO196617:KIP196617 KSK196617:KSL196617 LCG196617:LCH196617 LMC196617:LMD196617 LVY196617:LVZ196617 MFU196617:MFV196617 MPQ196617:MPR196617 MZM196617:MZN196617 NJI196617:NJJ196617 NTE196617:NTF196617 ODA196617:ODB196617 OMW196617:OMX196617 OWS196617:OWT196617 PGO196617:PGP196617 PQK196617:PQL196617 QAG196617:QAH196617 QKC196617:QKD196617 QTY196617:QTZ196617 RDU196617:RDV196617 RNQ196617:RNR196617 RXM196617:RXN196617 SHI196617:SHJ196617 SRE196617:SRF196617 TBA196617:TBB196617 TKW196617:TKX196617 TUS196617:TUT196617 UEO196617:UEP196617 UOK196617:UOL196617 UYG196617:UYH196617 VIC196617:VID196617 VRY196617:VRZ196617 WBU196617:WBV196617 WLQ196617:WLR196617 WVM196617:WVN196617 E262153:F262153 JA262153:JB262153 SW262153:SX262153 ACS262153:ACT262153 AMO262153:AMP262153 AWK262153:AWL262153 BGG262153:BGH262153 BQC262153:BQD262153 BZY262153:BZZ262153 CJU262153:CJV262153 CTQ262153:CTR262153 DDM262153:DDN262153 DNI262153:DNJ262153 DXE262153:DXF262153 EHA262153:EHB262153 EQW262153:EQX262153 FAS262153:FAT262153 FKO262153:FKP262153 FUK262153:FUL262153 GEG262153:GEH262153 GOC262153:GOD262153 GXY262153:GXZ262153 HHU262153:HHV262153 HRQ262153:HRR262153 IBM262153:IBN262153 ILI262153:ILJ262153 IVE262153:IVF262153 JFA262153:JFB262153 JOW262153:JOX262153 JYS262153:JYT262153 KIO262153:KIP262153 KSK262153:KSL262153 LCG262153:LCH262153 LMC262153:LMD262153 LVY262153:LVZ262153 MFU262153:MFV262153 MPQ262153:MPR262153 MZM262153:MZN262153 NJI262153:NJJ262153 NTE262153:NTF262153 ODA262153:ODB262153 OMW262153:OMX262153 OWS262153:OWT262153 PGO262153:PGP262153 PQK262153:PQL262153 QAG262153:QAH262153 QKC262153:QKD262153 QTY262153:QTZ262153 RDU262153:RDV262153 RNQ262153:RNR262153 RXM262153:RXN262153 SHI262153:SHJ262153 SRE262153:SRF262153 TBA262153:TBB262153 TKW262153:TKX262153 TUS262153:TUT262153 UEO262153:UEP262153 UOK262153:UOL262153 UYG262153:UYH262153 VIC262153:VID262153 VRY262153:VRZ262153 WBU262153:WBV262153 WLQ262153:WLR262153 WVM262153:WVN262153 E327689:F327689 JA327689:JB327689 SW327689:SX327689 ACS327689:ACT327689 AMO327689:AMP327689 AWK327689:AWL327689 BGG327689:BGH327689 BQC327689:BQD327689 BZY327689:BZZ327689 CJU327689:CJV327689 CTQ327689:CTR327689 DDM327689:DDN327689 DNI327689:DNJ327689 DXE327689:DXF327689 EHA327689:EHB327689 EQW327689:EQX327689 FAS327689:FAT327689 FKO327689:FKP327689 FUK327689:FUL327689 GEG327689:GEH327689 GOC327689:GOD327689 GXY327689:GXZ327689 HHU327689:HHV327689 HRQ327689:HRR327689 IBM327689:IBN327689 ILI327689:ILJ327689 IVE327689:IVF327689 JFA327689:JFB327689 JOW327689:JOX327689 JYS327689:JYT327689 KIO327689:KIP327689 KSK327689:KSL327689 LCG327689:LCH327689 LMC327689:LMD327689 LVY327689:LVZ327689 MFU327689:MFV327689 MPQ327689:MPR327689 MZM327689:MZN327689 NJI327689:NJJ327689 NTE327689:NTF327689 ODA327689:ODB327689 OMW327689:OMX327689 OWS327689:OWT327689 PGO327689:PGP327689 PQK327689:PQL327689 QAG327689:QAH327689 QKC327689:QKD327689 QTY327689:QTZ327689 RDU327689:RDV327689 RNQ327689:RNR327689 RXM327689:RXN327689 SHI327689:SHJ327689 SRE327689:SRF327689 TBA327689:TBB327689 TKW327689:TKX327689 TUS327689:TUT327689 UEO327689:UEP327689 UOK327689:UOL327689 UYG327689:UYH327689 VIC327689:VID327689 VRY327689:VRZ327689 WBU327689:WBV327689 WLQ327689:WLR327689 WVM327689:WVN327689 E393225:F393225 JA393225:JB393225 SW393225:SX393225 ACS393225:ACT393225 AMO393225:AMP393225 AWK393225:AWL393225 BGG393225:BGH393225 BQC393225:BQD393225 BZY393225:BZZ393225 CJU393225:CJV393225 CTQ393225:CTR393225 DDM393225:DDN393225 DNI393225:DNJ393225 DXE393225:DXF393225 EHA393225:EHB393225 EQW393225:EQX393225 FAS393225:FAT393225 FKO393225:FKP393225 FUK393225:FUL393225 GEG393225:GEH393225 GOC393225:GOD393225 GXY393225:GXZ393225 HHU393225:HHV393225 HRQ393225:HRR393225 IBM393225:IBN393225 ILI393225:ILJ393225 IVE393225:IVF393225 JFA393225:JFB393225 JOW393225:JOX393225 JYS393225:JYT393225 KIO393225:KIP393225 KSK393225:KSL393225 LCG393225:LCH393225 LMC393225:LMD393225 LVY393225:LVZ393225 MFU393225:MFV393225 MPQ393225:MPR393225 MZM393225:MZN393225 NJI393225:NJJ393225 NTE393225:NTF393225 ODA393225:ODB393225 OMW393225:OMX393225 OWS393225:OWT393225 PGO393225:PGP393225 PQK393225:PQL393225 QAG393225:QAH393225 QKC393225:QKD393225 QTY393225:QTZ393225 RDU393225:RDV393225 RNQ393225:RNR393225 RXM393225:RXN393225 SHI393225:SHJ393225 SRE393225:SRF393225 TBA393225:TBB393225 TKW393225:TKX393225 TUS393225:TUT393225 UEO393225:UEP393225 UOK393225:UOL393225 UYG393225:UYH393225 VIC393225:VID393225 VRY393225:VRZ393225 WBU393225:WBV393225 WLQ393225:WLR393225 WVM393225:WVN393225 E458761:F458761 JA458761:JB458761 SW458761:SX458761 ACS458761:ACT458761 AMO458761:AMP458761 AWK458761:AWL458761 BGG458761:BGH458761 BQC458761:BQD458761 BZY458761:BZZ458761 CJU458761:CJV458761 CTQ458761:CTR458761 DDM458761:DDN458761 DNI458761:DNJ458761 DXE458761:DXF458761 EHA458761:EHB458761 EQW458761:EQX458761 FAS458761:FAT458761 FKO458761:FKP458761 FUK458761:FUL458761 GEG458761:GEH458761 GOC458761:GOD458761 GXY458761:GXZ458761 HHU458761:HHV458761 HRQ458761:HRR458761 IBM458761:IBN458761 ILI458761:ILJ458761 IVE458761:IVF458761 JFA458761:JFB458761 JOW458761:JOX458761 JYS458761:JYT458761 KIO458761:KIP458761 KSK458761:KSL458761 LCG458761:LCH458761 LMC458761:LMD458761 LVY458761:LVZ458761 MFU458761:MFV458761 MPQ458761:MPR458761 MZM458761:MZN458761 NJI458761:NJJ458761 NTE458761:NTF458761 ODA458761:ODB458761 OMW458761:OMX458761 OWS458761:OWT458761 PGO458761:PGP458761 PQK458761:PQL458761 QAG458761:QAH458761 QKC458761:QKD458761 QTY458761:QTZ458761 RDU458761:RDV458761 RNQ458761:RNR458761 RXM458761:RXN458761 SHI458761:SHJ458761 SRE458761:SRF458761 TBA458761:TBB458761 TKW458761:TKX458761 TUS458761:TUT458761 UEO458761:UEP458761 UOK458761:UOL458761 UYG458761:UYH458761 VIC458761:VID458761 VRY458761:VRZ458761 WBU458761:WBV458761 WLQ458761:WLR458761 WVM458761:WVN458761 E524297:F524297 JA524297:JB524297 SW524297:SX524297 ACS524297:ACT524297 AMO524297:AMP524297 AWK524297:AWL524297 BGG524297:BGH524297 BQC524297:BQD524297 BZY524297:BZZ524297 CJU524297:CJV524297 CTQ524297:CTR524297 DDM524297:DDN524297 DNI524297:DNJ524297 DXE524297:DXF524297 EHA524297:EHB524297 EQW524297:EQX524297 FAS524297:FAT524297 FKO524297:FKP524297 FUK524297:FUL524297 GEG524297:GEH524297 GOC524297:GOD524297 GXY524297:GXZ524297 HHU524297:HHV524297 HRQ524297:HRR524297 IBM524297:IBN524297 ILI524297:ILJ524297 IVE524297:IVF524297 JFA524297:JFB524297 JOW524297:JOX524297 JYS524297:JYT524297 KIO524297:KIP524297 KSK524297:KSL524297 LCG524297:LCH524297 LMC524297:LMD524297 LVY524297:LVZ524297 MFU524297:MFV524297 MPQ524297:MPR524297 MZM524297:MZN524297 NJI524297:NJJ524297 NTE524297:NTF524297 ODA524297:ODB524297 OMW524297:OMX524297 OWS524297:OWT524297 PGO524297:PGP524297 PQK524297:PQL524297 QAG524297:QAH524297 QKC524297:QKD524297 QTY524297:QTZ524297 RDU524297:RDV524297 RNQ524297:RNR524297 RXM524297:RXN524297 SHI524297:SHJ524297 SRE524297:SRF524297 TBA524297:TBB524297 TKW524297:TKX524297 TUS524297:TUT524297 UEO524297:UEP524297 UOK524297:UOL524297 UYG524297:UYH524297 VIC524297:VID524297 VRY524297:VRZ524297 WBU524297:WBV524297 WLQ524297:WLR524297 WVM524297:WVN524297 E589833:F589833 JA589833:JB589833 SW589833:SX589833 ACS589833:ACT589833 AMO589833:AMP589833 AWK589833:AWL589833 BGG589833:BGH589833 BQC589833:BQD589833 BZY589833:BZZ589833 CJU589833:CJV589833 CTQ589833:CTR589833 DDM589833:DDN589833 DNI589833:DNJ589833 DXE589833:DXF589833 EHA589833:EHB589833 EQW589833:EQX589833 FAS589833:FAT589833 FKO589833:FKP589833 FUK589833:FUL589833 GEG589833:GEH589833 GOC589833:GOD589833 GXY589833:GXZ589833 HHU589833:HHV589833 HRQ589833:HRR589833 IBM589833:IBN589833 ILI589833:ILJ589833 IVE589833:IVF589833 JFA589833:JFB589833 JOW589833:JOX589833 JYS589833:JYT589833 KIO589833:KIP589833 KSK589833:KSL589833 LCG589833:LCH589833 LMC589833:LMD589833 LVY589833:LVZ589833 MFU589833:MFV589833 MPQ589833:MPR589833 MZM589833:MZN589833 NJI589833:NJJ589833 NTE589833:NTF589833 ODA589833:ODB589833 OMW589833:OMX589833 OWS589833:OWT589833 PGO589833:PGP589833 PQK589833:PQL589833 QAG589833:QAH589833 QKC589833:QKD589833 QTY589833:QTZ589833 RDU589833:RDV589833 RNQ589833:RNR589833 RXM589833:RXN589833 SHI589833:SHJ589833 SRE589833:SRF589833 TBA589833:TBB589833 TKW589833:TKX589833 TUS589833:TUT589833 UEO589833:UEP589833 UOK589833:UOL589833 UYG589833:UYH589833 VIC589833:VID589833 VRY589833:VRZ589833 WBU589833:WBV589833 WLQ589833:WLR589833 WVM589833:WVN589833 E655369:F655369 JA655369:JB655369 SW655369:SX655369 ACS655369:ACT655369 AMO655369:AMP655369 AWK655369:AWL655369 BGG655369:BGH655369 BQC655369:BQD655369 BZY655369:BZZ655369 CJU655369:CJV655369 CTQ655369:CTR655369 DDM655369:DDN655369 DNI655369:DNJ655369 DXE655369:DXF655369 EHA655369:EHB655369 EQW655369:EQX655369 FAS655369:FAT655369 FKO655369:FKP655369 FUK655369:FUL655369 GEG655369:GEH655369 GOC655369:GOD655369 GXY655369:GXZ655369 HHU655369:HHV655369 HRQ655369:HRR655369 IBM655369:IBN655369 ILI655369:ILJ655369 IVE655369:IVF655369 JFA655369:JFB655369 JOW655369:JOX655369 JYS655369:JYT655369 KIO655369:KIP655369 KSK655369:KSL655369 LCG655369:LCH655369 LMC655369:LMD655369 LVY655369:LVZ655369 MFU655369:MFV655369 MPQ655369:MPR655369 MZM655369:MZN655369 NJI655369:NJJ655369 NTE655369:NTF655369 ODA655369:ODB655369 OMW655369:OMX655369 OWS655369:OWT655369 PGO655369:PGP655369 PQK655369:PQL655369 QAG655369:QAH655369 QKC655369:QKD655369 QTY655369:QTZ655369 RDU655369:RDV655369 RNQ655369:RNR655369 RXM655369:RXN655369 SHI655369:SHJ655369 SRE655369:SRF655369 TBA655369:TBB655369 TKW655369:TKX655369 TUS655369:TUT655369 UEO655369:UEP655369 UOK655369:UOL655369 UYG655369:UYH655369 VIC655369:VID655369 VRY655369:VRZ655369 WBU655369:WBV655369 WLQ655369:WLR655369 WVM655369:WVN655369 E720905:F720905 JA720905:JB720905 SW720905:SX720905 ACS720905:ACT720905 AMO720905:AMP720905 AWK720905:AWL720905 BGG720905:BGH720905 BQC720905:BQD720905 BZY720905:BZZ720905 CJU720905:CJV720905 CTQ720905:CTR720905 DDM720905:DDN720905 DNI720905:DNJ720905 DXE720905:DXF720905 EHA720905:EHB720905 EQW720905:EQX720905 FAS720905:FAT720905 FKO720905:FKP720905 FUK720905:FUL720905 GEG720905:GEH720905 GOC720905:GOD720905 GXY720905:GXZ720905 HHU720905:HHV720905 HRQ720905:HRR720905 IBM720905:IBN720905 ILI720905:ILJ720905 IVE720905:IVF720905 JFA720905:JFB720905 JOW720905:JOX720905 JYS720905:JYT720905 KIO720905:KIP720905 KSK720905:KSL720905 LCG720905:LCH720905 LMC720905:LMD720905 LVY720905:LVZ720905 MFU720905:MFV720905 MPQ720905:MPR720905 MZM720905:MZN720905 NJI720905:NJJ720905 NTE720905:NTF720905 ODA720905:ODB720905 OMW720905:OMX720905 OWS720905:OWT720905 PGO720905:PGP720905 PQK720905:PQL720905 QAG720905:QAH720905 QKC720905:QKD720905 QTY720905:QTZ720905 RDU720905:RDV720905 RNQ720905:RNR720905 RXM720905:RXN720905 SHI720905:SHJ720905 SRE720905:SRF720905 TBA720905:TBB720905 TKW720905:TKX720905 TUS720905:TUT720905 UEO720905:UEP720905 UOK720905:UOL720905 UYG720905:UYH720905 VIC720905:VID720905 VRY720905:VRZ720905 WBU720905:WBV720905 WLQ720905:WLR720905 WVM720905:WVN720905 E786441:F786441 JA786441:JB786441 SW786441:SX786441 ACS786441:ACT786441 AMO786441:AMP786441 AWK786441:AWL786441 BGG786441:BGH786441 BQC786441:BQD786441 BZY786441:BZZ786441 CJU786441:CJV786441 CTQ786441:CTR786441 DDM786441:DDN786441 DNI786441:DNJ786441 DXE786441:DXF786441 EHA786441:EHB786441 EQW786441:EQX786441 FAS786441:FAT786441 FKO786441:FKP786441 FUK786441:FUL786441 GEG786441:GEH786441 GOC786441:GOD786441 GXY786441:GXZ786441 HHU786441:HHV786441 HRQ786441:HRR786441 IBM786441:IBN786441 ILI786441:ILJ786441 IVE786441:IVF786441 JFA786441:JFB786441 JOW786441:JOX786441 JYS786441:JYT786441 KIO786441:KIP786441 KSK786441:KSL786441 LCG786441:LCH786441 LMC786441:LMD786441 LVY786441:LVZ786441 MFU786441:MFV786441 MPQ786441:MPR786441 MZM786441:MZN786441 NJI786441:NJJ786441 NTE786441:NTF786441 ODA786441:ODB786441 OMW786441:OMX786441 OWS786441:OWT786441 PGO786441:PGP786441 PQK786441:PQL786441 QAG786441:QAH786441 QKC786441:QKD786441 QTY786441:QTZ786441 RDU786441:RDV786441 RNQ786441:RNR786441 RXM786441:RXN786441 SHI786441:SHJ786441 SRE786441:SRF786441 TBA786441:TBB786441 TKW786441:TKX786441 TUS786441:TUT786441 UEO786441:UEP786441 UOK786441:UOL786441 UYG786441:UYH786441 VIC786441:VID786441 VRY786441:VRZ786441 WBU786441:WBV786441 WLQ786441:WLR786441 WVM786441:WVN786441 E851977:F851977 JA851977:JB851977 SW851977:SX851977 ACS851977:ACT851977 AMO851977:AMP851977 AWK851977:AWL851977 BGG851977:BGH851977 BQC851977:BQD851977 BZY851977:BZZ851977 CJU851977:CJV851977 CTQ851977:CTR851977 DDM851977:DDN851977 DNI851977:DNJ851977 DXE851977:DXF851977 EHA851977:EHB851977 EQW851977:EQX851977 FAS851977:FAT851977 FKO851977:FKP851977 FUK851977:FUL851977 GEG851977:GEH851977 GOC851977:GOD851977 GXY851977:GXZ851977 HHU851977:HHV851977 HRQ851977:HRR851977 IBM851977:IBN851977 ILI851977:ILJ851977 IVE851977:IVF851977 JFA851977:JFB851977 JOW851977:JOX851977 JYS851977:JYT851977 KIO851977:KIP851977 KSK851977:KSL851977 LCG851977:LCH851977 LMC851977:LMD851977 LVY851977:LVZ851977 MFU851977:MFV851977 MPQ851977:MPR851977 MZM851977:MZN851977 NJI851977:NJJ851977 NTE851977:NTF851977 ODA851977:ODB851977 OMW851977:OMX851977 OWS851977:OWT851977 PGO851977:PGP851977 PQK851977:PQL851977 QAG851977:QAH851977 QKC851977:QKD851977 QTY851977:QTZ851977 RDU851977:RDV851977 RNQ851977:RNR851977 RXM851977:RXN851977 SHI851977:SHJ851977 SRE851977:SRF851977 TBA851977:TBB851977 TKW851977:TKX851977 TUS851977:TUT851977 UEO851977:UEP851977 UOK851977:UOL851977 UYG851977:UYH851977 VIC851977:VID851977 VRY851977:VRZ851977 WBU851977:WBV851977 WLQ851977:WLR851977 WVM851977:WVN851977 E917513:F917513 JA917513:JB917513 SW917513:SX917513 ACS917513:ACT917513 AMO917513:AMP917513 AWK917513:AWL917513 BGG917513:BGH917513 BQC917513:BQD917513 BZY917513:BZZ917513 CJU917513:CJV917513 CTQ917513:CTR917513 DDM917513:DDN917513 DNI917513:DNJ917513 DXE917513:DXF917513 EHA917513:EHB917513 EQW917513:EQX917513 FAS917513:FAT917513 FKO917513:FKP917513 FUK917513:FUL917513 GEG917513:GEH917513 GOC917513:GOD917513 GXY917513:GXZ917513 HHU917513:HHV917513 HRQ917513:HRR917513 IBM917513:IBN917513 ILI917513:ILJ917513 IVE917513:IVF917513 JFA917513:JFB917513 JOW917513:JOX917513 JYS917513:JYT917513 KIO917513:KIP917513 KSK917513:KSL917513 LCG917513:LCH917513 LMC917513:LMD917513 LVY917513:LVZ917513 MFU917513:MFV917513 MPQ917513:MPR917513 MZM917513:MZN917513 NJI917513:NJJ917513 NTE917513:NTF917513 ODA917513:ODB917513 OMW917513:OMX917513 OWS917513:OWT917513 PGO917513:PGP917513 PQK917513:PQL917513 QAG917513:QAH917513 QKC917513:QKD917513 QTY917513:QTZ917513 RDU917513:RDV917513 RNQ917513:RNR917513 RXM917513:RXN917513 SHI917513:SHJ917513 SRE917513:SRF917513 TBA917513:TBB917513 TKW917513:TKX917513 TUS917513:TUT917513 UEO917513:UEP917513 UOK917513:UOL917513 UYG917513:UYH917513 VIC917513:VID917513 VRY917513:VRZ917513 WBU917513:WBV917513 WLQ917513:WLR917513 WVM917513:WVN917513 E983049:F983049 JA983049:JB983049 SW983049:SX983049 ACS983049:ACT983049 AMO983049:AMP983049 AWK983049:AWL983049 BGG983049:BGH983049 BQC983049:BQD983049 BZY983049:BZZ983049 CJU983049:CJV983049 CTQ983049:CTR983049 DDM983049:DDN983049 DNI983049:DNJ983049 DXE983049:DXF983049 EHA983049:EHB983049 EQW983049:EQX983049 FAS983049:FAT983049 FKO983049:FKP983049 FUK983049:FUL983049 GEG983049:GEH983049 GOC983049:GOD983049 GXY983049:GXZ983049 HHU983049:HHV983049 HRQ983049:HRR983049 IBM983049:IBN983049 ILI983049:ILJ983049 IVE983049:IVF983049 JFA983049:JFB983049 JOW983049:JOX983049 JYS983049:JYT983049 KIO983049:KIP983049 KSK983049:KSL983049 LCG983049:LCH983049 LMC983049:LMD983049 LVY983049:LVZ983049 MFU983049:MFV983049 MPQ983049:MPR983049 MZM983049:MZN983049 NJI983049:NJJ983049 NTE983049:NTF983049 ODA983049:ODB983049 OMW983049:OMX983049 OWS983049:OWT983049 PGO983049:PGP983049 PQK983049:PQL983049 QAG983049:QAH983049 QKC983049:QKD983049 QTY983049:QTZ983049 RDU983049:RDV983049 RNQ983049:RNR983049 RXM983049:RXN983049 SHI983049:SHJ983049 SRE983049:SRF983049 TBA983049:TBB983049 TKW983049:TKX983049 TUS983049:TUT983049 UEO983049:UEP983049 UOK983049:UOL983049 UYG983049:UYH983049 VIC983049:VID983049 VRY983049:VRZ983049 WBU983049:WBV983049 WLQ983049:WLR983049 WVM983049:WVN983049">
      <formula1>$DA$1:$DA$4</formula1>
    </dataValidation>
    <dataValidation type="list" allowBlank="1" showInputMessage="1" showErrorMessage="1" sqref="E33:E38 JA33:JA38 SW33:SW38 ACS33:ACS38 AMO33:AMO38 AWK33:AWK38 BGG33:BGG38 BQC33:BQC38 BZY33:BZY38 CJU33:CJU38 CTQ33:CTQ38 DDM33:DDM38 DNI33:DNI38 DXE33:DXE38 EHA33:EHA38 EQW33:EQW38 FAS33:FAS38 FKO33:FKO38 FUK33:FUK38 GEG33:GEG38 GOC33:GOC38 GXY33:GXY38 HHU33:HHU38 HRQ33:HRQ38 IBM33:IBM38 ILI33:ILI38 IVE33:IVE38 JFA33:JFA38 JOW33:JOW38 JYS33:JYS38 KIO33:KIO38 KSK33:KSK38 LCG33:LCG38 LMC33:LMC38 LVY33:LVY38 MFU33:MFU38 MPQ33:MPQ38 MZM33:MZM38 NJI33:NJI38 NTE33:NTE38 ODA33:ODA38 OMW33:OMW38 OWS33:OWS38 PGO33:PGO38 PQK33:PQK38 QAG33:QAG38 QKC33:QKC38 QTY33:QTY38 RDU33:RDU38 RNQ33:RNQ38 RXM33:RXM38 SHI33:SHI38 SRE33:SRE38 TBA33:TBA38 TKW33:TKW38 TUS33:TUS38 UEO33:UEO38 UOK33:UOK38 UYG33:UYG38 VIC33:VIC38 VRY33:VRY38 WBU33:WBU38 WLQ33:WLQ38 WVM33:WVM38 E65569:E65574 JA65569:JA65574 SW65569:SW65574 ACS65569:ACS65574 AMO65569:AMO65574 AWK65569:AWK65574 BGG65569:BGG65574 BQC65569:BQC65574 BZY65569:BZY65574 CJU65569:CJU65574 CTQ65569:CTQ65574 DDM65569:DDM65574 DNI65569:DNI65574 DXE65569:DXE65574 EHA65569:EHA65574 EQW65569:EQW65574 FAS65569:FAS65574 FKO65569:FKO65574 FUK65569:FUK65574 GEG65569:GEG65574 GOC65569:GOC65574 GXY65569:GXY65574 HHU65569:HHU65574 HRQ65569:HRQ65574 IBM65569:IBM65574 ILI65569:ILI65574 IVE65569:IVE65574 JFA65569:JFA65574 JOW65569:JOW65574 JYS65569:JYS65574 KIO65569:KIO65574 KSK65569:KSK65574 LCG65569:LCG65574 LMC65569:LMC65574 LVY65569:LVY65574 MFU65569:MFU65574 MPQ65569:MPQ65574 MZM65569:MZM65574 NJI65569:NJI65574 NTE65569:NTE65574 ODA65569:ODA65574 OMW65569:OMW65574 OWS65569:OWS65574 PGO65569:PGO65574 PQK65569:PQK65574 QAG65569:QAG65574 QKC65569:QKC65574 QTY65569:QTY65574 RDU65569:RDU65574 RNQ65569:RNQ65574 RXM65569:RXM65574 SHI65569:SHI65574 SRE65569:SRE65574 TBA65569:TBA65574 TKW65569:TKW65574 TUS65569:TUS65574 UEO65569:UEO65574 UOK65569:UOK65574 UYG65569:UYG65574 VIC65569:VIC65574 VRY65569:VRY65574 WBU65569:WBU65574 WLQ65569:WLQ65574 WVM65569:WVM65574 E131105:E131110 JA131105:JA131110 SW131105:SW131110 ACS131105:ACS131110 AMO131105:AMO131110 AWK131105:AWK131110 BGG131105:BGG131110 BQC131105:BQC131110 BZY131105:BZY131110 CJU131105:CJU131110 CTQ131105:CTQ131110 DDM131105:DDM131110 DNI131105:DNI131110 DXE131105:DXE131110 EHA131105:EHA131110 EQW131105:EQW131110 FAS131105:FAS131110 FKO131105:FKO131110 FUK131105:FUK131110 GEG131105:GEG131110 GOC131105:GOC131110 GXY131105:GXY131110 HHU131105:HHU131110 HRQ131105:HRQ131110 IBM131105:IBM131110 ILI131105:ILI131110 IVE131105:IVE131110 JFA131105:JFA131110 JOW131105:JOW131110 JYS131105:JYS131110 KIO131105:KIO131110 KSK131105:KSK131110 LCG131105:LCG131110 LMC131105:LMC131110 LVY131105:LVY131110 MFU131105:MFU131110 MPQ131105:MPQ131110 MZM131105:MZM131110 NJI131105:NJI131110 NTE131105:NTE131110 ODA131105:ODA131110 OMW131105:OMW131110 OWS131105:OWS131110 PGO131105:PGO131110 PQK131105:PQK131110 QAG131105:QAG131110 QKC131105:QKC131110 QTY131105:QTY131110 RDU131105:RDU131110 RNQ131105:RNQ131110 RXM131105:RXM131110 SHI131105:SHI131110 SRE131105:SRE131110 TBA131105:TBA131110 TKW131105:TKW131110 TUS131105:TUS131110 UEO131105:UEO131110 UOK131105:UOK131110 UYG131105:UYG131110 VIC131105:VIC131110 VRY131105:VRY131110 WBU131105:WBU131110 WLQ131105:WLQ131110 WVM131105:WVM131110 E196641:E196646 JA196641:JA196646 SW196641:SW196646 ACS196641:ACS196646 AMO196641:AMO196646 AWK196641:AWK196646 BGG196641:BGG196646 BQC196641:BQC196646 BZY196641:BZY196646 CJU196641:CJU196646 CTQ196641:CTQ196646 DDM196641:DDM196646 DNI196641:DNI196646 DXE196641:DXE196646 EHA196641:EHA196646 EQW196641:EQW196646 FAS196641:FAS196646 FKO196641:FKO196646 FUK196641:FUK196646 GEG196641:GEG196646 GOC196641:GOC196646 GXY196641:GXY196646 HHU196641:HHU196646 HRQ196641:HRQ196646 IBM196641:IBM196646 ILI196641:ILI196646 IVE196641:IVE196646 JFA196641:JFA196646 JOW196641:JOW196646 JYS196641:JYS196646 KIO196641:KIO196646 KSK196641:KSK196646 LCG196641:LCG196646 LMC196641:LMC196646 LVY196641:LVY196646 MFU196641:MFU196646 MPQ196641:MPQ196646 MZM196641:MZM196646 NJI196641:NJI196646 NTE196641:NTE196646 ODA196641:ODA196646 OMW196641:OMW196646 OWS196641:OWS196646 PGO196641:PGO196646 PQK196641:PQK196646 QAG196641:QAG196646 QKC196641:QKC196646 QTY196641:QTY196646 RDU196641:RDU196646 RNQ196641:RNQ196646 RXM196641:RXM196646 SHI196641:SHI196646 SRE196641:SRE196646 TBA196641:TBA196646 TKW196641:TKW196646 TUS196641:TUS196646 UEO196641:UEO196646 UOK196641:UOK196646 UYG196641:UYG196646 VIC196641:VIC196646 VRY196641:VRY196646 WBU196641:WBU196646 WLQ196641:WLQ196646 WVM196641:WVM196646 E262177:E262182 JA262177:JA262182 SW262177:SW262182 ACS262177:ACS262182 AMO262177:AMO262182 AWK262177:AWK262182 BGG262177:BGG262182 BQC262177:BQC262182 BZY262177:BZY262182 CJU262177:CJU262182 CTQ262177:CTQ262182 DDM262177:DDM262182 DNI262177:DNI262182 DXE262177:DXE262182 EHA262177:EHA262182 EQW262177:EQW262182 FAS262177:FAS262182 FKO262177:FKO262182 FUK262177:FUK262182 GEG262177:GEG262182 GOC262177:GOC262182 GXY262177:GXY262182 HHU262177:HHU262182 HRQ262177:HRQ262182 IBM262177:IBM262182 ILI262177:ILI262182 IVE262177:IVE262182 JFA262177:JFA262182 JOW262177:JOW262182 JYS262177:JYS262182 KIO262177:KIO262182 KSK262177:KSK262182 LCG262177:LCG262182 LMC262177:LMC262182 LVY262177:LVY262182 MFU262177:MFU262182 MPQ262177:MPQ262182 MZM262177:MZM262182 NJI262177:NJI262182 NTE262177:NTE262182 ODA262177:ODA262182 OMW262177:OMW262182 OWS262177:OWS262182 PGO262177:PGO262182 PQK262177:PQK262182 QAG262177:QAG262182 QKC262177:QKC262182 QTY262177:QTY262182 RDU262177:RDU262182 RNQ262177:RNQ262182 RXM262177:RXM262182 SHI262177:SHI262182 SRE262177:SRE262182 TBA262177:TBA262182 TKW262177:TKW262182 TUS262177:TUS262182 UEO262177:UEO262182 UOK262177:UOK262182 UYG262177:UYG262182 VIC262177:VIC262182 VRY262177:VRY262182 WBU262177:WBU262182 WLQ262177:WLQ262182 WVM262177:WVM262182 E327713:E327718 JA327713:JA327718 SW327713:SW327718 ACS327713:ACS327718 AMO327713:AMO327718 AWK327713:AWK327718 BGG327713:BGG327718 BQC327713:BQC327718 BZY327713:BZY327718 CJU327713:CJU327718 CTQ327713:CTQ327718 DDM327713:DDM327718 DNI327713:DNI327718 DXE327713:DXE327718 EHA327713:EHA327718 EQW327713:EQW327718 FAS327713:FAS327718 FKO327713:FKO327718 FUK327713:FUK327718 GEG327713:GEG327718 GOC327713:GOC327718 GXY327713:GXY327718 HHU327713:HHU327718 HRQ327713:HRQ327718 IBM327713:IBM327718 ILI327713:ILI327718 IVE327713:IVE327718 JFA327713:JFA327718 JOW327713:JOW327718 JYS327713:JYS327718 KIO327713:KIO327718 KSK327713:KSK327718 LCG327713:LCG327718 LMC327713:LMC327718 LVY327713:LVY327718 MFU327713:MFU327718 MPQ327713:MPQ327718 MZM327713:MZM327718 NJI327713:NJI327718 NTE327713:NTE327718 ODA327713:ODA327718 OMW327713:OMW327718 OWS327713:OWS327718 PGO327713:PGO327718 PQK327713:PQK327718 QAG327713:QAG327718 QKC327713:QKC327718 QTY327713:QTY327718 RDU327713:RDU327718 RNQ327713:RNQ327718 RXM327713:RXM327718 SHI327713:SHI327718 SRE327713:SRE327718 TBA327713:TBA327718 TKW327713:TKW327718 TUS327713:TUS327718 UEO327713:UEO327718 UOK327713:UOK327718 UYG327713:UYG327718 VIC327713:VIC327718 VRY327713:VRY327718 WBU327713:WBU327718 WLQ327713:WLQ327718 WVM327713:WVM327718 E393249:E393254 JA393249:JA393254 SW393249:SW393254 ACS393249:ACS393254 AMO393249:AMO393254 AWK393249:AWK393254 BGG393249:BGG393254 BQC393249:BQC393254 BZY393249:BZY393254 CJU393249:CJU393254 CTQ393249:CTQ393254 DDM393249:DDM393254 DNI393249:DNI393254 DXE393249:DXE393254 EHA393249:EHA393254 EQW393249:EQW393254 FAS393249:FAS393254 FKO393249:FKO393254 FUK393249:FUK393254 GEG393249:GEG393254 GOC393249:GOC393254 GXY393249:GXY393254 HHU393249:HHU393254 HRQ393249:HRQ393254 IBM393249:IBM393254 ILI393249:ILI393254 IVE393249:IVE393254 JFA393249:JFA393254 JOW393249:JOW393254 JYS393249:JYS393254 KIO393249:KIO393254 KSK393249:KSK393254 LCG393249:LCG393254 LMC393249:LMC393254 LVY393249:LVY393254 MFU393249:MFU393254 MPQ393249:MPQ393254 MZM393249:MZM393254 NJI393249:NJI393254 NTE393249:NTE393254 ODA393249:ODA393254 OMW393249:OMW393254 OWS393249:OWS393254 PGO393249:PGO393254 PQK393249:PQK393254 QAG393249:QAG393254 QKC393249:QKC393254 QTY393249:QTY393254 RDU393249:RDU393254 RNQ393249:RNQ393254 RXM393249:RXM393254 SHI393249:SHI393254 SRE393249:SRE393254 TBA393249:TBA393254 TKW393249:TKW393254 TUS393249:TUS393254 UEO393249:UEO393254 UOK393249:UOK393254 UYG393249:UYG393254 VIC393249:VIC393254 VRY393249:VRY393254 WBU393249:WBU393254 WLQ393249:WLQ393254 WVM393249:WVM393254 E458785:E458790 JA458785:JA458790 SW458785:SW458790 ACS458785:ACS458790 AMO458785:AMO458790 AWK458785:AWK458790 BGG458785:BGG458790 BQC458785:BQC458790 BZY458785:BZY458790 CJU458785:CJU458790 CTQ458785:CTQ458790 DDM458785:DDM458790 DNI458785:DNI458790 DXE458785:DXE458790 EHA458785:EHA458790 EQW458785:EQW458790 FAS458785:FAS458790 FKO458785:FKO458790 FUK458785:FUK458790 GEG458785:GEG458790 GOC458785:GOC458790 GXY458785:GXY458790 HHU458785:HHU458790 HRQ458785:HRQ458790 IBM458785:IBM458790 ILI458785:ILI458790 IVE458785:IVE458790 JFA458785:JFA458790 JOW458785:JOW458790 JYS458785:JYS458790 KIO458785:KIO458790 KSK458785:KSK458790 LCG458785:LCG458790 LMC458785:LMC458790 LVY458785:LVY458790 MFU458785:MFU458790 MPQ458785:MPQ458790 MZM458785:MZM458790 NJI458785:NJI458790 NTE458785:NTE458790 ODA458785:ODA458790 OMW458785:OMW458790 OWS458785:OWS458790 PGO458785:PGO458790 PQK458785:PQK458790 QAG458785:QAG458790 QKC458785:QKC458790 QTY458785:QTY458790 RDU458785:RDU458790 RNQ458785:RNQ458790 RXM458785:RXM458790 SHI458785:SHI458790 SRE458785:SRE458790 TBA458785:TBA458790 TKW458785:TKW458790 TUS458785:TUS458790 UEO458785:UEO458790 UOK458785:UOK458790 UYG458785:UYG458790 VIC458785:VIC458790 VRY458785:VRY458790 WBU458785:WBU458790 WLQ458785:WLQ458790 WVM458785:WVM458790 E524321:E524326 JA524321:JA524326 SW524321:SW524326 ACS524321:ACS524326 AMO524321:AMO524326 AWK524321:AWK524326 BGG524321:BGG524326 BQC524321:BQC524326 BZY524321:BZY524326 CJU524321:CJU524326 CTQ524321:CTQ524326 DDM524321:DDM524326 DNI524321:DNI524326 DXE524321:DXE524326 EHA524321:EHA524326 EQW524321:EQW524326 FAS524321:FAS524326 FKO524321:FKO524326 FUK524321:FUK524326 GEG524321:GEG524326 GOC524321:GOC524326 GXY524321:GXY524326 HHU524321:HHU524326 HRQ524321:HRQ524326 IBM524321:IBM524326 ILI524321:ILI524326 IVE524321:IVE524326 JFA524321:JFA524326 JOW524321:JOW524326 JYS524321:JYS524326 KIO524321:KIO524326 KSK524321:KSK524326 LCG524321:LCG524326 LMC524321:LMC524326 LVY524321:LVY524326 MFU524321:MFU524326 MPQ524321:MPQ524326 MZM524321:MZM524326 NJI524321:NJI524326 NTE524321:NTE524326 ODA524321:ODA524326 OMW524321:OMW524326 OWS524321:OWS524326 PGO524321:PGO524326 PQK524321:PQK524326 QAG524321:QAG524326 QKC524321:QKC524326 QTY524321:QTY524326 RDU524321:RDU524326 RNQ524321:RNQ524326 RXM524321:RXM524326 SHI524321:SHI524326 SRE524321:SRE524326 TBA524321:TBA524326 TKW524321:TKW524326 TUS524321:TUS524326 UEO524321:UEO524326 UOK524321:UOK524326 UYG524321:UYG524326 VIC524321:VIC524326 VRY524321:VRY524326 WBU524321:WBU524326 WLQ524321:WLQ524326 WVM524321:WVM524326 E589857:E589862 JA589857:JA589862 SW589857:SW589862 ACS589857:ACS589862 AMO589857:AMO589862 AWK589857:AWK589862 BGG589857:BGG589862 BQC589857:BQC589862 BZY589857:BZY589862 CJU589857:CJU589862 CTQ589857:CTQ589862 DDM589857:DDM589862 DNI589857:DNI589862 DXE589857:DXE589862 EHA589857:EHA589862 EQW589857:EQW589862 FAS589857:FAS589862 FKO589857:FKO589862 FUK589857:FUK589862 GEG589857:GEG589862 GOC589857:GOC589862 GXY589857:GXY589862 HHU589857:HHU589862 HRQ589857:HRQ589862 IBM589857:IBM589862 ILI589857:ILI589862 IVE589857:IVE589862 JFA589857:JFA589862 JOW589857:JOW589862 JYS589857:JYS589862 KIO589857:KIO589862 KSK589857:KSK589862 LCG589857:LCG589862 LMC589857:LMC589862 LVY589857:LVY589862 MFU589857:MFU589862 MPQ589857:MPQ589862 MZM589857:MZM589862 NJI589857:NJI589862 NTE589857:NTE589862 ODA589857:ODA589862 OMW589857:OMW589862 OWS589857:OWS589862 PGO589857:PGO589862 PQK589857:PQK589862 QAG589857:QAG589862 QKC589857:QKC589862 QTY589857:QTY589862 RDU589857:RDU589862 RNQ589857:RNQ589862 RXM589857:RXM589862 SHI589857:SHI589862 SRE589857:SRE589862 TBA589857:TBA589862 TKW589857:TKW589862 TUS589857:TUS589862 UEO589857:UEO589862 UOK589857:UOK589862 UYG589857:UYG589862 VIC589857:VIC589862 VRY589857:VRY589862 WBU589857:WBU589862 WLQ589857:WLQ589862 WVM589857:WVM589862 E655393:E655398 JA655393:JA655398 SW655393:SW655398 ACS655393:ACS655398 AMO655393:AMO655398 AWK655393:AWK655398 BGG655393:BGG655398 BQC655393:BQC655398 BZY655393:BZY655398 CJU655393:CJU655398 CTQ655393:CTQ655398 DDM655393:DDM655398 DNI655393:DNI655398 DXE655393:DXE655398 EHA655393:EHA655398 EQW655393:EQW655398 FAS655393:FAS655398 FKO655393:FKO655398 FUK655393:FUK655398 GEG655393:GEG655398 GOC655393:GOC655398 GXY655393:GXY655398 HHU655393:HHU655398 HRQ655393:HRQ655398 IBM655393:IBM655398 ILI655393:ILI655398 IVE655393:IVE655398 JFA655393:JFA655398 JOW655393:JOW655398 JYS655393:JYS655398 KIO655393:KIO655398 KSK655393:KSK655398 LCG655393:LCG655398 LMC655393:LMC655398 LVY655393:LVY655398 MFU655393:MFU655398 MPQ655393:MPQ655398 MZM655393:MZM655398 NJI655393:NJI655398 NTE655393:NTE655398 ODA655393:ODA655398 OMW655393:OMW655398 OWS655393:OWS655398 PGO655393:PGO655398 PQK655393:PQK655398 QAG655393:QAG655398 QKC655393:QKC655398 QTY655393:QTY655398 RDU655393:RDU655398 RNQ655393:RNQ655398 RXM655393:RXM655398 SHI655393:SHI655398 SRE655393:SRE655398 TBA655393:TBA655398 TKW655393:TKW655398 TUS655393:TUS655398 UEO655393:UEO655398 UOK655393:UOK655398 UYG655393:UYG655398 VIC655393:VIC655398 VRY655393:VRY655398 WBU655393:WBU655398 WLQ655393:WLQ655398 WVM655393:WVM655398 E720929:E720934 JA720929:JA720934 SW720929:SW720934 ACS720929:ACS720934 AMO720929:AMO720934 AWK720929:AWK720934 BGG720929:BGG720934 BQC720929:BQC720934 BZY720929:BZY720934 CJU720929:CJU720934 CTQ720929:CTQ720934 DDM720929:DDM720934 DNI720929:DNI720934 DXE720929:DXE720934 EHA720929:EHA720934 EQW720929:EQW720934 FAS720929:FAS720934 FKO720929:FKO720934 FUK720929:FUK720934 GEG720929:GEG720934 GOC720929:GOC720934 GXY720929:GXY720934 HHU720929:HHU720934 HRQ720929:HRQ720934 IBM720929:IBM720934 ILI720929:ILI720934 IVE720929:IVE720934 JFA720929:JFA720934 JOW720929:JOW720934 JYS720929:JYS720934 KIO720929:KIO720934 KSK720929:KSK720934 LCG720929:LCG720934 LMC720929:LMC720934 LVY720929:LVY720934 MFU720929:MFU720934 MPQ720929:MPQ720934 MZM720929:MZM720934 NJI720929:NJI720934 NTE720929:NTE720934 ODA720929:ODA720934 OMW720929:OMW720934 OWS720929:OWS720934 PGO720929:PGO720934 PQK720929:PQK720934 QAG720929:QAG720934 QKC720929:QKC720934 QTY720929:QTY720934 RDU720929:RDU720934 RNQ720929:RNQ720934 RXM720929:RXM720934 SHI720929:SHI720934 SRE720929:SRE720934 TBA720929:TBA720934 TKW720929:TKW720934 TUS720929:TUS720934 UEO720929:UEO720934 UOK720929:UOK720934 UYG720929:UYG720934 VIC720929:VIC720934 VRY720929:VRY720934 WBU720929:WBU720934 WLQ720929:WLQ720934 WVM720929:WVM720934 E786465:E786470 JA786465:JA786470 SW786465:SW786470 ACS786465:ACS786470 AMO786465:AMO786470 AWK786465:AWK786470 BGG786465:BGG786470 BQC786465:BQC786470 BZY786465:BZY786470 CJU786465:CJU786470 CTQ786465:CTQ786470 DDM786465:DDM786470 DNI786465:DNI786470 DXE786465:DXE786470 EHA786465:EHA786470 EQW786465:EQW786470 FAS786465:FAS786470 FKO786465:FKO786470 FUK786465:FUK786470 GEG786465:GEG786470 GOC786465:GOC786470 GXY786465:GXY786470 HHU786465:HHU786470 HRQ786465:HRQ786470 IBM786465:IBM786470 ILI786465:ILI786470 IVE786465:IVE786470 JFA786465:JFA786470 JOW786465:JOW786470 JYS786465:JYS786470 KIO786465:KIO786470 KSK786465:KSK786470 LCG786465:LCG786470 LMC786465:LMC786470 LVY786465:LVY786470 MFU786465:MFU786470 MPQ786465:MPQ786470 MZM786465:MZM786470 NJI786465:NJI786470 NTE786465:NTE786470 ODA786465:ODA786470 OMW786465:OMW786470 OWS786465:OWS786470 PGO786465:PGO786470 PQK786465:PQK786470 QAG786465:QAG786470 QKC786465:QKC786470 QTY786465:QTY786470 RDU786465:RDU786470 RNQ786465:RNQ786470 RXM786465:RXM786470 SHI786465:SHI786470 SRE786465:SRE786470 TBA786465:TBA786470 TKW786465:TKW786470 TUS786465:TUS786470 UEO786465:UEO786470 UOK786465:UOK786470 UYG786465:UYG786470 VIC786465:VIC786470 VRY786465:VRY786470 WBU786465:WBU786470 WLQ786465:WLQ786470 WVM786465:WVM786470 E852001:E852006 JA852001:JA852006 SW852001:SW852006 ACS852001:ACS852006 AMO852001:AMO852006 AWK852001:AWK852006 BGG852001:BGG852006 BQC852001:BQC852006 BZY852001:BZY852006 CJU852001:CJU852006 CTQ852001:CTQ852006 DDM852001:DDM852006 DNI852001:DNI852006 DXE852001:DXE852006 EHA852001:EHA852006 EQW852001:EQW852006 FAS852001:FAS852006 FKO852001:FKO852006 FUK852001:FUK852006 GEG852001:GEG852006 GOC852001:GOC852006 GXY852001:GXY852006 HHU852001:HHU852006 HRQ852001:HRQ852006 IBM852001:IBM852006 ILI852001:ILI852006 IVE852001:IVE852006 JFA852001:JFA852006 JOW852001:JOW852006 JYS852001:JYS852006 KIO852001:KIO852006 KSK852001:KSK852006 LCG852001:LCG852006 LMC852001:LMC852006 LVY852001:LVY852006 MFU852001:MFU852006 MPQ852001:MPQ852006 MZM852001:MZM852006 NJI852001:NJI852006 NTE852001:NTE852006 ODA852001:ODA852006 OMW852001:OMW852006 OWS852001:OWS852006 PGO852001:PGO852006 PQK852001:PQK852006 QAG852001:QAG852006 QKC852001:QKC852006 QTY852001:QTY852006 RDU852001:RDU852006 RNQ852001:RNQ852006 RXM852001:RXM852006 SHI852001:SHI852006 SRE852001:SRE852006 TBA852001:TBA852006 TKW852001:TKW852006 TUS852001:TUS852006 UEO852001:UEO852006 UOK852001:UOK852006 UYG852001:UYG852006 VIC852001:VIC852006 VRY852001:VRY852006 WBU852001:WBU852006 WLQ852001:WLQ852006 WVM852001:WVM852006 E917537:E917542 JA917537:JA917542 SW917537:SW917542 ACS917537:ACS917542 AMO917537:AMO917542 AWK917537:AWK917542 BGG917537:BGG917542 BQC917537:BQC917542 BZY917537:BZY917542 CJU917537:CJU917542 CTQ917537:CTQ917542 DDM917537:DDM917542 DNI917537:DNI917542 DXE917537:DXE917542 EHA917537:EHA917542 EQW917537:EQW917542 FAS917537:FAS917542 FKO917537:FKO917542 FUK917537:FUK917542 GEG917537:GEG917542 GOC917537:GOC917542 GXY917537:GXY917542 HHU917537:HHU917542 HRQ917537:HRQ917542 IBM917537:IBM917542 ILI917537:ILI917542 IVE917537:IVE917542 JFA917537:JFA917542 JOW917537:JOW917542 JYS917537:JYS917542 KIO917537:KIO917542 KSK917537:KSK917542 LCG917537:LCG917542 LMC917537:LMC917542 LVY917537:LVY917542 MFU917537:MFU917542 MPQ917537:MPQ917542 MZM917537:MZM917542 NJI917537:NJI917542 NTE917537:NTE917542 ODA917537:ODA917542 OMW917537:OMW917542 OWS917537:OWS917542 PGO917537:PGO917542 PQK917537:PQK917542 QAG917537:QAG917542 QKC917537:QKC917542 QTY917537:QTY917542 RDU917537:RDU917542 RNQ917537:RNQ917542 RXM917537:RXM917542 SHI917537:SHI917542 SRE917537:SRE917542 TBA917537:TBA917542 TKW917537:TKW917542 TUS917537:TUS917542 UEO917537:UEO917542 UOK917537:UOK917542 UYG917537:UYG917542 VIC917537:VIC917542 VRY917537:VRY917542 WBU917537:WBU917542 WLQ917537:WLQ917542 WVM917537:WVM917542 E983073:E983078 JA983073:JA983078 SW983073:SW983078 ACS983073:ACS983078 AMO983073:AMO983078 AWK983073:AWK983078 BGG983073:BGG983078 BQC983073:BQC983078 BZY983073:BZY983078 CJU983073:CJU983078 CTQ983073:CTQ983078 DDM983073:DDM983078 DNI983073:DNI983078 DXE983073:DXE983078 EHA983073:EHA983078 EQW983073:EQW983078 FAS983073:FAS983078 FKO983073:FKO983078 FUK983073:FUK983078 GEG983073:GEG983078 GOC983073:GOC983078 GXY983073:GXY983078 HHU983073:HHU983078 HRQ983073:HRQ983078 IBM983073:IBM983078 ILI983073:ILI983078 IVE983073:IVE983078 JFA983073:JFA983078 JOW983073:JOW983078 JYS983073:JYS983078 KIO983073:KIO983078 KSK983073:KSK983078 LCG983073:LCG983078 LMC983073:LMC983078 LVY983073:LVY983078 MFU983073:MFU983078 MPQ983073:MPQ983078 MZM983073:MZM983078 NJI983073:NJI983078 NTE983073:NTE983078 ODA983073:ODA983078 OMW983073:OMW983078 OWS983073:OWS983078 PGO983073:PGO983078 PQK983073:PQK983078 QAG983073:QAG983078 QKC983073:QKC983078 QTY983073:QTY983078 RDU983073:RDU983078 RNQ983073:RNQ983078 RXM983073:RXM983078 SHI983073:SHI983078 SRE983073:SRE983078 TBA983073:TBA983078 TKW983073:TKW983078 TUS983073:TUS983078 UEO983073:UEO983078 UOK983073:UOK983078 UYG983073:UYG983078 VIC983073:VIC983078 VRY983073:VRY983078 WBU983073:WBU983078 WLQ983073:WLQ983078 WVM983073:WVM983078">
      <formula1>$CX$1:$CX$5</formula1>
    </dataValidation>
    <dataValidation type="list" allowBlank="1" showInputMessage="1" showErrorMessage="1" sqref="E10 JA10 SW10 ACS10 AMO10 AWK10 BGG10 BQC10 BZY10 CJU10 CTQ10 DDM10 DNI10 DXE10 EHA10 EQW10 FAS10 FKO10 FUK10 GEG10 GOC10 GXY10 HHU10 HRQ10 IBM10 ILI10 IVE10 JFA10 JOW10 JYS10 KIO10 KSK10 LCG10 LMC10 LVY10 MFU10 MPQ10 MZM10 NJI10 NTE10 ODA10 OMW10 OWS10 PGO10 PQK10 QAG10 QKC10 QTY10 RDU10 RNQ10 RXM10 SHI10 SRE10 TBA10 TKW10 TUS10 UEO10 UOK10 UYG10 VIC10 VRY10 WBU10 WLQ10 WVM10 E65546 JA65546 SW65546 ACS65546 AMO65546 AWK65546 BGG65546 BQC65546 BZY65546 CJU65546 CTQ65546 DDM65546 DNI65546 DXE65546 EHA65546 EQW65546 FAS65546 FKO65546 FUK65546 GEG65546 GOC65546 GXY65546 HHU65546 HRQ65546 IBM65546 ILI65546 IVE65546 JFA65546 JOW65546 JYS65546 KIO65546 KSK65546 LCG65546 LMC65546 LVY65546 MFU65546 MPQ65546 MZM65546 NJI65546 NTE65546 ODA65546 OMW65546 OWS65546 PGO65546 PQK65546 QAG65546 QKC65546 QTY65546 RDU65546 RNQ65546 RXM65546 SHI65546 SRE65546 TBA65546 TKW65546 TUS65546 UEO65546 UOK65546 UYG65546 VIC65546 VRY65546 WBU65546 WLQ65546 WVM65546 E131082 JA131082 SW131082 ACS131082 AMO131082 AWK131082 BGG131082 BQC131082 BZY131082 CJU131082 CTQ131082 DDM131082 DNI131082 DXE131082 EHA131082 EQW131082 FAS131082 FKO131082 FUK131082 GEG131082 GOC131082 GXY131082 HHU131082 HRQ131082 IBM131082 ILI131082 IVE131082 JFA131082 JOW131082 JYS131082 KIO131082 KSK131082 LCG131082 LMC131082 LVY131082 MFU131082 MPQ131082 MZM131082 NJI131082 NTE131082 ODA131082 OMW131082 OWS131082 PGO131082 PQK131082 QAG131082 QKC131082 QTY131082 RDU131082 RNQ131082 RXM131082 SHI131082 SRE131082 TBA131082 TKW131082 TUS131082 UEO131082 UOK131082 UYG131082 VIC131082 VRY131082 WBU131082 WLQ131082 WVM131082 E196618 JA196618 SW196618 ACS196618 AMO196618 AWK196618 BGG196618 BQC196618 BZY196618 CJU196618 CTQ196618 DDM196618 DNI196618 DXE196618 EHA196618 EQW196618 FAS196618 FKO196618 FUK196618 GEG196618 GOC196618 GXY196618 HHU196618 HRQ196618 IBM196618 ILI196618 IVE196618 JFA196618 JOW196618 JYS196618 KIO196618 KSK196618 LCG196618 LMC196618 LVY196618 MFU196618 MPQ196618 MZM196618 NJI196618 NTE196618 ODA196618 OMW196618 OWS196618 PGO196618 PQK196618 QAG196618 QKC196618 QTY196618 RDU196618 RNQ196618 RXM196618 SHI196618 SRE196618 TBA196618 TKW196618 TUS196618 UEO196618 UOK196618 UYG196618 VIC196618 VRY196618 WBU196618 WLQ196618 WVM196618 E262154 JA262154 SW262154 ACS262154 AMO262154 AWK262154 BGG262154 BQC262154 BZY262154 CJU262154 CTQ262154 DDM262154 DNI262154 DXE262154 EHA262154 EQW262154 FAS262154 FKO262154 FUK262154 GEG262154 GOC262154 GXY262154 HHU262154 HRQ262154 IBM262154 ILI262154 IVE262154 JFA262154 JOW262154 JYS262154 KIO262154 KSK262154 LCG262154 LMC262154 LVY262154 MFU262154 MPQ262154 MZM262154 NJI262154 NTE262154 ODA262154 OMW262154 OWS262154 PGO262154 PQK262154 QAG262154 QKC262154 QTY262154 RDU262154 RNQ262154 RXM262154 SHI262154 SRE262154 TBA262154 TKW262154 TUS262154 UEO262154 UOK262154 UYG262154 VIC262154 VRY262154 WBU262154 WLQ262154 WVM262154 E327690 JA327690 SW327690 ACS327690 AMO327690 AWK327690 BGG327690 BQC327690 BZY327690 CJU327690 CTQ327690 DDM327690 DNI327690 DXE327690 EHA327690 EQW327690 FAS327690 FKO327690 FUK327690 GEG327690 GOC327690 GXY327690 HHU327690 HRQ327690 IBM327690 ILI327690 IVE327690 JFA327690 JOW327690 JYS327690 KIO327690 KSK327690 LCG327690 LMC327690 LVY327690 MFU327690 MPQ327690 MZM327690 NJI327690 NTE327690 ODA327690 OMW327690 OWS327690 PGO327690 PQK327690 QAG327690 QKC327690 QTY327690 RDU327690 RNQ327690 RXM327690 SHI327690 SRE327690 TBA327690 TKW327690 TUS327690 UEO327690 UOK327690 UYG327690 VIC327690 VRY327690 WBU327690 WLQ327690 WVM327690 E393226 JA393226 SW393226 ACS393226 AMO393226 AWK393226 BGG393226 BQC393226 BZY393226 CJU393226 CTQ393226 DDM393226 DNI393226 DXE393226 EHA393226 EQW393226 FAS393226 FKO393226 FUK393226 GEG393226 GOC393226 GXY393226 HHU393226 HRQ393226 IBM393226 ILI393226 IVE393226 JFA393226 JOW393226 JYS393226 KIO393226 KSK393226 LCG393226 LMC393226 LVY393226 MFU393226 MPQ393226 MZM393226 NJI393226 NTE393226 ODA393226 OMW393226 OWS393226 PGO393226 PQK393226 QAG393226 QKC393226 QTY393226 RDU393226 RNQ393226 RXM393226 SHI393226 SRE393226 TBA393226 TKW393226 TUS393226 UEO393226 UOK393226 UYG393226 VIC393226 VRY393226 WBU393226 WLQ393226 WVM393226 E458762 JA458762 SW458762 ACS458762 AMO458762 AWK458762 BGG458762 BQC458762 BZY458762 CJU458762 CTQ458762 DDM458762 DNI458762 DXE458762 EHA458762 EQW458762 FAS458762 FKO458762 FUK458762 GEG458762 GOC458762 GXY458762 HHU458762 HRQ458762 IBM458762 ILI458762 IVE458762 JFA458762 JOW458762 JYS458762 KIO458762 KSK458762 LCG458762 LMC458762 LVY458762 MFU458762 MPQ458762 MZM458762 NJI458762 NTE458762 ODA458762 OMW458762 OWS458762 PGO458762 PQK458762 QAG458762 QKC458762 QTY458762 RDU458762 RNQ458762 RXM458762 SHI458762 SRE458762 TBA458762 TKW458762 TUS458762 UEO458762 UOK458762 UYG458762 VIC458762 VRY458762 WBU458762 WLQ458762 WVM458762 E524298 JA524298 SW524298 ACS524298 AMO524298 AWK524298 BGG524298 BQC524298 BZY524298 CJU524298 CTQ524298 DDM524298 DNI524298 DXE524298 EHA524298 EQW524298 FAS524298 FKO524298 FUK524298 GEG524298 GOC524298 GXY524298 HHU524298 HRQ524298 IBM524298 ILI524298 IVE524298 JFA524298 JOW524298 JYS524298 KIO524298 KSK524298 LCG524298 LMC524298 LVY524298 MFU524298 MPQ524298 MZM524298 NJI524298 NTE524298 ODA524298 OMW524298 OWS524298 PGO524298 PQK524298 QAG524298 QKC524298 QTY524298 RDU524298 RNQ524298 RXM524298 SHI524298 SRE524298 TBA524298 TKW524298 TUS524298 UEO524298 UOK524298 UYG524298 VIC524298 VRY524298 WBU524298 WLQ524298 WVM524298 E589834 JA589834 SW589834 ACS589834 AMO589834 AWK589834 BGG589834 BQC589834 BZY589834 CJU589834 CTQ589834 DDM589834 DNI589834 DXE589834 EHA589834 EQW589834 FAS589834 FKO589834 FUK589834 GEG589834 GOC589834 GXY589834 HHU589834 HRQ589834 IBM589834 ILI589834 IVE589834 JFA589834 JOW589834 JYS589834 KIO589834 KSK589834 LCG589834 LMC589834 LVY589834 MFU589834 MPQ589834 MZM589834 NJI589834 NTE589834 ODA589834 OMW589834 OWS589834 PGO589834 PQK589834 QAG589834 QKC589834 QTY589834 RDU589834 RNQ589834 RXM589834 SHI589834 SRE589834 TBA589834 TKW589834 TUS589834 UEO589834 UOK589834 UYG589834 VIC589834 VRY589834 WBU589834 WLQ589834 WVM589834 E655370 JA655370 SW655370 ACS655370 AMO655370 AWK655370 BGG655370 BQC655370 BZY655370 CJU655370 CTQ655370 DDM655370 DNI655370 DXE655370 EHA655370 EQW655370 FAS655370 FKO655370 FUK655370 GEG655370 GOC655370 GXY655370 HHU655370 HRQ655370 IBM655370 ILI655370 IVE655370 JFA655370 JOW655370 JYS655370 KIO655370 KSK655370 LCG655370 LMC655370 LVY655370 MFU655370 MPQ655370 MZM655370 NJI655370 NTE655370 ODA655370 OMW655370 OWS655370 PGO655370 PQK655370 QAG655370 QKC655370 QTY655370 RDU655370 RNQ655370 RXM655370 SHI655370 SRE655370 TBA655370 TKW655370 TUS655370 UEO655370 UOK655370 UYG655370 VIC655370 VRY655370 WBU655370 WLQ655370 WVM655370 E720906 JA720906 SW720906 ACS720906 AMO720906 AWK720906 BGG720906 BQC720906 BZY720906 CJU720906 CTQ720906 DDM720906 DNI720906 DXE720906 EHA720906 EQW720906 FAS720906 FKO720906 FUK720906 GEG720906 GOC720906 GXY720906 HHU720906 HRQ720906 IBM720906 ILI720906 IVE720906 JFA720906 JOW720906 JYS720906 KIO720906 KSK720906 LCG720906 LMC720906 LVY720906 MFU720906 MPQ720906 MZM720906 NJI720906 NTE720906 ODA720906 OMW720906 OWS720906 PGO720906 PQK720906 QAG720906 QKC720906 QTY720906 RDU720906 RNQ720906 RXM720906 SHI720906 SRE720906 TBA720906 TKW720906 TUS720906 UEO720906 UOK720906 UYG720906 VIC720906 VRY720906 WBU720906 WLQ720906 WVM720906 E786442 JA786442 SW786442 ACS786442 AMO786442 AWK786442 BGG786442 BQC786442 BZY786442 CJU786442 CTQ786442 DDM786442 DNI786442 DXE786442 EHA786442 EQW786442 FAS786442 FKO786442 FUK786442 GEG786442 GOC786442 GXY786442 HHU786442 HRQ786442 IBM786442 ILI786442 IVE786442 JFA786442 JOW786442 JYS786442 KIO786442 KSK786442 LCG786442 LMC786442 LVY786442 MFU786442 MPQ786442 MZM786442 NJI786442 NTE786442 ODA786442 OMW786442 OWS786442 PGO786442 PQK786442 QAG786442 QKC786442 QTY786442 RDU786442 RNQ786442 RXM786442 SHI786442 SRE786442 TBA786442 TKW786442 TUS786442 UEO786442 UOK786442 UYG786442 VIC786442 VRY786442 WBU786442 WLQ786442 WVM786442 E851978 JA851978 SW851978 ACS851978 AMO851978 AWK851978 BGG851978 BQC851978 BZY851978 CJU851978 CTQ851978 DDM851978 DNI851978 DXE851978 EHA851978 EQW851978 FAS851978 FKO851978 FUK851978 GEG851978 GOC851978 GXY851978 HHU851978 HRQ851978 IBM851978 ILI851978 IVE851978 JFA851978 JOW851978 JYS851978 KIO851978 KSK851978 LCG851978 LMC851978 LVY851978 MFU851978 MPQ851978 MZM851978 NJI851978 NTE851978 ODA851978 OMW851978 OWS851978 PGO851978 PQK851978 QAG851978 QKC851978 QTY851978 RDU851978 RNQ851978 RXM851978 SHI851978 SRE851978 TBA851978 TKW851978 TUS851978 UEO851978 UOK851978 UYG851978 VIC851978 VRY851978 WBU851978 WLQ851978 WVM851978 E917514 JA917514 SW917514 ACS917514 AMO917514 AWK917514 BGG917514 BQC917514 BZY917514 CJU917514 CTQ917514 DDM917514 DNI917514 DXE917514 EHA917514 EQW917514 FAS917514 FKO917514 FUK917514 GEG917514 GOC917514 GXY917514 HHU917514 HRQ917514 IBM917514 ILI917514 IVE917514 JFA917514 JOW917514 JYS917514 KIO917514 KSK917514 LCG917514 LMC917514 LVY917514 MFU917514 MPQ917514 MZM917514 NJI917514 NTE917514 ODA917514 OMW917514 OWS917514 PGO917514 PQK917514 QAG917514 QKC917514 QTY917514 RDU917514 RNQ917514 RXM917514 SHI917514 SRE917514 TBA917514 TKW917514 TUS917514 UEO917514 UOK917514 UYG917514 VIC917514 VRY917514 WBU917514 WLQ917514 WVM917514 E983050 JA983050 SW983050 ACS983050 AMO983050 AWK983050 BGG983050 BQC983050 BZY983050 CJU983050 CTQ983050 DDM983050 DNI983050 DXE983050 EHA983050 EQW983050 FAS983050 FKO983050 FUK983050 GEG983050 GOC983050 GXY983050 HHU983050 HRQ983050 IBM983050 ILI983050 IVE983050 JFA983050 JOW983050 JYS983050 KIO983050 KSK983050 LCG983050 LMC983050 LVY983050 MFU983050 MPQ983050 MZM983050 NJI983050 NTE983050 ODA983050 OMW983050 OWS983050 PGO983050 PQK983050 QAG983050 QKC983050 QTY983050 RDU983050 RNQ983050 RXM983050 SHI983050 SRE983050 TBA983050 TKW983050 TUS983050 UEO983050 UOK983050 UYG983050 VIC983050 VRY983050 WBU983050 WLQ983050 WVM983050">
      <formula1>$CS$2:$CS$33</formula1>
    </dataValidation>
    <dataValidation type="list" allowBlank="1" showInputMessage="1" showErrorMessage="1" sqref="E44:F44 JA44:JB44 SW44:SX44 ACS44:ACT44 AMO44:AMP44 AWK44:AWL44 BGG44:BGH44 BQC44:BQD44 BZY44:BZZ44 CJU44:CJV44 CTQ44:CTR44 DDM44:DDN44 DNI44:DNJ44 DXE44:DXF44 EHA44:EHB44 EQW44:EQX44 FAS44:FAT44 FKO44:FKP44 FUK44:FUL44 GEG44:GEH44 GOC44:GOD44 GXY44:GXZ44 HHU44:HHV44 HRQ44:HRR44 IBM44:IBN44 ILI44:ILJ44 IVE44:IVF44 JFA44:JFB44 JOW44:JOX44 JYS44:JYT44 KIO44:KIP44 KSK44:KSL44 LCG44:LCH44 LMC44:LMD44 LVY44:LVZ44 MFU44:MFV44 MPQ44:MPR44 MZM44:MZN44 NJI44:NJJ44 NTE44:NTF44 ODA44:ODB44 OMW44:OMX44 OWS44:OWT44 PGO44:PGP44 PQK44:PQL44 QAG44:QAH44 QKC44:QKD44 QTY44:QTZ44 RDU44:RDV44 RNQ44:RNR44 RXM44:RXN44 SHI44:SHJ44 SRE44:SRF44 TBA44:TBB44 TKW44:TKX44 TUS44:TUT44 UEO44:UEP44 UOK44:UOL44 UYG44:UYH44 VIC44:VID44 VRY44:VRZ44 WBU44:WBV44 WLQ44:WLR44 WVM44:WVN44 E65580:F65580 JA65580:JB65580 SW65580:SX65580 ACS65580:ACT65580 AMO65580:AMP65580 AWK65580:AWL65580 BGG65580:BGH65580 BQC65580:BQD65580 BZY65580:BZZ65580 CJU65580:CJV65580 CTQ65580:CTR65580 DDM65580:DDN65580 DNI65580:DNJ65580 DXE65580:DXF65580 EHA65580:EHB65580 EQW65580:EQX65580 FAS65580:FAT65580 FKO65580:FKP65580 FUK65580:FUL65580 GEG65580:GEH65580 GOC65580:GOD65580 GXY65580:GXZ65580 HHU65580:HHV65580 HRQ65580:HRR65580 IBM65580:IBN65580 ILI65580:ILJ65580 IVE65580:IVF65580 JFA65580:JFB65580 JOW65580:JOX65580 JYS65580:JYT65580 KIO65580:KIP65580 KSK65580:KSL65580 LCG65580:LCH65580 LMC65580:LMD65580 LVY65580:LVZ65580 MFU65580:MFV65580 MPQ65580:MPR65580 MZM65580:MZN65580 NJI65580:NJJ65580 NTE65580:NTF65580 ODA65580:ODB65580 OMW65580:OMX65580 OWS65580:OWT65580 PGO65580:PGP65580 PQK65580:PQL65580 QAG65580:QAH65580 QKC65580:QKD65580 QTY65580:QTZ65580 RDU65580:RDV65580 RNQ65580:RNR65580 RXM65580:RXN65580 SHI65580:SHJ65580 SRE65580:SRF65580 TBA65580:TBB65580 TKW65580:TKX65580 TUS65580:TUT65580 UEO65580:UEP65580 UOK65580:UOL65580 UYG65580:UYH65580 VIC65580:VID65580 VRY65580:VRZ65580 WBU65580:WBV65580 WLQ65580:WLR65580 WVM65580:WVN65580 E131116:F131116 JA131116:JB131116 SW131116:SX131116 ACS131116:ACT131116 AMO131116:AMP131116 AWK131116:AWL131116 BGG131116:BGH131116 BQC131116:BQD131116 BZY131116:BZZ131116 CJU131116:CJV131116 CTQ131116:CTR131116 DDM131116:DDN131116 DNI131116:DNJ131116 DXE131116:DXF131116 EHA131116:EHB131116 EQW131116:EQX131116 FAS131116:FAT131116 FKO131116:FKP131116 FUK131116:FUL131116 GEG131116:GEH131116 GOC131116:GOD131116 GXY131116:GXZ131116 HHU131116:HHV131116 HRQ131116:HRR131116 IBM131116:IBN131116 ILI131116:ILJ131116 IVE131116:IVF131116 JFA131116:JFB131116 JOW131116:JOX131116 JYS131116:JYT131116 KIO131116:KIP131116 KSK131116:KSL131116 LCG131116:LCH131116 LMC131116:LMD131116 LVY131116:LVZ131116 MFU131116:MFV131116 MPQ131116:MPR131116 MZM131116:MZN131116 NJI131116:NJJ131116 NTE131116:NTF131116 ODA131116:ODB131116 OMW131116:OMX131116 OWS131116:OWT131116 PGO131116:PGP131116 PQK131116:PQL131116 QAG131116:QAH131116 QKC131116:QKD131116 QTY131116:QTZ131116 RDU131116:RDV131116 RNQ131116:RNR131116 RXM131116:RXN131116 SHI131116:SHJ131116 SRE131116:SRF131116 TBA131116:TBB131116 TKW131116:TKX131116 TUS131116:TUT131116 UEO131116:UEP131116 UOK131116:UOL131116 UYG131116:UYH131116 VIC131116:VID131116 VRY131116:VRZ131116 WBU131116:WBV131116 WLQ131116:WLR131116 WVM131116:WVN131116 E196652:F196652 JA196652:JB196652 SW196652:SX196652 ACS196652:ACT196652 AMO196652:AMP196652 AWK196652:AWL196652 BGG196652:BGH196652 BQC196652:BQD196652 BZY196652:BZZ196652 CJU196652:CJV196652 CTQ196652:CTR196652 DDM196652:DDN196652 DNI196652:DNJ196652 DXE196652:DXF196652 EHA196652:EHB196652 EQW196652:EQX196652 FAS196652:FAT196652 FKO196652:FKP196652 FUK196652:FUL196652 GEG196652:GEH196652 GOC196652:GOD196652 GXY196652:GXZ196652 HHU196652:HHV196652 HRQ196652:HRR196652 IBM196652:IBN196652 ILI196652:ILJ196652 IVE196652:IVF196652 JFA196652:JFB196652 JOW196652:JOX196652 JYS196652:JYT196652 KIO196652:KIP196652 KSK196652:KSL196652 LCG196652:LCH196652 LMC196652:LMD196652 LVY196652:LVZ196652 MFU196652:MFV196652 MPQ196652:MPR196652 MZM196652:MZN196652 NJI196652:NJJ196652 NTE196652:NTF196652 ODA196652:ODB196652 OMW196652:OMX196652 OWS196652:OWT196652 PGO196652:PGP196652 PQK196652:PQL196652 QAG196652:QAH196652 QKC196652:QKD196652 QTY196652:QTZ196652 RDU196652:RDV196652 RNQ196652:RNR196652 RXM196652:RXN196652 SHI196652:SHJ196652 SRE196652:SRF196652 TBA196652:TBB196652 TKW196652:TKX196652 TUS196652:TUT196652 UEO196652:UEP196652 UOK196652:UOL196652 UYG196652:UYH196652 VIC196652:VID196652 VRY196652:VRZ196652 WBU196652:WBV196652 WLQ196652:WLR196652 WVM196652:WVN196652 E262188:F262188 JA262188:JB262188 SW262188:SX262188 ACS262188:ACT262188 AMO262188:AMP262188 AWK262188:AWL262188 BGG262188:BGH262188 BQC262188:BQD262188 BZY262188:BZZ262188 CJU262188:CJV262188 CTQ262188:CTR262188 DDM262188:DDN262188 DNI262188:DNJ262188 DXE262188:DXF262188 EHA262188:EHB262188 EQW262188:EQX262188 FAS262188:FAT262188 FKO262188:FKP262188 FUK262188:FUL262188 GEG262188:GEH262188 GOC262188:GOD262188 GXY262188:GXZ262188 HHU262188:HHV262188 HRQ262188:HRR262188 IBM262188:IBN262188 ILI262188:ILJ262188 IVE262188:IVF262188 JFA262188:JFB262188 JOW262188:JOX262188 JYS262188:JYT262188 KIO262188:KIP262188 KSK262188:KSL262188 LCG262188:LCH262188 LMC262188:LMD262188 LVY262188:LVZ262188 MFU262188:MFV262188 MPQ262188:MPR262188 MZM262188:MZN262188 NJI262188:NJJ262188 NTE262188:NTF262188 ODA262188:ODB262188 OMW262188:OMX262188 OWS262188:OWT262188 PGO262188:PGP262188 PQK262188:PQL262188 QAG262188:QAH262188 QKC262188:QKD262188 QTY262188:QTZ262188 RDU262188:RDV262188 RNQ262188:RNR262188 RXM262188:RXN262188 SHI262188:SHJ262188 SRE262188:SRF262188 TBA262188:TBB262188 TKW262188:TKX262188 TUS262188:TUT262188 UEO262188:UEP262188 UOK262188:UOL262188 UYG262188:UYH262188 VIC262188:VID262188 VRY262188:VRZ262188 WBU262188:WBV262188 WLQ262188:WLR262188 WVM262188:WVN262188 E327724:F327724 JA327724:JB327724 SW327724:SX327724 ACS327724:ACT327724 AMO327724:AMP327724 AWK327724:AWL327724 BGG327724:BGH327724 BQC327724:BQD327724 BZY327724:BZZ327724 CJU327724:CJV327724 CTQ327724:CTR327724 DDM327724:DDN327724 DNI327724:DNJ327724 DXE327724:DXF327724 EHA327724:EHB327724 EQW327724:EQX327724 FAS327724:FAT327724 FKO327724:FKP327724 FUK327724:FUL327724 GEG327724:GEH327724 GOC327724:GOD327724 GXY327724:GXZ327724 HHU327724:HHV327724 HRQ327724:HRR327724 IBM327724:IBN327724 ILI327724:ILJ327724 IVE327724:IVF327724 JFA327724:JFB327724 JOW327724:JOX327724 JYS327724:JYT327724 KIO327724:KIP327724 KSK327724:KSL327724 LCG327724:LCH327724 LMC327724:LMD327724 LVY327724:LVZ327724 MFU327724:MFV327724 MPQ327724:MPR327724 MZM327724:MZN327724 NJI327724:NJJ327724 NTE327724:NTF327724 ODA327724:ODB327724 OMW327724:OMX327724 OWS327724:OWT327724 PGO327724:PGP327724 PQK327724:PQL327724 QAG327724:QAH327724 QKC327724:QKD327724 QTY327724:QTZ327724 RDU327724:RDV327724 RNQ327724:RNR327724 RXM327724:RXN327724 SHI327724:SHJ327724 SRE327724:SRF327724 TBA327724:TBB327724 TKW327724:TKX327724 TUS327724:TUT327724 UEO327724:UEP327724 UOK327724:UOL327724 UYG327724:UYH327724 VIC327724:VID327724 VRY327724:VRZ327724 WBU327724:WBV327724 WLQ327724:WLR327724 WVM327724:WVN327724 E393260:F393260 JA393260:JB393260 SW393260:SX393260 ACS393260:ACT393260 AMO393260:AMP393260 AWK393260:AWL393260 BGG393260:BGH393260 BQC393260:BQD393260 BZY393260:BZZ393260 CJU393260:CJV393260 CTQ393260:CTR393260 DDM393260:DDN393260 DNI393260:DNJ393260 DXE393260:DXF393260 EHA393260:EHB393260 EQW393260:EQX393260 FAS393260:FAT393260 FKO393260:FKP393260 FUK393260:FUL393260 GEG393260:GEH393260 GOC393260:GOD393260 GXY393260:GXZ393260 HHU393260:HHV393260 HRQ393260:HRR393260 IBM393260:IBN393260 ILI393260:ILJ393260 IVE393260:IVF393260 JFA393260:JFB393260 JOW393260:JOX393260 JYS393260:JYT393260 KIO393260:KIP393260 KSK393260:KSL393260 LCG393260:LCH393260 LMC393260:LMD393260 LVY393260:LVZ393260 MFU393260:MFV393260 MPQ393260:MPR393260 MZM393260:MZN393260 NJI393260:NJJ393260 NTE393260:NTF393260 ODA393260:ODB393260 OMW393260:OMX393260 OWS393260:OWT393260 PGO393260:PGP393260 PQK393260:PQL393260 QAG393260:QAH393260 QKC393260:QKD393260 QTY393260:QTZ393260 RDU393260:RDV393260 RNQ393260:RNR393260 RXM393260:RXN393260 SHI393260:SHJ393260 SRE393260:SRF393260 TBA393260:TBB393260 TKW393260:TKX393260 TUS393260:TUT393260 UEO393260:UEP393260 UOK393260:UOL393260 UYG393260:UYH393260 VIC393260:VID393260 VRY393260:VRZ393260 WBU393260:WBV393260 WLQ393260:WLR393260 WVM393260:WVN393260 E458796:F458796 JA458796:JB458796 SW458796:SX458796 ACS458796:ACT458796 AMO458796:AMP458796 AWK458796:AWL458796 BGG458796:BGH458796 BQC458796:BQD458796 BZY458796:BZZ458796 CJU458796:CJV458796 CTQ458796:CTR458796 DDM458796:DDN458796 DNI458796:DNJ458796 DXE458796:DXF458796 EHA458796:EHB458796 EQW458796:EQX458796 FAS458796:FAT458796 FKO458796:FKP458796 FUK458796:FUL458796 GEG458796:GEH458796 GOC458796:GOD458796 GXY458796:GXZ458796 HHU458796:HHV458796 HRQ458796:HRR458796 IBM458796:IBN458796 ILI458796:ILJ458796 IVE458796:IVF458796 JFA458796:JFB458796 JOW458796:JOX458796 JYS458796:JYT458796 KIO458796:KIP458796 KSK458796:KSL458796 LCG458796:LCH458796 LMC458796:LMD458796 LVY458796:LVZ458796 MFU458796:MFV458796 MPQ458796:MPR458796 MZM458796:MZN458796 NJI458796:NJJ458796 NTE458796:NTF458796 ODA458796:ODB458796 OMW458796:OMX458796 OWS458796:OWT458796 PGO458796:PGP458796 PQK458796:PQL458796 QAG458796:QAH458796 QKC458796:QKD458796 QTY458796:QTZ458796 RDU458796:RDV458796 RNQ458796:RNR458796 RXM458796:RXN458796 SHI458796:SHJ458796 SRE458796:SRF458796 TBA458796:TBB458796 TKW458796:TKX458796 TUS458796:TUT458796 UEO458796:UEP458796 UOK458796:UOL458796 UYG458796:UYH458796 VIC458796:VID458796 VRY458796:VRZ458796 WBU458796:WBV458796 WLQ458796:WLR458796 WVM458796:WVN458796 E524332:F524332 JA524332:JB524332 SW524332:SX524332 ACS524332:ACT524332 AMO524332:AMP524332 AWK524332:AWL524332 BGG524332:BGH524332 BQC524332:BQD524332 BZY524332:BZZ524332 CJU524332:CJV524332 CTQ524332:CTR524332 DDM524332:DDN524332 DNI524332:DNJ524332 DXE524332:DXF524332 EHA524332:EHB524332 EQW524332:EQX524332 FAS524332:FAT524332 FKO524332:FKP524332 FUK524332:FUL524332 GEG524332:GEH524332 GOC524332:GOD524332 GXY524332:GXZ524332 HHU524332:HHV524332 HRQ524332:HRR524332 IBM524332:IBN524332 ILI524332:ILJ524332 IVE524332:IVF524332 JFA524332:JFB524332 JOW524332:JOX524332 JYS524332:JYT524332 KIO524332:KIP524332 KSK524332:KSL524332 LCG524332:LCH524332 LMC524332:LMD524332 LVY524332:LVZ524332 MFU524332:MFV524332 MPQ524332:MPR524332 MZM524332:MZN524332 NJI524332:NJJ524332 NTE524332:NTF524332 ODA524332:ODB524332 OMW524332:OMX524332 OWS524332:OWT524332 PGO524332:PGP524332 PQK524332:PQL524332 QAG524332:QAH524332 QKC524332:QKD524332 QTY524332:QTZ524332 RDU524332:RDV524332 RNQ524332:RNR524332 RXM524332:RXN524332 SHI524332:SHJ524332 SRE524332:SRF524332 TBA524332:TBB524332 TKW524332:TKX524332 TUS524332:TUT524332 UEO524332:UEP524332 UOK524332:UOL524332 UYG524332:UYH524332 VIC524332:VID524332 VRY524332:VRZ524332 WBU524332:WBV524332 WLQ524332:WLR524332 WVM524332:WVN524332 E589868:F589868 JA589868:JB589868 SW589868:SX589868 ACS589868:ACT589868 AMO589868:AMP589868 AWK589868:AWL589868 BGG589868:BGH589868 BQC589868:BQD589868 BZY589868:BZZ589868 CJU589868:CJV589868 CTQ589868:CTR589868 DDM589868:DDN589868 DNI589868:DNJ589868 DXE589868:DXF589868 EHA589868:EHB589868 EQW589868:EQX589868 FAS589868:FAT589868 FKO589868:FKP589868 FUK589868:FUL589868 GEG589868:GEH589868 GOC589868:GOD589868 GXY589868:GXZ589868 HHU589868:HHV589868 HRQ589868:HRR589868 IBM589868:IBN589868 ILI589868:ILJ589868 IVE589868:IVF589868 JFA589868:JFB589868 JOW589868:JOX589868 JYS589868:JYT589868 KIO589868:KIP589868 KSK589868:KSL589868 LCG589868:LCH589868 LMC589868:LMD589868 LVY589868:LVZ589868 MFU589868:MFV589868 MPQ589868:MPR589868 MZM589868:MZN589868 NJI589868:NJJ589868 NTE589868:NTF589868 ODA589868:ODB589868 OMW589868:OMX589868 OWS589868:OWT589868 PGO589868:PGP589868 PQK589868:PQL589868 QAG589868:QAH589868 QKC589868:QKD589868 QTY589868:QTZ589868 RDU589868:RDV589868 RNQ589868:RNR589868 RXM589868:RXN589868 SHI589868:SHJ589868 SRE589868:SRF589868 TBA589868:TBB589868 TKW589868:TKX589868 TUS589868:TUT589868 UEO589868:UEP589868 UOK589868:UOL589868 UYG589868:UYH589868 VIC589868:VID589868 VRY589868:VRZ589868 WBU589868:WBV589868 WLQ589868:WLR589868 WVM589868:WVN589868 E655404:F655404 JA655404:JB655404 SW655404:SX655404 ACS655404:ACT655404 AMO655404:AMP655404 AWK655404:AWL655404 BGG655404:BGH655404 BQC655404:BQD655404 BZY655404:BZZ655404 CJU655404:CJV655404 CTQ655404:CTR655404 DDM655404:DDN655404 DNI655404:DNJ655404 DXE655404:DXF655404 EHA655404:EHB655404 EQW655404:EQX655404 FAS655404:FAT655404 FKO655404:FKP655404 FUK655404:FUL655404 GEG655404:GEH655404 GOC655404:GOD655404 GXY655404:GXZ655404 HHU655404:HHV655404 HRQ655404:HRR655404 IBM655404:IBN655404 ILI655404:ILJ655404 IVE655404:IVF655404 JFA655404:JFB655404 JOW655404:JOX655404 JYS655404:JYT655404 KIO655404:KIP655404 KSK655404:KSL655404 LCG655404:LCH655404 LMC655404:LMD655404 LVY655404:LVZ655404 MFU655404:MFV655404 MPQ655404:MPR655404 MZM655404:MZN655404 NJI655404:NJJ655404 NTE655404:NTF655404 ODA655404:ODB655404 OMW655404:OMX655404 OWS655404:OWT655404 PGO655404:PGP655404 PQK655404:PQL655404 QAG655404:QAH655404 QKC655404:QKD655404 QTY655404:QTZ655404 RDU655404:RDV655404 RNQ655404:RNR655404 RXM655404:RXN655404 SHI655404:SHJ655404 SRE655404:SRF655404 TBA655404:TBB655404 TKW655404:TKX655404 TUS655404:TUT655404 UEO655404:UEP655404 UOK655404:UOL655404 UYG655404:UYH655404 VIC655404:VID655404 VRY655404:VRZ655404 WBU655404:WBV655404 WLQ655404:WLR655404 WVM655404:WVN655404 E720940:F720940 JA720940:JB720940 SW720940:SX720940 ACS720940:ACT720940 AMO720940:AMP720940 AWK720940:AWL720940 BGG720940:BGH720940 BQC720940:BQD720940 BZY720940:BZZ720940 CJU720940:CJV720940 CTQ720940:CTR720940 DDM720940:DDN720940 DNI720940:DNJ720940 DXE720940:DXF720940 EHA720940:EHB720940 EQW720940:EQX720940 FAS720940:FAT720940 FKO720940:FKP720940 FUK720940:FUL720940 GEG720940:GEH720940 GOC720940:GOD720940 GXY720940:GXZ720940 HHU720940:HHV720940 HRQ720940:HRR720940 IBM720940:IBN720940 ILI720940:ILJ720940 IVE720940:IVF720940 JFA720940:JFB720940 JOW720940:JOX720940 JYS720940:JYT720940 KIO720940:KIP720940 KSK720940:KSL720940 LCG720940:LCH720940 LMC720940:LMD720940 LVY720940:LVZ720940 MFU720940:MFV720940 MPQ720940:MPR720940 MZM720940:MZN720940 NJI720940:NJJ720940 NTE720940:NTF720940 ODA720940:ODB720940 OMW720940:OMX720940 OWS720940:OWT720940 PGO720940:PGP720940 PQK720940:PQL720940 QAG720940:QAH720940 QKC720940:QKD720940 QTY720940:QTZ720940 RDU720940:RDV720940 RNQ720940:RNR720940 RXM720940:RXN720940 SHI720940:SHJ720940 SRE720940:SRF720940 TBA720940:TBB720940 TKW720940:TKX720940 TUS720940:TUT720940 UEO720940:UEP720940 UOK720940:UOL720940 UYG720940:UYH720940 VIC720940:VID720940 VRY720940:VRZ720940 WBU720940:WBV720940 WLQ720940:WLR720940 WVM720940:WVN720940 E786476:F786476 JA786476:JB786476 SW786476:SX786476 ACS786476:ACT786476 AMO786476:AMP786476 AWK786476:AWL786476 BGG786476:BGH786476 BQC786476:BQD786476 BZY786476:BZZ786476 CJU786476:CJV786476 CTQ786476:CTR786476 DDM786476:DDN786476 DNI786476:DNJ786476 DXE786476:DXF786476 EHA786476:EHB786476 EQW786476:EQX786476 FAS786476:FAT786476 FKO786476:FKP786476 FUK786476:FUL786476 GEG786476:GEH786476 GOC786476:GOD786476 GXY786476:GXZ786476 HHU786476:HHV786476 HRQ786476:HRR786476 IBM786476:IBN786476 ILI786476:ILJ786476 IVE786476:IVF786476 JFA786476:JFB786476 JOW786476:JOX786476 JYS786476:JYT786476 KIO786476:KIP786476 KSK786476:KSL786476 LCG786476:LCH786476 LMC786476:LMD786476 LVY786476:LVZ786476 MFU786476:MFV786476 MPQ786476:MPR786476 MZM786476:MZN786476 NJI786476:NJJ786476 NTE786476:NTF786476 ODA786476:ODB786476 OMW786476:OMX786476 OWS786476:OWT786476 PGO786476:PGP786476 PQK786476:PQL786476 QAG786476:QAH786476 QKC786476:QKD786476 QTY786476:QTZ786476 RDU786476:RDV786476 RNQ786476:RNR786476 RXM786476:RXN786476 SHI786476:SHJ786476 SRE786476:SRF786476 TBA786476:TBB786476 TKW786476:TKX786476 TUS786476:TUT786476 UEO786476:UEP786476 UOK786476:UOL786476 UYG786476:UYH786476 VIC786476:VID786476 VRY786476:VRZ786476 WBU786476:WBV786476 WLQ786476:WLR786476 WVM786476:WVN786476 E852012:F852012 JA852012:JB852012 SW852012:SX852012 ACS852012:ACT852012 AMO852012:AMP852012 AWK852012:AWL852012 BGG852012:BGH852012 BQC852012:BQD852012 BZY852012:BZZ852012 CJU852012:CJV852012 CTQ852012:CTR852012 DDM852012:DDN852012 DNI852012:DNJ852012 DXE852012:DXF852012 EHA852012:EHB852012 EQW852012:EQX852012 FAS852012:FAT852012 FKO852012:FKP852012 FUK852012:FUL852012 GEG852012:GEH852012 GOC852012:GOD852012 GXY852012:GXZ852012 HHU852012:HHV852012 HRQ852012:HRR852012 IBM852012:IBN852012 ILI852012:ILJ852012 IVE852012:IVF852012 JFA852012:JFB852012 JOW852012:JOX852012 JYS852012:JYT852012 KIO852012:KIP852012 KSK852012:KSL852012 LCG852012:LCH852012 LMC852012:LMD852012 LVY852012:LVZ852012 MFU852012:MFV852012 MPQ852012:MPR852012 MZM852012:MZN852012 NJI852012:NJJ852012 NTE852012:NTF852012 ODA852012:ODB852012 OMW852012:OMX852012 OWS852012:OWT852012 PGO852012:PGP852012 PQK852012:PQL852012 QAG852012:QAH852012 QKC852012:QKD852012 QTY852012:QTZ852012 RDU852012:RDV852012 RNQ852012:RNR852012 RXM852012:RXN852012 SHI852012:SHJ852012 SRE852012:SRF852012 TBA852012:TBB852012 TKW852012:TKX852012 TUS852012:TUT852012 UEO852012:UEP852012 UOK852012:UOL852012 UYG852012:UYH852012 VIC852012:VID852012 VRY852012:VRZ852012 WBU852012:WBV852012 WLQ852012:WLR852012 WVM852012:WVN852012 E917548:F917548 JA917548:JB917548 SW917548:SX917548 ACS917548:ACT917548 AMO917548:AMP917548 AWK917548:AWL917548 BGG917548:BGH917548 BQC917548:BQD917548 BZY917548:BZZ917548 CJU917548:CJV917548 CTQ917548:CTR917548 DDM917548:DDN917548 DNI917548:DNJ917548 DXE917548:DXF917548 EHA917548:EHB917548 EQW917548:EQX917548 FAS917548:FAT917548 FKO917548:FKP917548 FUK917548:FUL917548 GEG917548:GEH917548 GOC917548:GOD917548 GXY917548:GXZ917548 HHU917548:HHV917548 HRQ917548:HRR917548 IBM917548:IBN917548 ILI917548:ILJ917548 IVE917548:IVF917548 JFA917548:JFB917548 JOW917548:JOX917548 JYS917548:JYT917548 KIO917548:KIP917548 KSK917548:KSL917548 LCG917548:LCH917548 LMC917548:LMD917548 LVY917548:LVZ917548 MFU917548:MFV917548 MPQ917548:MPR917548 MZM917548:MZN917548 NJI917548:NJJ917548 NTE917548:NTF917548 ODA917548:ODB917548 OMW917548:OMX917548 OWS917548:OWT917548 PGO917548:PGP917548 PQK917548:PQL917548 QAG917548:QAH917548 QKC917548:QKD917548 QTY917548:QTZ917548 RDU917548:RDV917548 RNQ917548:RNR917548 RXM917548:RXN917548 SHI917548:SHJ917548 SRE917548:SRF917548 TBA917548:TBB917548 TKW917548:TKX917548 TUS917548:TUT917548 UEO917548:UEP917548 UOK917548:UOL917548 UYG917548:UYH917548 VIC917548:VID917548 VRY917548:VRZ917548 WBU917548:WBV917548 WLQ917548:WLR917548 WVM917548:WVN917548 E983084:F983084 JA983084:JB983084 SW983084:SX983084 ACS983084:ACT983084 AMO983084:AMP983084 AWK983084:AWL983084 BGG983084:BGH983084 BQC983084:BQD983084 BZY983084:BZZ983084 CJU983084:CJV983084 CTQ983084:CTR983084 DDM983084:DDN983084 DNI983084:DNJ983084 DXE983084:DXF983084 EHA983084:EHB983084 EQW983084:EQX983084 FAS983084:FAT983084 FKO983084:FKP983084 FUK983084:FUL983084 GEG983084:GEH983084 GOC983084:GOD983084 GXY983084:GXZ983084 HHU983084:HHV983084 HRQ983084:HRR983084 IBM983084:IBN983084 ILI983084:ILJ983084 IVE983084:IVF983084 JFA983084:JFB983084 JOW983084:JOX983084 JYS983084:JYT983084 KIO983084:KIP983084 KSK983084:KSL983084 LCG983084:LCH983084 LMC983084:LMD983084 LVY983084:LVZ983084 MFU983084:MFV983084 MPQ983084:MPR983084 MZM983084:MZN983084 NJI983084:NJJ983084 NTE983084:NTF983084 ODA983084:ODB983084 OMW983084:OMX983084 OWS983084:OWT983084 PGO983084:PGP983084 PQK983084:PQL983084 QAG983084:QAH983084 QKC983084:QKD983084 QTY983084:QTZ983084 RDU983084:RDV983084 RNQ983084:RNR983084 RXM983084:RXN983084 SHI983084:SHJ983084 SRE983084:SRF983084 TBA983084:TBB983084 TKW983084:TKX983084 TUS983084:TUT983084 UEO983084:UEP983084 UOK983084:UOL983084 UYG983084:UYH983084 VIC983084:VID983084 VRY983084:VRZ983084 WBU983084:WBV983084 WLQ983084:WLR983084 WVM983084:WVN983084">
      <formula1>$CG$3:$CG$7</formula1>
    </dataValidation>
    <dataValidation type="list" allowBlank="1" showInputMessage="1" showErrorMessage="1" sqref="E43:F43 JA43:JB43 SW43:SX43 ACS43:ACT43 AMO43:AMP43 AWK43:AWL43 BGG43:BGH43 BQC43:BQD43 BZY43:BZZ43 CJU43:CJV43 CTQ43:CTR43 DDM43:DDN43 DNI43:DNJ43 DXE43:DXF43 EHA43:EHB43 EQW43:EQX43 FAS43:FAT43 FKO43:FKP43 FUK43:FUL43 GEG43:GEH43 GOC43:GOD43 GXY43:GXZ43 HHU43:HHV43 HRQ43:HRR43 IBM43:IBN43 ILI43:ILJ43 IVE43:IVF43 JFA43:JFB43 JOW43:JOX43 JYS43:JYT43 KIO43:KIP43 KSK43:KSL43 LCG43:LCH43 LMC43:LMD43 LVY43:LVZ43 MFU43:MFV43 MPQ43:MPR43 MZM43:MZN43 NJI43:NJJ43 NTE43:NTF43 ODA43:ODB43 OMW43:OMX43 OWS43:OWT43 PGO43:PGP43 PQK43:PQL43 QAG43:QAH43 QKC43:QKD43 QTY43:QTZ43 RDU43:RDV43 RNQ43:RNR43 RXM43:RXN43 SHI43:SHJ43 SRE43:SRF43 TBA43:TBB43 TKW43:TKX43 TUS43:TUT43 UEO43:UEP43 UOK43:UOL43 UYG43:UYH43 VIC43:VID43 VRY43:VRZ43 WBU43:WBV43 WLQ43:WLR43 WVM43:WVN43 E65579:F65579 JA65579:JB65579 SW65579:SX65579 ACS65579:ACT65579 AMO65579:AMP65579 AWK65579:AWL65579 BGG65579:BGH65579 BQC65579:BQD65579 BZY65579:BZZ65579 CJU65579:CJV65579 CTQ65579:CTR65579 DDM65579:DDN65579 DNI65579:DNJ65579 DXE65579:DXF65579 EHA65579:EHB65579 EQW65579:EQX65579 FAS65579:FAT65579 FKO65579:FKP65579 FUK65579:FUL65579 GEG65579:GEH65579 GOC65579:GOD65579 GXY65579:GXZ65579 HHU65579:HHV65579 HRQ65579:HRR65579 IBM65579:IBN65579 ILI65579:ILJ65579 IVE65579:IVF65579 JFA65579:JFB65579 JOW65579:JOX65579 JYS65579:JYT65579 KIO65579:KIP65579 KSK65579:KSL65579 LCG65579:LCH65579 LMC65579:LMD65579 LVY65579:LVZ65579 MFU65579:MFV65579 MPQ65579:MPR65579 MZM65579:MZN65579 NJI65579:NJJ65579 NTE65579:NTF65579 ODA65579:ODB65579 OMW65579:OMX65579 OWS65579:OWT65579 PGO65579:PGP65579 PQK65579:PQL65579 QAG65579:QAH65579 QKC65579:QKD65579 QTY65579:QTZ65579 RDU65579:RDV65579 RNQ65579:RNR65579 RXM65579:RXN65579 SHI65579:SHJ65579 SRE65579:SRF65579 TBA65579:TBB65579 TKW65579:TKX65579 TUS65579:TUT65579 UEO65579:UEP65579 UOK65579:UOL65579 UYG65579:UYH65579 VIC65579:VID65579 VRY65579:VRZ65579 WBU65579:WBV65579 WLQ65579:WLR65579 WVM65579:WVN65579 E131115:F131115 JA131115:JB131115 SW131115:SX131115 ACS131115:ACT131115 AMO131115:AMP131115 AWK131115:AWL131115 BGG131115:BGH131115 BQC131115:BQD131115 BZY131115:BZZ131115 CJU131115:CJV131115 CTQ131115:CTR131115 DDM131115:DDN131115 DNI131115:DNJ131115 DXE131115:DXF131115 EHA131115:EHB131115 EQW131115:EQX131115 FAS131115:FAT131115 FKO131115:FKP131115 FUK131115:FUL131115 GEG131115:GEH131115 GOC131115:GOD131115 GXY131115:GXZ131115 HHU131115:HHV131115 HRQ131115:HRR131115 IBM131115:IBN131115 ILI131115:ILJ131115 IVE131115:IVF131115 JFA131115:JFB131115 JOW131115:JOX131115 JYS131115:JYT131115 KIO131115:KIP131115 KSK131115:KSL131115 LCG131115:LCH131115 LMC131115:LMD131115 LVY131115:LVZ131115 MFU131115:MFV131115 MPQ131115:MPR131115 MZM131115:MZN131115 NJI131115:NJJ131115 NTE131115:NTF131115 ODA131115:ODB131115 OMW131115:OMX131115 OWS131115:OWT131115 PGO131115:PGP131115 PQK131115:PQL131115 QAG131115:QAH131115 QKC131115:QKD131115 QTY131115:QTZ131115 RDU131115:RDV131115 RNQ131115:RNR131115 RXM131115:RXN131115 SHI131115:SHJ131115 SRE131115:SRF131115 TBA131115:TBB131115 TKW131115:TKX131115 TUS131115:TUT131115 UEO131115:UEP131115 UOK131115:UOL131115 UYG131115:UYH131115 VIC131115:VID131115 VRY131115:VRZ131115 WBU131115:WBV131115 WLQ131115:WLR131115 WVM131115:WVN131115 E196651:F196651 JA196651:JB196651 SW196651:SX196651 ACS196651:ACT196651 AMO196651:AMP196651 AWK196651:AWL196651 BGG196651:BGH196651 BQC196651:BQD196651 BZY196651:BZZ196651 CJU196651:CJV196651 CTQ196651:CTR196651 DDM196651:DDN196651 DNI196651:DNJ196651 DXE196651:DXF196651 EHA196651:EHB196651 EQW196651:EQX196651 FAS196651:FAT196651 FKO196651:FKP196651 FUK196651:FUL196651 GEG196651:GEH196651 GOC196651:GOD196651 GXY196651:GXZ196651 HHU196651:HHV196651 HRQ196651:HRR196651 IBM196651:IBN196651 ILI196651:ILJ196651 IVE196651:IVF196651 JFA196651:JFB196651 JOW196651:JOX196651 JYS196651:JYT196651 KIO196651:KIP196651 KSK196651:KSL196651 LCG196651:LCH196651 LMC196651:LMD196651 LVY196651:LVZ196651 MFU196651:MFV196651 MPQ196651:MPR196651 MZM196651:MZN196651 NJI196651:NJJ196651 NTE196651:NTF196651 ODA196651:ODB196651 OMW196651:OMX196651 OWS196651:OWT196651 PGO196651:PGP196651 PQK196651:PQL196651 QAG196651:QAH196651 QKC196651:QKD196651 QTY196651:QTZ196651 RDU196651:RDV196651 RNQ196651:RNR196651 RXM196651:RXN196651 SHI196651:SHJ196651 SRE196651:SRF196651 TBA196651:TBB196651 TKW196651:TKX196651 TUS196651:TUT196651 UEO196651:UEP196651 UOK196651:UOL196651 UYG196651:UYH196651 VIC196651:VID196651 VRY196651:VRZ196651 WBU196651:WBV196651 WLQ196651:WLR196651 WVM196651:WVN196651 E262187:F262187 JA262187:JB262187 SW262187:SX262187 ACS262187:ACT262187 AMO262187:AMP262187 AWK262187:AWL262187 BGG262187:BGH262187 BQC262187:BQD262187 BZY262187:BZZ262187 CJU262187:CJV262187 CTQ262187:CTR262187 DDM262187:DDN262187 DNI262187:DNJ262187 DXE262187:DXF262187 EHA262187:EHB262187 EQW262187:EQX262187 FAS262187:FAT262187 FKO262187:FKP262187 FUK262187:FUL262187 GEG262187:GEH262187 GOC262187:GOD262187 GXY262187:GXZ262187 HHU262187:HHV262187 HRQ262187:HRR262187 IBM262187:IBN262187 ILI262187:ILJ262187 IVE262187:IVF262187 JFA262187:JFB262187 JOW262187:JOX262187 JYS262187:JYT262187 KIO262187:KIP262187 KSK262187:KSL262187 LCG262187:LCH262187 LMC262187:LMD262187 LVY262187:LVZ262187 MFU262187:MFV262187 MPQ262187:MPR262187 MZM262187:MZN262187 NJI262187:NJJ262187 NTE262187:NTF262187 ODA262187:ODB262187 OMW262187:OMX262187 OWS262187:OWT262187 PGO262187:PGP262187 PQK262187:PQL262187 QAG262187:QAH262187 QKC262187:QKD262187 QTY262187:QTZ262187 RDU262187:RDV262187 RNQ262187:RNR262187 RXM262187:RXN262187 SHI262187:SHJ262187 SRE262187:SRF262187 TBA262187:TBB262187 TKW262187:TKX262187 TUS262187:TUT262187 UEO262187:UEP262187 UOK262187:UOL262187 UYG262187:UYH262187 VIC262187:VID262187 VRY262187:VRZ262187 WBU262187:WBV262187 WLQ262187:WLR262187 WVM262187:WVN262187 E327723:F327723 JA327723:JB327723 SW327723:SX327723 ACS327723:ACT327723 AMO327723:AMP327723 AWK327723:AWL327723 BGG327723:BGH327723 BQC327723:BQD327723 BZY327723:BZZ327723 CJU327723:CJV327723 CTQ327723:CTR327723 DDM327723:DDN327723 DNI327723:DNJ327723 DXE327723:DXF327723 EHA327723:EHB327723 EQW327723:EQX327723 FAS327723:FAT327723 FKO327723:FKP327723 FUK327723:FUL327723 GEG327723:GEH327723 GOC327723:GOD327723 GXY327723:GXZ327723 HHU327723:HHV327723 HRQ327723:HRR327723 IBM327723:IBN327723 ILI327723:ILJ327723 IVE327723:IVF327723 JFA327723:JFB327723 JOW327723:JOX327723 JYS327723:JYT327723 KIO327723:KIP327723 KSK327723:KSL327723 LCG327723:LCH327723 LMC327723:LMD327723 LVY327723:LVZ327723 MFU327723:MFV327723 MPQ327723:MPR327723 MZM327723:MZN327723 NJI327723:NJJ327723 NTE327723:NTF327723 ODA327723:ODB327723 OMW327723:OMX327723 OWS327723:OWT327723 PGO327723:PGP327723 PQK327723:PQL327723 QAG327723:QAH327723 QKC327723:QKD327723 QTY327723:QTZ327723 RDU327723:RDV327723 RNQ327723:RNR327723 RXM327723:RXN327723 SHI327723:SHJ327723 SRE327723:SRF327723 TBA327723:TBB327723 TKW327723:TKX327723 TUS327723:TUT327723 UEO327723:UEP327723 UOK327723:UOL327723 UYG327723:UYH327723 VIC327723:VID327723 VRY327723:VRZ327723 WBU327723:WBV327723 WLQ327723:WLR327723 WVM327723:WVN327723 E393259:F393259 JA393259:JB393259 SW393259:SX393259 ACS393259:ACT393259 AMO393259:AMP393259 AWK393259:AWL393259 BGG393259:BGH393259 BQC393259:BQD393259 BZY393259:BZZ393259 CJU393259:CJV393259 CTQ393259:CTR393259 DDM393259:DDN393259 DNI393259:DNJ393259 DXE393259:DXF393259 EHA393259:EHB393259 EQW393259:EQX393259 FAS393259:FAT393259 FKO393259:FKP393259 FUK393259:FUL393259 GEG393259:GEH393259 GOC393259:GOD393259 GXY393259:GXZ393259 HHU393259:HHV393259 HRQ393259:HRR393259 IBM393259:IBN393259 ILI393259:ILJ393259 IVE393259:IVF393259 JFA393259:JFB393259 JOW393259:JOX393259 JYS393259:JYT393259 KIO393259:KIP393259 KSK393259:KSL393259 LCG393259:LCH393259 LMC393259:LMD393259 LVY393259:LVZ393259 MFU393259:MFV393259 MPQ393259:MPR393259 MZM393259:MZN393259 NJI393259:NJJ393259 NTE393259:NTF393259 ODA393259:ODB393259 OMW393259:OMX393259 OWS393259:OWT393259 PGO393259:PGP393259 PQK393259:PQL393259 QAG393259:QAH393259 QKC393259:QKD393259 QTY393259:QTZ393259 RDU393259:RDV393259 RNQ393259:RNR393259 RXM393259:RXN393259 SHI393259:SHJ393259 SRE393259:SRF393259 TBA393259:TBB393259 TKW393259:TKX393259 TUS393259:TUT393259 UEO393259:UEP393259 UOK393259:UOL393259 UYG393259:UYH393259 VIC393259:VID393259 VRY393259:VRZ393259 WBU393259:WBV393259 WLQ393259:WLR393259 WVM393259:WVN393259 E458795:F458795 JA458795:JB458795 SW458795:SX458795 ACS458795:ACT458795 AMO458795:AMP458795 AWK458795:AWL458795 BGG458795:BGH458795 BQC458795:BQD458795 BZY458795:BZZ458795 CJU458795:CJV458795 CTQ458795:CTR458795 DDM458795:DDN458795 DNI458795:DNJ458795 DXE458795:DXF458795 EHA458795:EHB458795 EQW458795:EQX458795 FAS458795:FAT458795 FKO458795:FKP458795 FUK458795:FUL458795 GEG458795:GEH458795 GOC458795:GOD458795 GXY458795:GXZ458795 HHU458795:HHV458795 HRQ458795:HRR458795 IBM458795:IBN458795 ILI458795:ILJ458795 IVE458795:IVF458795 JFA458795:JFB458795 JOW458795:JOX458795 JYS458795:JYT458795 KIO458795:KIP458795 KSK458795:KSL458795 LCG458795:LCH458795 LMC458795:LMD458795 LVY458795:LVZ458795 MFU458795:MFV458795 MPQ458795:MPR458795 MZM458795:MZN458795 NJI458795:NJJ458795 NTE458795:NTF458795 ODA458795:ODB458795 OMW458795:OMX458795 OWS458795:OWT458795 PGO458795:PGP458795 PQK458795:PQL458795 QAG458795:QAH458795 QKC458795:QKD458795 QTY458795:QTZ458795 RDU458795:RDV458795 RNQ458795:RNR458795 RXM458795:RXN458795 SHI458795:SHJ458795 SRE458795:SRF458795 TBA458795:TBB458795 TKW458795:TKX458795 TUS458795:TUT458795 UEO458795:UEP458795 UOK458795:UOL458795 UYG458795:UYH458795 VIC458795:VID458795 VRY458795:VRZ458795 WBU458795:WBV458795 WLQ458795:WLR458795 WVM458795:WVN458795 E524331:F524331 JA524331:JB524331 SW524331:SX524331 ACS524331:ACT524331 AMO524331:AMP524331 AWK524331:AWL524331 BGG524331:BGH524331 BQC524331:BQD524331 BZY524331:BZZ524331 CJU524331:CJV524331 CTQ524331:CTR524331 DDM524331:DDN524331 DNI524331:DNJ524331 DXE524331:DXF524331 EHA524331:EHB524331 EQW524331:EQX524331 FAS524331:FAT524331 FKO524331:FKP524331 FUK524331:FUL524331 GEG524331:GEH524331 GOC524331:GOD524331 GXY524331:GXZ524331 HHU524331:HHV524331 HRQ524331:HRR524331 IBM524331:IBN524331 ILI524331:ILJ524331 IVE524331:IVF524331 JFA524331:JFB524331 JOW524331:JOX524331 JYS524331:JYT524331 KIO524331:KIP524331 KSK524331:KSL524331 LCG524331:LCH524331 LMC524331:LMD524331 LVY524331:LVZ524331 MFU524331:MFV524331 MPQ524331:MPR524331 MZM524331:MZN524331 NJI524331:NJJ524331 NTE524331:NTF524331 ODA524331:ODB524331 OMW524331:OMX524331 OWS524331:OWT524331 PGO524331:PGP524331 PQK524331:PQL524331 QAG524331:QAH524331 QKC524331:QKD524331 QTY524331:QTZ524331 RDU524331:RDV524331 RNQ524331:RNR524331 RXM524331:RXN524331 SHI524331:SHJ524331 SRE524331:SRF524331 TBA524331:TBB524331 TKW524331:TKX524331 TUS524331:TUT524331 UEO524331:UEP524331 UOK524331:UOL524331 UYG524331:UYH524331 VIC524331:VID524331 VRY524331:VRZ524331 WBU524331:WBV524331 WLQ524331:WLR524331 WVM524331:WVN524331 E589867:F589867 JA589867:JB589867 SW589867:SX589867 ACS589867:ACT589867 AMO589867:AMP589867 AWK589867:AWL589867 BGG589867:BGH589867 BQC589867:BQD589867 BZY589867:BZZ589867 CJU589867:CJV589867 CTQ589867:CTR589867 DDM589867:DDN589867 DNI589867:DNJ589867 DXE589867:DXF589867 EHA589867:EHB589867 EQW589867:EQX589867 FAS589867:FAT589867 FKO589867:FKP589867 FUK589867:FUL589867 GEG589867:GEH589867 GOC589867:GOD589867 GXY589867:GXZ589867 HHU589867:HHV589867 HRQ589867:HRR589867 IBM589867:IBN589867 ILI589867:ILJ589867 IVE589867:IVF589867 JFA589867:JFB589867 JOW589867:JOX589867 JYS589867:JYT589867 KIO589867:KIP589867 KSK589867:KSL589867 LCG589867:LCH589867 LMC589867:LMD589867 LVY589867:LVZ589867 MFU589867:MFV589867 MPQ589867:MPR589867 MZM589867:MZN589867 NJI589867:NJJ589867 NTE589867:NTF589867 ODA589867:ODB589867 OMW589867:OMX589867 OWS589867:OWT589867 PGO589867:PGP589867 PQK589867:PQL589867 QAG589867:QAH589867 QKC589867:QKD589867 QTY589867:QTZ589867 RDU589867:RDV589867 RNQ589867:RNR589867 RXM589867:RXN589867 SHI589867:SHJ589867 SRE589867:SRF589867 TBA589867:TBB589867 TKW589867:TKX589867 TUS589867:TUT589867 UEO589867:UEP589867 UOK589867:UOL589867 UYG589867:UYH589867 VIC589867:VID589867 VRY589867:VRZ589867 WBU589867:WBV589867 WLQ589867:WLR589867 WVM589867:WVN589867 E655403:F655403 JA655403:JB655403 SW655403:SX655403 ACS655403:ACT655403 AMO655403:AMP655403 AWK655403:AWL655403 BGG655403:BGH655403 BQC655403:BQD655403 BZY655403:BZZ655403 CJU655403:CJV655403 CTQ655403:CTR655403 DDM655403:DDN655403 DNI655403:DNJ655403 DXE655403:DXF655403 EHA655403:EHB655403 EQW655403:EQX655403 FAS655403:FAT655403 FKO655403:FKP655403 FUK655403:FUL655403 GEG655403:GEH655403 GOC655403:GOD655403 GXY655403:GXZ655403 HHU655403:HHV655403 HRQ655403:HRR655403 IBM655403:IBN655403 ILI655403:ILJ655403 IVE655403:IVF655403 JFA655403:JFB655403 JOW655403:JOX655403 JYS655403:JYT655403 KIO655403:KIP655403 KSK655403:KSL655403 LCG655403:LCH655403 LMC655403:LMD655403 LVY655403:LVZ655403 MFU655403:MFV655403 MPQ655403:MPR655403 MZM655403:MZN655403 NJI655403:NJJ655403 NTE655403:NTF655403 ODA655403:ODB655403 OMW655403:OMX655403 OWS655403:OWT655403 PGO655403:PGP655403 PQK655403:PQL655403 QAG655403:QAH655403 QKC655403:QKD655403 QTY655403:QTZ655403 RDU655403:RDV655403 RNQ655403:RNR655403 RXM655403:RXN655403 SHI655403:SHJ655403 SRE655403:SRF655403 TBA655403:TBB655403 TKW655403:TKX655403 TUS655403:TUT655403 UEO655403:UEP655403 UOK655403:UOL655403 UYG655403:UYH655403 VIC655403:VID655403 VRY655403:VRZ655403 WBU655403:WBV655403 WLQ655403:WLR655403 WVM655403:WVN655403 E720939:F720939 JA720939:JB720939 SW720939:SX720939 ACS720939:ACT720939 AMO720939:AMP720939 AWK720939:AWL720939 BGG720939:BGH720939 BQC720939:BQD720939 BZY720939:BZZ720939 CJU720939:CJV720939 CTQ720939:CTR720939 DDM720939:DDN720939 DNI720939:DNJ720939 DXE720939:DXF720939 EHA720939:EHB720939 EQW720939:EQX720939 FAS720939:FAT720939 FKO720939:FKP720939 FUK720939:FUL720939 GEG720939:GEH720939 GOC720939:GOD720939 GXY720939:GXZ720939 HHU720939:HHV720939 HRQ720939:HRR720939 IBM720939:IBN720939 ILI720939:ILJ720939 IVE720939:IVF720939 JFA720939:JFB720939 JOW720939:JOX720939 JYS720939:JYT720939 KIO720939:KIP720939 KSK720939:KSL720939 LCG720939:LCH720939 LMC720939:LMD720939 LVY720939:LVZ720939 MFU720939:MFV720939 MPQ720939:MPR720939 MZM720939:MZN720939 NJI720939:NJJ720939 NTE720939:NTF720939 ODA720939:ODB720939 OMW720939:OMX720939 OWS720939:OWT720939 PGO720939:PGP720939 PQK720939:PQL720939 QAG720939:QAH720939 QKC720939:QKD720939 QTY720939:QTZ720939 RDU720939:RDV720939 RNQ720939:RNR720939 RXM720939:RXN720939 SHI720939:SHJ720939 SRE720939:SRF720939 TBA720939:TBB720939 TKW720939:TKX720939 TUS720939:TUT720939 UEO720939:UEP720939 UOK720939:UOL720939 UYG720939:UYH720939 VIC720939:VID720939 VRY720939:VRZ720939 WBU720939:WBV720939 WLQ720939:WLR720939 WVM720939:WVN720939 E786475:F786475 JA786475:JB786475 SW786475:SX786475 ACS786475:ACT786475 AMO786475:AMP786475 AWK786475:AWL786475 BGG786475:BGH786475 BQC786475:BQD786475 BZY786475:BZZ786475 CJU786475:CJV786475 CTQ786475:CTR786475 DDM786475:DDN786475 DNI786475:DNJ786475 DXE786475:DXF786475 EHA786475:EHB786475 EQW786475:EQX786475 FAS786475:FAT786475 FKO786475:FKP786475 FUK786475:FUL786475 GEG786475:GEH786475 GOC786475:GOD786475 GXY786475:GXZ786475 HHU786475:HHV786475 HRQ786475:HRR786475 IBM786475:IBN786475 ILI786475:ILJ786475 IVE786475:IVF786475 JFA786475:JFB786475 JOW786475:JOX786475 JYS786475:JYT786475 KIO786475:KIP786475 KSK786475:KSL786475 LCG786475:LCH786475 LMC786475:LMD786475 LVY786475:LVZ786475 MFU786475:MFV786475 MPQ786475:MPR786475 MZM786475:MZN786475 NJI786475:NJJ786475 NTE786475:NTF786475 ODA786475:ODB786475 OMW786475:OMX786475 OWS786475:OWT786475 PGO786475:PGP786475 PQK786475:PQL786475 QAG786475:QAH786475 QKC786475:QKD786475 QTY786475:QTZ786475 RDU786475:RDV786475 RNQ786475:RNR786475 RXM786475:RXN786475 SHI786475:SHJ786475 SRE786475:SRF786475 TBA786475:TBB786475 TKW786475:TKX786475 TUS786475:TUT786475 UEO786475:UEP786475 UOK786475:UOL786475 UYG786475:UYH786475 VIC786475:VID786475 VRY786475:VRZ786475 WBU786475:WBV786475 WLQ786475:WLR786475 WVM786475:WVN786475 E852011:F852011 JA852011:JB852011 SW852011:SX852011 ACS852011:ACT852011 AMO852011:AMP852011 AWK852011:AWL852011 BGG852011:BGH852011 BQC852011:BQD852011 BZY852011:BZZ852011 CJU852011:CJV852011 CTQ852011:CTR852011 DDM852011:DDN852011 DNI852011:DNJ852011 DXE852011:DXF852011 EHA852011:EHB852011 EQW852011:EQX852011 FAS852011:FAT852011 FKO852011:FKP852011 FUK852011:FUL852011 GEG852011:GEH852011 GOC852011:GOD852011 GXY852011:GXZ852011 HHU852011:HHV852011 HRQ852011:HRR852011 IBM852011:IBN852011 ILI852011:ILJ852011 IVE852011:IVF852011 JFA852011:JFB852011 JOW852011:JOX852011 JYS852011:JYT852011 KIO852011:KIP852011 KSK852011:KSL852011 LCG852011:LCH852011 LMC852011:LMD852011 LVY852011:LVZ852011 MFU852011:MFV852011 MPQ852011:MPR852011 MZM852011:MZN852011 NJI852011:NJJ852011 NTE852011:NTF852011 ODA852011:ODB852011 OMW852011:OMX852011 OWS852011:OWT852011 PGO852011:PGP852011 PQK852011:PQL852011 QAG852011:QAH852011 QKC852011:QKD852011 QTY852011:QTZ852011 RDU852011:RDV852011 RNQ852011:RNR852011 RXM852011:RXN852011 SHI852011:SHJ852011 SRE852011:SRF852011 TBA852011:TBB852011 TKW852011:TKX852011 TUS852011:TUT852011 UEO852011:UEP852011 UOK852011:UOL852011 UYG852011:UYH852011 VIC852011:VID852011 VRY852011:VRZ852011 WBU852011:WBV852011 WLQ852011:WLR852011 WVM852011:WVN852011 E917547:F917547 JA917547:JB917547 SW917547:SX917547 ACS917547:ACT917547 AMO917547:AMP917547 AWK917547:AWL917547 BGG917547:BGH917547 BQC917547:BQD917547 BZY917547:BZZ917547 CJU917547:CJV917547 CTQ917547:CTR917547 DDM917547:DDN917547 DNI917547:DNJ917547 DXE917547:DXF917547 EHA917547:EHB917547 EQW917547:EQX917547 FAS917547:FAT917547 FKO917547:FKP917547 FUK917547:FUL917547 GEG917547:GEH917547 GOC917547:GOD917547 GXY917547:GXZ917547 HHU917547:HHV917547 HRQ917547:HRR917547 IBM917547:IBN917547 ILI917547:ILJ917547 IVE917547:IVF917547 JFA917547:JFB917547 JOW917547:JOX917547 JYS917547:JYT917547 KIO917547:KIP917547 KSK917547:KSL917547 LCG917547:LCH917547 LMC917547:LMD917547 LVY917547:LVZ917547 MFU917547:MFV917547 MPQ917547:MPR917547 MZM917547:MZN917547 NJI917547:NJJ917547 NTE917547:NTF917547 ODA917547:ODB917547 OMW917547:OMX917547 OWS917547:OWT917547 PGO917547:PGP917547 PQK917547:PQL917547 QAG917547:QAH917547 QKC917547:QKD917547 QTY917547:QTZ917547 RDU917547:RDV917547 RNQ917547:RNR917547 RXM917547:RXN917547 SHI917547:SHJ917547 SRE917547:SRF917547 TBA917547:TBB917547 TKW917547:TKX917547 TUS917547:TUT917547 UEO917547:UEP917547 UOK917547:UOL917547 UYG917547:UYH917547 VIC917547:VID917547 VRY917547:VRZ917547 WBU917547:WBV917547 WLQ917547:WLR917547 WVM917547:WVN917547 E983083:F983083 JA983083:JB983083 SW983083:SX983083 ACS983083:ACT983083 AMO983083:AMP983083 AWK983083:AWL983083 BGG983083:BGH983083 BQC983083:BQD983083 BZY983083:BZZ983083 CJU983083:CJV983083 CTQ983083:CTR983083 DDM983083:DDN983083 DNI983083:DNJ983083 DXE983083:DXF983083 EHA983083:EHB983083 EQW983083:EQX983083 FAS983083:FAT983083 FKO983083:FKP983083 FUK983083:FUL983083 GEG983083:GEH983083 GOC983083:GOD983083 GXY983083:GXZ983083 HHU983083:HHV983083 HRQ983083:HRR983083 IBM983083:IBN983083 ILI983083:ILJ983083 IVE983083:IVF983083 JFA983083:JFB983083 JOW983083:JOX983083 JYS983083:JYT983083 KIO983083:KIP983083 KSK983083:KSL983083 LCG983083:LCH983083 LMC983083:LMD983083 LVY983083:LVZ983083 MFU983083:MFV983083 MPQ983083:MPR983083 MZM983083:MZN983083 NJI983083:NJJ983083 NTE983083:NTF983083 ODA983083:ODB983083 OMW983083:OMX983083 OWS983083:OWT983083 PGO983083:PGP983083 PQK983083:PQL983083 QAG983083:QAH983083 QKC983083:QKD983083 QTY983083:QTZ983083 RDU983083:RDV983083 RNQ983083:RNR983083 RXM983083:RXN983083 SHI983083:SHJ983083 SRE983083:SRF983083 TBA983083:TBB983083 TKW983083:TKX983083 TUS983083:TUT983083 UEO983083:UEP983083 UOK983083:UOL983083 UYG983083:UYH983083 VIC983083:VID983083 VRY983083:VRZ983083 WBU983083:WBV983083 WLQ983083:WLR983083 WVM983083:WVN983083">
      <formula1>$CF$3:$CF$5</formula1>
    </dataValidation>
  </dataValidation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V141"/>
  <sheetViews>
    <sheetView showGridLines="0" topLeftCell="A9" zoomScaleNormal="100" zoomScaleSheetLayoutView="70" zoomScalePageLayoutView="85" workbookViewId="0">
      <selection activeCell="B27" sqref="B27"/>
    </sheetView>
  </sheetViews>
  <sheetFormatPr baseColWidth="10" defaultRowHeight="9" x14ac:dyDescent="0.15"/>
  <cols>
    <col min="1" max="1" width="38.140625" style="2778" customWidth="1"/>
    <col min="2" max="4" width="12.28515625" style="2778" customWidth="1"/>
    <col min="5" max="5" width="12.28515625" style="2780" customWidth="1"/>
    <col min="6" max="22" width="12.28515625" style="2778" customWidth="1"/>
    <col min="23" max="16384" width="11.42578125" style="2778"/>
  </cols>
  <sheetData>
    <row r="1" spans="1:22" hidden="1" x14ac:dyDescent="0.15">
      <c r="A1" s="2778" t="s">
        <v>3085</v>
      </c>
      <c r="B1" s="2779">
        <f>B2/1000</f>
        <v>0.83783754999999993</v>
      </c>
    </row>
    <row r="2" spans="1:22" hidden="1" x14ac:dyDescent="0.15">
      <c r="A2" s="2778" t="s">
        <v>3086</v>
      </c>
      <c r="B2" s="2778">
        <f>VLOOKUP('Info Entrada'!E1,General!$C$36:$F$129,4,0)</f>
        <v>837.83754999999996</v>
      </c>
    </row>
    <row r="3" spans="1:22" hidden="1" x14ac:dyDescent="0.15">
      <c r="A3" s="2778" t="s">
        <v>544</v>
      </c>
      <c r="B3" s="2779">
        <f>B4/1000</f>
        <v>3.7222636499999999</v>
      </c>
    </row>
    <row r="4" spans="1:22" hidden="1" x14ac:dyDescent="0.15">
      <c r="A4" s="2778" t="s">
        <v>1295</v>
      </c>
      <c r="B4" s="2779">
        <f>VLOOKUP('Info Entrada'!E1,General!$C$36:$F$129,3,0)</f>
        <v>3722.2636499999999</v>
      </c>
    </row>
    <row r="5" spans="1:22" hidden="1" x14ac:dyDescent="0.15">
      <c r="A5" s="2778" t="s">
        <v>1302</v>
      </c>
      <c r="B5" s="2779">
        <f>B6/1000</f>
        <v>3.2497500000000001</v>
      </c>
    </row>
    <row r="6" spans="1:22" hidden="1" x14ac:dyDescent="0.15">
      <c r="A6" s="2778" t="s">
        <v>1303</v>
      </c>
      <c r="B6" s="2779">
        <f>VLOOKUP('Info Entrada'!E1,General!$C$36:$F$129,2,0)</f>
        <v>3249.75</v>
      </c>
    </row>
    <row r="7" spans="1:22" hidden="1" x14ac:dyDescent="0.15">
      <c r="A7" s="2778" t="s">
        <v>543</v>
      </c>
      <c r="B7" s="2779">
        <v>1</v>
      </c>
      <c r="D7" s="2781"/>
      <c r="F7" s="2781"/>
      <c r="G7" s="2781"/>
      <c r="H7" s="2781"/>
    </row>
    <row r="8" spans="1:22" hidden="1" x14ac:dyDescent="0.15">
      <c r="A8" s="2778">
        <f>VLOOKUP(B10,$A$1:$B$7,2,0)</f>
        <v>1</v>
      </c>
      <c r="D8" s="2781"/>
      <c r="F8" s="2781"/>
      <c r="G8" s="2781"/>
      <c r="H8" s="2781"/>
    </row>
    <row r="9" spans="1:22" ht="9.75" thickBot="1" x14ac:dyDescent="0.2">
      <c r="D9" s="2781"/>
      <c r="F9" s="2781"/>
      <c r="G9" s="2781"/>
      <c r="H9" s="2781"/>
    </row>
    <row r="10" spans="1:22" ht="9.75" thickBot="1" x14ac:dyDescent="0.2">
      <c r="A10" s="2408" t="s">
        <v>1195</v>
      </c>
      <c r="B10" s="2782" t="s">
        <v>543</v>
      </c>
      <c r="C10" s="2783"/>
      <c r="D10" s="2784"/>
      <c r="E10" s="2785"/>
      <c r="F10" s="2785" t="s">
        <v>103</v>
      </c>
      <c r="G10" s="2781"/>
      <c r="H10" s="2781"/>
    </row>
    <row r="11" spans="1:22" x14ac:dyDescent="0.15">
      <c r="C11" s="2783"/>
      <c r="D11" s="2785" t="s">
        <v>845</v>
      </c>
      <c r="E11" s="2785"/>
      <c r="F11" s="2785"/>
      <c r="G11" s="2781"/>
      <c r="H11" s="2781"/>
    </row>
    <row r="12" spans="1:22" x14ac:dyDescent="0.15">
      <c r="A12" s="2786"/>
      <c r="B12" s="2787">
        <f>'Info Entrada'!C1</f>
        <v>42735</v>
      </c>
      <c r="C12" s="2787">
        <f>'Info Entrada'!D1</f>
        <v>43100</v>
      </c>
      <c r="D12" s="2788">
        <f>'Info Entrada'!E1</f>
        <v>43465</v>
      </c>
      <c r="E12" s="2789">
        <f>'Info Entrada'!H1</f>
        <v>43830</v>
      </c>
      <c r="F12" s="2789">
        <f>'Info Entrada'!I1</f>
        <v>44196</v>
      </c>
      <c r="G12" s="2789">
        <f>'Info Entrada'!J1</f>
        <v>44561</v>
      </c>
      <c r="H12" s="2789">
        <f>'Info Entrada'!K1</f>
        <v>44926</v>
      </c>
      <c r="I12" s="2789">
        <f>'Info Entrada'!L1</f>
        <v>45291</v>
      </c>
      <c r="J12" s="2789">
        <f>'Info Entrada'!M1</f>
        <v>45657</v>
      </c>
      <c r="K12" s="2789">
        <f>'Info Entrada'!N1</f>
        <v>46022</v>
      </c>
      <c r="L12" s="2789">
        <f>'Info Entrada'!O1</f>
        <v>46387</v>
      </c>
      <c r="M12" s="2789">
        <f>'Info Entrada'!P1</f>
        <v>46752</v>
      </c>
      <c r="N12" s="2789">
        <f>'Info Entrada'!Q1</f>
        <v>47118</v>
      </c>
      <c r="O12" s="2789">
        <f>'Info Entrada'!R1</f>
        <v>47483</v>
      </c>
      <c r="P12" s="2789">
        <f>'Info Entrada'!S1</f>
        <v>47848</v>
      </c>
      <c r="Q12" s="2789">
        <f>'Info Entrada'!T1</f>
        <v>48213</v>
      </c>
      <c r="R12" s="2789">
        <f>'Info Entrada'!U1</f>
        <v>48579</v>
      </c>
      <c r="S12" s="2789">
        <f>'Info Entrada'!V1</f>
        <v>48944</v>
      </c>
      <c r="T12" s="2789">
        <f>'Info Entrada'!W1</f>
        <v>49309</v>
      </c>
      <c r="U12" s="2788">
        <f>'Info Entrada'!F1</f>
        <v>43281</v>
      </c>
      <c r="V12" s="2790">
        <f>'Info Entrada'!G1</f>
        <v>43646</v>
      </c>
    </row>
    <row r="13" spans="1:22" x14ac:dyDescent="0.15">
      <c r="A13" s="2791" t="s">
        <v>1085</v>
      </c>
      <c r="B13" s="2792">
        <f>'Info Entrada'!C77/$A$8</f>
        <v>0</v>
      </c>
      <c r="C13" s="2792">
        <f>'Info Entrada'!D77/$A$8</f>
        <v>0</v>
      </c>
      <c r="D13" s="2793">
        <f>'Info Entrada'!E77/$A$8</f>
        <v>0</v>
      </c>
      <c r="E13" s="2792">
        <f>'Info Entrada'!H77/$A$8</f>
        <v>0</v>
      </c>
      <c r="F13" s="2794">
        <f>'Info Entrada'!I77/$A$8</f>
        <v>0</v>
      </c>
      <c r="G13" s="2794">
        <f>'Info Entrada'!J77/$A$8</f>
        <v>0</v>
      </c>
      <c r="H13" s="2794">
        <f>'Info Entrada'!K77/$A$8</f>
        <v>0</v>
      </c>
      <c r="I13" s="2794">
        <f>'Info Entrada'!L77/$A$8</f>
        <v>0</v>
      </c>
      <c r="J13" s="2794">
        <f>'Info Entrada'!M77/$A$8</f>
        <v>0</v>
      </c>
      <c r="K13" s="2794">
        <f>'Info Entrada'!N77/$A$8</f>
        <v>0</v>
      </c>
      <c r="L13" s="2794">
        <f>'Info Entrada'!O77/$A$8</f>
        <v>0</v>
      </c>
      <c r="M13" s="2794">
        <f>'Info Entrada'!P77/$A$8</f>
        <v>0</v>
      </c>
      <c r="N13" s="2794">
        <f>'Info Entrada'!Q77/$A$8</f>
        <v>0</v>
      </c>
      <c r="O13" s="2794">
        <f>'Info Entrada'!R77/$A$8</f>
        <v>0</v>
      </c>
      <c r="P13" s="2794">
        <f>'Info Entrada'!S77/$A$8</f>
        <v>0</v>
      </c>
      <c r="Q13" s="2794">
        <f>'Info Entrada'!T77/$A$8</f>
        <v>0</v>
      </c>
      <c r="R13" s="2794">
        <f>'Info Entrada'!U77/$A$8</f>
        <v>0</v>
      </c>
      <c r="S13" s="2794">
        <f>'Info Entrada'!V77/$A$8</f>
        <v>0</v>
      </c>
      <c r="T13" s="2794">
        <f>'Info Entrada'!W77/$A$8</f>
        <v>0</v>
      </c>
      <c r="U13" s="2792">
        <f>'Info Entrada'!F77/$A$8</f>
        <v>0</v>
      </c>
      <c r="V13" s="2792">
        <f>'Info Entrada'!G77/$A$8</f>
        <v>0</v>
      </c>
    </row>
    <row r="14" spans="1:22" x14ac:dyDescent="0.15">
      <c r="A14" s="2795" t="s">
        <v>1118</v>
      </c>
      <c r="B14" s="2796">
        <f>-'Info Entrada'!C89/$A$8</f>
        <v>0</v>
      </c>
      <c r="C14" s="2796">
        <f>-'Info Entrada'!D89/$A$8</f>
        <v>0</v>
      </c>
      <c r="D14" s="2797">
        <f>-'Info Entrada'!E89/$A$8</f>
        <v>0</v>
      </c>
      <c r="E14" s="2796">
        <f>-'Info Entrada'!H89/$A$8</f>
        <v>0</v>
      </c>
      <c r="F14" s="2798">
        <f>-'Info Entrada'!I89/$A$8</f>
        <v>0</v>
      </c>
      <c r="G14" s="2798">
        <f>-'Info Entrada'!J89/$A$8</f>
        <v>0</v>
      </c>
      <c r="H14" s="2798">
        <f>-'Info Entrada'!K89/$A$8</f>
        <v>0</v>
      </c>
      <c r="I14" s="2798">
        <f>-'Info Entrada'!L89/$A$8</f>
        <v>0</v>
      </c>
      <c r="J14" s="2798">
        <f>-'Info Entrada'!M89/$A$8</f>
        <v>0</v>
      </c>
      <c r="K14" s="2798">
        <f>-'Info Entrada'!N89/$A$8</f>
        <v>0</v>
      </c>
      <c r="L14" s="2798">
        <f>-'Info Entrada'!O89/$A$8</f>
        <v>0</v>
      </c>
      <c r="M14" s="2798">
        <f>-'Info Entrada'!P89/$A$8</f>
        <v>0</v>
      </c>
      <c r="N14" s="2798">
        <f>-'Info Entrada'!Q89/$A$8</f>
        <v>0</v>
      </c>
      <c r="O14" s="2798">
        <f>-'Info Entrada'!R89/$A$8</f>
        <v>0</v>
      </c>
      <c r="P14" s="2798">
        <f>-'Info Entrada'!S89/$A$8</f>
        <v>0</v>
      </c>
      <c r="Q14" s="2798">
        <f>-'Info Entrada'!T89/$A$8</f>
        <v>0</v>
      </c>
      <c r="R14" s="2798">
        <f>-'Info Entrada'!U89/$A$8</f>
        <v>0</v>
      </c>
      <c r="S14" s="2798">
        <f>-'Info Entrada'!V89/$A$8</f>
        <v>0</v>
      </c>
      <c r="T14" s="2798">
        <f>-'Info Entrada'!W89/$A$8</f>
        <v>0</v>
      </c>
      <c r="U14" s="2796">
        <f>-'Info Entrada'!F89/$A$8</f>
        <v>0</v>
      </c>
      <c r="V14" s="2796">
        <f>-'Info Entrada'!G89/$A$8</f>
        <v>0</v>
      </c>
    </row>
    <row r="15" spans="1:22" ht="9.75" thickBot="1" x14ac:dyDescent="0.2">
      <c r="A15" s="2799" t="s">
        <v>1142</v>
      </c>
      <c r="B15" s="2800">
        <f>SUM(B13:B14)</f>
        <v>0</v>
      </c>
      <c r="C15" s="2800">
        <f>SUM(C13:C14)</f>
        <v>0</v>
      </c>
      <c r="D15" s="2801">
        <f>SUM(D13:D14)</f>
        <v>0</v>
      </c>
      <c r="E15" s="2800">
        <f t="shared" ref="E15:T15" si="0">SUM(E13:E14)</f>
        <v>0</v>
      </c>
      <c r="F15" s="2802">
        <f t="shared" si="0"/>
        <v>0</v>
      </c>
      <c r="G15" s="2802">
        <f t="shared" si="0"/>
        <v>0</v>
      </c>
      <c r="H15" s="2802">
        <f t="shared" si="0"/>
        <v>0</v>
      </c>
      <c r="I15" s="2802">
        <f t="shared" si="0"/>
        <v>0</v>
      </c>
      <c r="J15" s="2802">
        <f t="shared" si="0"/>
        <v>0</v>
      </c>
      <c r="K15" s="2802">
        <f t="shared" si="0"/>
        <v>0</v>
      </c>
      <c r="L15" s="2802">
        <f t="shared" si="0"/>
        <v>0</v>
      </c>
      <c r="M15" s="2802">
        <f t="shared" si="0"/>
        <v>0</v>
      </c>
      <c r="N15" s="2802">
        <f t="shared" si="0"/>
        <v>0</v>
      </c>
      <c r="O15" s="2802">
        <f t="shared" si="0"/>
        <v>0</v>
      </c>
      <c r="P15" s="2802">
        <f t="shared" si="0"/>
        <v>0</v>
      </c>
      <c r="Q15" s="2802">
        <f t="shared" si="0"/>
        <v>0</v>
      </c>
      <c r="R15" s="2802">
        <f t="shared" si="0"/>
        <v>0</v>
      </c>
      <c r="S15" s="2802">
        <f t="shared" si="0"/>
        <v>0</v>
      </c>
      <c r="T15" s="2802">
        <f t="shared" si="0"/>
        <v>0</v>
      </c>
      <c r="U15" s="2800">
        <f>SUM(U13:U14)</f>
        <v>0</v>
      </c>
      <c r="V15" s="2800">
        <f>SUM(V13:V14)</f>
        <v>0</v>
      </c>
    </row>
    <row r="16" spans="1:22" x14ac:dyDescent="0.15">
      <c r="A16" s="2803" t="s">
        <v>1119</v>
      </c>
      <c r="B16" s="2804">
        <f>(-'Info Entrada'!C94-'Info Entrada'!C103)/$A$8</f>
        <v>0</v>
      </c>
      <c r="C16" s="2804">
        <f>(-'Info Entrada'!D94-'Info Entrada'!D103)/$A$8</f>
        <v>0</v>
      </c>
      <c r="D16" s="2805">
        <f>(-'Info Entrada'!E94-'Info Entrada'!E103)/$A$8</f>
        <v>0</v>
      </c>
      <c r="E16" s="2804">
        <f>(-'Info Entrada'!H94-'Info Entrada'!H103)/$A$8</f>
        <v>0</v>
      </c>
      <c r="F16" s="2806">
        <f>(-'Info Entrada'!I94-'Info Entrada'!I103)/$A$8</f>
        <v>0</v>
      </c>
      <c r="G16" s="2806">
        <f>(-'Info Entrada'!J94-'Info Entrada'!J103)/$A$8</f>
        <v>0</v>
      </c>
      <c r="H16" s="2806">
        <f>(-'Info Entrada'!K94-'Info Entrada'!K103)/$A$8</f>
        <v>0</v>
      </c>
      <c r="I16" s="2806">
        <f>(-'Info Entrada'!L94-'Info Entrada'!L103)/$A$8</f>
        <v>0</v>
      </c>
      <c r="J16" s="2806">
        <f>(-'Info Entrada'!M94-'Info Entrada'!M103)/$A$8</f>
        <v>0</v>
      </c>
      <c r="K16" s="2806">
        <f>(-'Info Entrada'!N94-'Info Entrada'!N103)/$A$8</f>
        <v>0</v>
      </c>
      <c r="L16" s="2806">
        <f>(-'Info Entrada'!O94-'Info Entrada'!O103)/$A$8</f>
        <v>0</v>
      </c>
      <c r="M16" s="2806">
        <f>(-'Info Entrada'!P94-'Info Entrada'!P103)/$A$8</f>
        <v>0</v>
      </c>
      <c r="N16" s="2806">
        <f>(-'Info Entrada'!Q94-'Info Entrada'!Q103)/$A$8</f>
        <v>0</v>
      </c>
      <c r="O16" s="2806">
        <f>(-'Info Entrada'!R94-'Info Entrada'!R103)/$A$8</f>
        <v>0</v>
      </c>
      <c r="P16" s="2806">
        <f>(-'Info Entrada'!S94-'Info Entrada'!S103)/$A$8</f>
        <v>0</v>
      </c>
      <c r="Q16" s="2806">
        <f>(-'Info Entrada'!T94-'Info Entrada'!T103)/$A$8</f>
        <v>0</v>
      </c>
      <c r="R16" s="2806">
        <f>(-'Info Entrada'!U94-'Info Entrada'!U103)/$A$8</f>
        <v>0</v>
      </c>
      <c r="S16" s="2806">
        <f>(-'Info Entrada'!V94-'Info Entrada'!V103)/$A$8</f>
        <v>0</v>
      </c>
      <c r="T16" s="2806">
        <f>(-'Info Entrada'!W94-'Info Entrada'!W103)/$A$8</f>
        <v>0</v>
      </c>
      <c r="U16" s="2804">
        <f>(-'Info Entrada'!F94-'Info Entrada'!F103)/$A$8</f>
        <v>0</v>
      </c>
      <c r="V16" s="2804">
        <f>(-'Info Entrada'!G94-'Info Entrada'!G103)/$A$8</f>
        <v>0</v>
      </c>
    </row>
    <row r="17" spans="1:22" x14ac:dyDescent="0.15">
      <c r="A17" s="2795" t="s">
        <v>1120</v>
      </c>
      <c r="B17" s="2796">
        <f>'Info Entrada'!C111/$A$8</f>
        <v>0</v>
      </c>
      <c r="C17" s="2796">
        <f>'Info Entrada'!D111/$A$8</f>
        <v>0</v>
      </c>
      <c r="D17" s="2797">
        <f>'Info Entrada'!E111/$A$8</f>
        <v>0</v>
      </c>
      <c r="E17" s="2796">
        <f>'Info Entrada'!H111/$A$8</f>
        <v>0</v>
      </c>
      <c r="F17" s="2798">
        <f>'Info Entrada'!I111/$A$8</f>
        <v>0</v>
      </c>
      <c r="G17" s="2798">
        <f>'Info Entrada'!J111/$A$8</f>
        <v>0</v>
      </c>
      <c r="H17" s="2798">
        <f>'Info Entrada'!K111/$A$8</f>
        <v>0</v>
      </c>
      <c r="I17" s="2798">
        <f>'Info Entrada'!L111/$A$8</f>
        <v>0</v>
      </c>
      <c r="J17" s="2798">
        <f>'Info Entrada'!M111/$A$8</f>
        <v>0</v>
      </c>
      <c r="K17" s="2798">
        <f>'Info Entrada'!N111/$A$8</f>
        <v>0</v>
      </c>
      <c r="L17" s="2798">
        <f>'Info Entrada'!O111/$A$8</f>
        <v>0</v>
      </c>
      <c r="M17" s="2798">
        <f>'Info Entrada'!P111/$A$8</f>
        <v>0</v>
      </c>
      <c r="N17" s="2798">
        <f>'Info Entrada'!Q111/$A$8</f>
        <v>0</v>
      </c>
      <c r="O17" s="2798">
        <f>'Info Entrada'!R111/$A$8</f>
        <v>0</v>
      </c>
      <c r="P17" s="2798">
        <f>'Info Entrada'!S111/$A$8</f>
        <v>0</v>
      </c>
      <c r="Q17" s="2798">
        <f>'Info Entrada'!T111/$A$8</f>
        <v>0</v>
      </c>
      <c r="R17" s="2798">
        <f>'Info Entrada'!U111/$A$8</f>
        <v>0</v>
      </c>
      <c r="S17" s="2798">
        <f>'Info Entrada'!V111/$A$8</f>
        <v>0</v>
      </c>
      <c r="T17" s="2798">
        <f>'Info Entrada'!W111/$A$8</f>
        <v>0</v>
      </c>
      <c r="U17" s="2796">
        <f>'Info Entrada'!F111/$A$8</f>
        <v>0</v>
      </c>
      <c r="V17" s="2796">
        <f>'Info Entrada'!G111/$A$8</f>
        <v>0</v>
      </c>
    </row>
    <row r="18" spans="1:22" ht="9.75" thickBot="1" x14ac:dyDescent="0.2">
      <c r="A18" s="2807" t="s">
        <v>1124</v>
      </c>
      <c r="B18" s="2808">
        <f>-'Info Entrada'!C110/$A$8</f>
        <v>0</v>
      </c>
      <c r="C18" s="2808">
        <f>-'Info Entrada'!D110/$A$8</f>
        <v>0</v>
      </c>
      <c r="D18" s="2809">
        <f>-'Info Entrada'!E110/$A$8</f>
        <v>0</v>
      </c>
      <c r="E18" s="2808">
        <f>-'Info Entrada'!H110/$A$8</f>
        <v>0</v>
      </c>
      <c r="F18" s="2810">
        <f>-'Info Entrada'!I110/$A$8</f>
        <v>0</v>
      </c>
      <c r="G18" s="2810">
        <f>-'Info Entrada'!J110/$A$8</f>
        <v>0</v>
      </c>
      <c r="H18" s="2810">
        <f>-'Info Entrada'!K110/$A$8</f>
        <v>0</v>
      </c>
      <c r="I18" s="2810">
        <f>-'Info Entrada'!L110/$A$8</f>
        <v>0</v>
      </c>
      <c r="J18" s="2810">
        <f>-'Info Entrada'!M110/$A$8</f>
        <v>0</v>
      </c>
      <c r="K18" s="2810">
        <f>-'Info Entrada'!N110/$A$8</f>
        <v>0</v>
      </c>
      <c r="L18" s="2810">
        <f>-'Info Entrada'!O110/$A$8</f>
        <v>0</v>
      </c>
      <c r="M18" s="2810">
        <f>-'Info Entrada'!P110/$A$8</f>
        <v>0</v>
      </c>
      <c r="N18" s="2810">
        <f>-'Info Entrada'!Q110/$A$8</f>
        <v>0</v>
      </c>
      <c r="O18" s="2810">
        <f>-'Info Entrada'!R110/$A$8</f>
        <v>0</v>
      </c>
      <c r="P18" s="2810">
        <f>-'Info Entrada'!S110/$A$8</f>
        <v>0</v>
      </c>
      <c r="Q18" s="2810">
        <f>-'Info Entrada'!T110/$A$8</f>
        <v>0</v>
      </c>
      <c r="R18" s="2810">
        <f>-'Info Entrada'!U110/$A$8</f>
        <v>0</v>
      </c>
      <c r="S18" s="2810">
        <f>-'Info Entrada'!V110/$A$8</f>
        <v>0</v>
      </c>
      <c r="T18" s="2810">
        <f>-'Info Entrada'!W110/$A$8</f>
        <v>0</v>
      </c>
      <c r="U18" s="2808">
        <f>-'Info Entrada'!F110/$A$8</f>
        <v>0</v>
      </c>
      <c r="V18" s="2808">
        <f>-'Info Entrada'!G110/$A$8</f>
        <v>0</v>
      </c>
    </row>
    <row r="19" spans="1:22" ht="9.75" thickBot="1" x14ac:dyDescent="0.2">
      <c r="A19" s="2811" t="s">
        <v>1143</v>
      </c>
      <c r="B19" s="2812">
        <f>SUM(B15:B18)</f>
        <v>0</v>
      </c>
      <c r="C19" s="2812">
        <f>SUM(C15:C18)</f>
        <v>0</v>
      </c>
      <c r="D19" s="2813">
        <f>SUM(D15:D18)</f>
        <v>0</v>
      </c>
      <c r="E19" s="2812">
        <f t="shared" ref="E19:T19" si="1">SUM(E15:E18)</f>
        <v>0</v>
      </c>
      <c r="F19" s="2814">
        <f t="shared" si="1"/>
        <v>0</v>
      </c>
      <c r="G19" s="2814">
        <f t="shared" si="1"/>
        <v>0</v>
      </c>
      <c r="H19" s="2814">
        <f t="shared" si="1"/>
        <v>0</v>
      </c>
      <c r="I19" s="2814">
        <f t="shared" si="1"/>
        <v>0</v>
      </c>
      <c r="J19" s="2814">
        <f t="shared" si="1"/>
        <v>0</v>
      </c>
      <c r="K19" s="2814">
        <f t="shared" si="1"/>
        <v>0</v>
      </c>
      <c r="L19" s="2814">
        <f t="shared" si="1"/>
        <v>0</v>
      </c>
      <c r="M19" s="2814">
        <f t="shared" si="1"/>
        <v>0</v>
      </c>
      <c r="N19" s="2814">
        <f t="shared" si="1"/>
        <v>0</v>
      </c>
      <c r="O19" s="2814">
        <f t="shared" si="1"/>
        <v>0</v>
      </c>
      <c r="P19" s="2814">
        <f t="shared" si="1"/>
        <v>0</v>
      </c>
      <c r="Q19" s="2814">
        <f t="shared" si="1"/>
        <v>0</v>
      </c>
      <c r="R19" s="2814">
        <f t="shared" si="1"/>
        <v>0</v>
      </c>
      <c r="S19" s="2814">
        <f t="shared" si="1"/>
        <v>0</v>
      </c>
      <c r="T19" s="2814">
        <f t="shared" si="1"/>
        <v>0</v>
      </c>
      <c r="U19" s="2812">
        <f>SUM(U15:U18)</f>
        <v>0</v>
      </c>
      <c r="V19" s="2812">
        <f>SUM(V15:V18)</f>
        <v>0</v>
      </c>
    </row>
    <row r="20" spans="1:22" x14ac:dyDescent="0.15">
      <c r="A20" s="2815" t="s">
        <v>1144</v>
      </c>
      <c r="B20" s="2816">
        <f>IF(B19&lt;&gt;0,B19/B13,0)</f>
        <v>0</v>
      </c>
      <c r="C20" s="2816">
        <f t="shared" ref="C20:T20" si="2">IF(C19&lt;&gt;0,C19/C13,0)</f>
        <v>0</v>
      </c>
      <c r="D20" s="2817">
        <f t="shared" si="2"/>
        <v>0</v>
      </c>
      <c r="E20" s="2816">
        <f t="shared" si="2"/>
        <v>0</v>
      </c>
      <c r="F20" s="2816">
        <f t="shared" si="2"/>
        <v>0</v>
      </c>
      <c r="G20" s="2816">
        <f t="shared" si="2"/>
        <v>0</v>
      </c>
      <c r="H20" s="2816">
        <f t="shared" si="2"/>
        <v>0</v>
      </c>
      <c r="I20" s="2816">
        <f t="shared" si="2"/>
        <v>0</v>
      </c>
      <c r="J20" s="2816">
        <f t="shared" si="2"/>
        <v>0</v>
      </c>
      <c r="K20" s="2816">
        <f t="shared" si="2"/>
        <v>0</v>
      </c>
      <c r="L20" s="2816">
        <f t="shared" si="2"/>
        <v>0</v>
      </c>
      <c r="M20" s="2816">
        <f t="shared" si="2"/>
        <v>0</v>
      </c>
      <c r="N20" s="2816">
        <f t="shared" si="2"/>
        <v>0</v>
      </c>
      <c r="O20" s="2816">
        <f t="shared" si="2"/>
        <v>0</v>
      </c>
      <c r="P20" s="2816">
        <f t="shared" si="2"/>
        <v>0</v>
      </c>
      <c r="Q20" s="2816">
        <f t="shared" si="2"/>
        <v>0</v>
      </c>
      <c r="R20" s="2816">
        <f t="shared" si="2"/>
        <v>0</v>
      </c>
      <c r="S20" s="2816">
        <f t="shared" si="2"/>
        <v>0</v>
      </c>
      <c r="T20" s="2816">
        <f t="shared" si="2"/>
        <v>0</v>
      </c>
      <c r="U20" s="2816">
        <f>IF(U19&lt;&gt;0,U19/U13,0)</f>
        <v>0</v>
      </c>
      <c r="V20" s="2816">
        <f>IF(V19&lt;&gt;0,V19/V13,0)</f>
        <v>0</v>
      </c>
    </row>
    <row r="21" spans="1:22" x14ac:dyDescent="0.15">
      <c r="A21" s="2795" t="s">
        <v>344</v>
      </c>
      <c r="B21" s="2796">
        <f>(-'Info Entrada'!C116-'Info Entrada'!C117)/$A$8</f>
        <v>0</v>
      </c>
      <c r="C21" s="2796">
        <f>(-'Info Entrada'!D116-'Info Entrada'!D117)/$A$8</f>
        <v>0</v>
      </c>
      <c r="D21" s="2797">
        <f>(-'Info Entrada'!E116-'Info Entrada'!E117)/$A$8</f>
        <v>0</v>
      </c>
      <c r="E21" s="2796">
        <f>(-'Info Entrada'!H116-'Info Entrada'!H117)/$A$8</f>
        <v>0</v>
      </c>
      <c r="F21" s="2798">
        <f>(-'Info Entrada'!I116-'Info Entrada'!I117)/$A$8</f>
        <v>0</v>
      </c>
      <c r="G21" s="2798">
        <f>(-'Info Entrada'!J116-'Info Entrada'!J117)/$A$8</f>
        <v>0</v>
      </c>
      <c r="H21" s="2798">
        <f>(-'Info Entrada'!K116-'Info Entrada'!K117)/$A$8</f>
        <v>0</v>
      </c>
      <c r="I21" s="2798">
        <f>(-'Info Entrada'!L116-'Info Entrada'!L117)/$A$8</f>
        <v>0</v>
      </c>
      <c r="J21" s="2798">
        <f>(-'Info Entrada'!M116-'Info Entrada'!M117)/$A$8</f>
        <v>0</v>
      </c>
      <c r="K21" s="2798">
        <f>(-'Info Entrada'!N116-'Info Entrada'!N117)/$A$8</f>
        <v>0</v>
      </c>
      <c r="L21" s="2798">
        <f>(-'Info Entrada'!O116-'Info Entrada'!O117)/$A$8</f>
        <v>0</v>
      </c>
      <c r="M21" s="2798">
        <f>(-'Info Entrada'!P116-'Info Entrada'!P117)/$A$8</f>
        <v>0</v>
      </c>
      <c r="N21" s="2798">
        <f>(-'Info Entrada'!Q116-'Info Entrada'!Q117)/$A$8</f>
        <v>0</v>
      </c>
      <c r="O21" s="2798">
        <f>(-'Info Entrada'!R116-'Info Entrada'!R117)/$A$8</f>
        <v>0</v>
      </c>
      <c r="P21" s="2798">
        <f>(-'Info Entrada'!S116-'Info Entrada'!S117)/$A$8</f>
        <v>0</v>
      </c>
      <c r="Q21" s="2798">
        <f>(-'Info Entrada'!T116-'Info Entrada'!T117)/$A$8</f>
        <v>0</v>
      </c>
      <c r="R21" s="2798">
        <f>(-'Info Entrada'!U116-'Info Entrada'!U117)/$A$8</f>
        <v>0</v>
      </c>
      <c r="S21" s="2798">
        <f>(-'Info Entrada'!V116-'Info Entrada'!V117)/$A$8</f>
        <v>0</v>
      </c>
      <c r="T21" s="2798">
        <f>(-'Info Entrada'!W116-'Info Entrada'!W117)/$A$8</f>
        <v>0</v>
      </c>
      <c r="U21" s="2796">
        <f>(-'Info Entrada'!F116-'Info Entrada'!F117)/$A$8</f>
        <v>0</v>
      </c>
      <c r="V21" s="2796">
        <f>(-'Info Entrada'!G116-'Info Entrada'!G117)/$A$8</f>
        <v>0</v>
      </c>
    </row>
    <row r="22" spans="1:22" ht="12" thickBot="1" x14ac:dyDescent="0.35">
      <c r="A22" s="2799" t="s">
        <v>1145</v>
      </c>
      <c r="B22" s="2800">
        <f>B19+B21</f>
        <v>0</v>
      </c>
      <c r="C22" s="2800">
        <f>C19+C21</f>
        <v>0</v>
      </c>
      <c r="D22" s="2801">
        <f>D19+D21</f>
        <v>0</v>
      </c>
      <c r="E22" s="2800">
        <f t="shared" ref="E22:T22" si="3">E19+E21</f>
        <v>0</v>
      </c>
      <c r="F22" s="2936">
        <f t="shared" si="3"/>
        <v>0</v>
      </c>
      <c r="G22" s="2802">
        <f t="shared" si="3"/>
        <v>0</v>
      </c>
      <c r="H22" s="2802">
        <f t="shared" si="3"/>
        <v>0</v>
      </c>
      <c r="I22" s="2802">
        <f t="shared" si="3"/>
        <v>0</v>
      </c>
      <c r="J22" s="2802">
        <f t="shared" si="3"/>
        <v>0</v>
      </c>
      <c r="K22" s="2802">
        <f t="shared" si="3"/>
        <v>0</v>
      </c>
      <c r="L22" s="2802">
        <f t="shared" si="3"/>
        <v>0</v>
      </c>
      <c r="M22" s="2802">
        <f t="shared" si="3"/>
        <v>0</v>
      </c>
      <c r="N22" s="2802">
        <f t="shared" si="3"/>
        <v>0</v>
      </c>
      <c r="O22" s="2802">
        <f t="shared" si="3"/>
        <v>0</v>
      </c>
      <c r="P22" s="2802">
        <f t="shared" si="3"/>
        <v>0</v>
      </c>
      <c r="Q22" s="2802">
        <f t="shared" si="3"/>
        <v>0</v>
      </c>
      <c r="R22" s="2802">
        <f t="shared" si="3"/>
        <v>0</v>
      </c>
      <c r="S22" s="2802">
        <f t="shared" si="3"/>
        <v>0</v>
      </c>
      <c r="T22" s="2802">
        <f t="shared" si="3"/>
        <v>0</v>
      </c>
      <c r="U22" s="2800">
        <f>U19+U21</f>
        <v>0</v>
      </c>
      <c r="V22" s="2800">
        <f>V19+V21</f>
        <v>0</v>
      </c>
    </row>
    <row r="23" spans="1:22" x14ac:dyDescent="0.15">
      <c r="A23" s="2815" t="s">
        <v>1146</v>
      </c>
      <c r="B23" s="2816">
        <f>IF(B22&lt;&gt;0,B22/B13,0)</f>
        <v>0</v>
      </c>
      <c r="C23" s="2816">
        <f t="shared" ref="C23:T23" si="4">IF(C22&lt;&gt;0,C22/C13,0)</f>
        <v>0</v>
      </c>
      <c r="D23" s="2817">
        <f t="shared" si="4"/>
        <v>0</v>
      </c>
      <c r="E23" s="2816">
        <f t="shared" si="4"/>
        <v>0</v>
      </c>
      <c r="F23" s="2816">
        <f t="shared" si="4"/>
        <v>0</v>
      </c>
      <c r="G23" s="2816">
        <f t="shared" si="4"/>
        <v>0</v>
      </c>
      <c r="H23" s="2816">
        <f t="shared" si="4"/>
        <v>0</v>
      </c>
      <c r="I23" s="2816">
        <f t="shared" si="4"/>
        <v>0</v>
      </c>
      <c r="J23" s="2816">
        <f t="shared" si="4"/>
        <v>0</v>
      </c>
      <c r="K23" s="2816">
        <f t="shared" si="4"/>
        <v>0</v>
      </c>
      <c r="L23" s="2816">
        <f t="shared" si="4"/>
        <v>0</v>
      </c>
      <c r="M23" s="2816">
        <f t="shared" si="4"/>
        <v>0</v>
      </c>
      <c r="N23" s="2816">
        <f t="shared" si="4"/>
        <v>0</v>
      </c>
      <c r="O23" s="2816">
        <f t="shared" si="4"/>
        <v>0</v>
      </c>
      <c r="P23" s="2816">
        <f t="shared" si="4"/>
        <v>0</v>
      </c>
      <c r="Q23" s="2816">
        <f t="shared" si="4"/>
        <v>0</v>
      </c>
      <c r="R23" s="2816">
        <f t="shared" si="4"/>
        <v>0</v>
      </c>
      <c r="S23" s="2816">
        <f t="shared" si="4"/>
        <v>0</v>
      </c>
      <c r="T23" s="2816">
        <f t="shared" si="4"/>
        <v>0</v>
      </c>
      <c r="U23" s="2816">
        <f>IF(U22&lt;&gt;0,U22/U13,0)</f>
        <v>0</v>
      </c>
      <c r="V23" s="2816">
        <f>IF(V22&lt;&gt;0,V22/V13,0)</f>
        <v>0</v>
      </c>
    </row>
    <row r="24" spans="1:22" x14ac:dyDescent="0.15">
      <c r="A24" s="2795" t="s">
        <v>1126</v>
      </c>
      <c r="B24" s="2796">
        <f>'Info Entrada'!C122/$A$8</f>
        <v>0</v>
      </c>
      <c r="C24" s="2796">
        <f>'Info Entrada'!D122/$A$8</f>
        <v>0</v>
      </c>
      <c r="D24" s="2797">
        <f>'Info Entrada'!E122/$A$8</f>
        <v>0</v>
      </c>
      <c r="E24" s="2796">
        <f>'Info Entrada'!H122/$A$8</f>
        <v>0</v>
      </c>
      <c r="F24" s="2798">
        <f>'Info Entrada'!I122/$A$8</f>
        <v>0</v>
      </c>
      <c r="G24" s="2798">
        <f>'Info Entrada'!J122/$A$8</f>
        <v>0</v>
      </c>
      <c r="H24" s="2798">
        <f>'Info Entrada'!K122/$A$8</f>
        <v>0</v>
      </c>
      <c r="I24" s="2798">
        <f>'Info Entrada'!L122/$A$8</f>
        <v>0</v>
      </c>
      <c r="J24" s="2798">
        <f>'Info Entrada'!M122/$A$8</f>
        <v>0</v>
      </c>
      <c r="K24" s="2798">
        <f>'Info Entrada'!N122/$A$8</f>
        <v>0</v>
      </c>
      <c r="L24" s="2798">
        <f>'Info Entrada'!O122/$A$8</f>
        <v>0</v>
      </c>
      <c r="M24" s="2798">
        <f>'Info Entrada'!P122/$A$8</f>
        <v>0</v>
      </c>
      <c r="N24" s="2798">
        <f>'Info Entrada'!Q122/$A$8</f>
        <v>0</v>
      </c>
      <c r="O24" s="2798">
        <f>'Info Entrada'!R122/$A$8</f>
        <v>0</v>
      </c>
      <c r="P24" s="2798">
        <f>'Info Entrada'!S122/$A$8</f>
        <v>0</v>
      </c>
      <c r="Q24" s="2798">
        <f>'Info Entrada'!T122/$A$8</f>
        <v>0</v>
      </c>
      <c r="R24" s="2798">
        <f>'Info Entrada'!U122/$A$8</f>
        <v>0</v>
      </c>
      <c r="S24" s="2798">
        <f>'Info Entrada'!V122/$A$8</f>
        <v>0</v>
      </c>
      <c r="T24" s="2798">
        <f>'Info Entrada'!W122/$A$8</f>
        <v>0</v>
      </c>
      <c r="U24" s="2796">
        <f>'Info Entrada'!F122/$A$8</f>
        <v>0</v>
      </c>
      <c r="V24" s="2796">
        <f>'Info Entrada'!G122/$A$8</f>
        <v>0</v>
      </c>
    </row>
    <row r="25" spans="1:22" x14ac:dyDescent="0.15">
      <c r="A25" s="2795" t="s">
        <v>1127</v>
      </c>
      <c r="B25" s="2796">
        <f>'Info Entrada'!C123/$A$8</f>
        <v>0</v>
      </c>
      <c r="C25" s="2796">
        <f>'Info Entrada'!D123/$A$8</f>
        <v>0</v>
      </c>
      <c r="D25" s="2797">
        <f>'Info Entrada'!E123/$A$8</f>
        <v>0</v>
      </c>
      <c r="E25" s="2796">
        <f ca="1">'Info Entrada'!H123/$A$8</f>
        <v>0</v>
      </c>
      <c r="F25" s="2798">
        <f ca="1">'Info Entrada'!I123/$A$8</f>
        <v>0</v>
      </c>
      <c r="G25" s="2798">
        <f ca="1">'Info Entrada'!J123/$A$8</f>
        <v>0</v>
      </c>
      <c r="H25" s="2798">
        <f ca="1">'Info Entrada'!K123/$A$8</f>
        <v>0</v>
      </c>
      <c r="I25" s="2798">
        <f ca="1">'Info Entrada'!L123/$A$8</f>
        <v>0</v>
      </c>
      <c r="J25" s="2798">
        <f ca="1">'Info Entrada'!M123/$A$8</f>
        <v>0</v>
      </c>
      <c r="K25" s="2798">
        <f ca="1">'Info Entrada'!N123/$A$8</f>
        <v>0</v>
      </c>
      <c r="L25" s="2798">
        <f ca="1">'Info Entrada'!O123/$A$8</f>
        <v>0</v>
      </c>
      <c r="M25" s="2798">
        <f ca="1">'Info Entrada'!P123/$A$8</f>
        <v>0</v>
      </c>
      <c r="N25" s="2798">
        <f ca="1">'Info Entrada'!Q123/$A$8</f>
        <v>0</v>
      </c>
      <c r="O25" s="2798">
        <f ca="1">'Info Entrada'!R123/$A$8</f>
        <v>0</v>
      </c>
      <c r="P25" s="2798">
        <f ca="1">'Info Entrada'!S123/$A$8</f>
        <v>0</v>
      </c>
      <c r="Q25" s="2798">
        <f ca="1">'Info Entrada'!T123/$A$8</f>
        <v>0</v>
      </c>
      <c r="R25" s="2798">
        <f ca="1">'Info Entrada'!U123/$A$8</f>
        <v>0</v>
      </c>
      <c r="S25" s="2798">
        <f ca="1">'Info Entrada'!V123/$A$8</f>
        <v>0</v>
      </c>
      <c r="T25" s="2798">
        <f ca="1">'Info Entrada'!W123/$A$8</f>
        <v>0</v>
      </c>
      <c r="U25" s="2796">
        <f>'Info Entrada'!F123/$A$8</f>
        <v>0</v>
      </c>
      <c r="V25" s="2796">
        <f>'Info Entrada'!G123/$A$8</f>
        <v>0</v>
      </c>
    </row>
    <row r="26" spans="1:22" x14ac:dyDescent="0.15">
      <c r="A26" s="2795" t="s">
        <v>448</v>
      </c>
      <c r="B26" s="2796">
        <f>-'Info Entrada'!C124/$A$8</f>
        <v>0</v>
      </c>
      <c r="C26" s="2796">
        <f>-'Info Entrada'!D124/$A$8</f>
        <v>0</v>
      </c>
      <c r="D26" s="2797">
        <f>-'Info Entrada'!E124/$A$8</f>
        <v>0</v>
      </c>
      <c r="E26" s="2796">
        <f ca="1">-'Info Entrada'!H124/$A$8</f>
        <v>0</v>
      </c>
      <c r="F26" s="2798">
        <f ca="1">-'Info Entrada'!I124/$A$8</f>
        <v>0</v>
      </c>
      <c r="G26" s="2798">
        <f ca="1">-'Info Entrada'!J124/$A$8</f>
        <v>0</v>
      </c>
      <c r="H26" s="2798">
        <f ca="1">-'Info Entrada'!K124/$A$8</f>
        <v>0</v>
      </c>
      <c r="I26" s="2798">
        <f ca="1">-'Info Entrada'!L124/$A$8</f>
        <v>0</v>
      </c>
      <c r="J26" s="2798">
        <f ca="1">-'Info Entrada'!M124/$A$8</f>
        <v>0</v>
      </c>
      <c r="K26" s="2798">
        <f ca="1">-'Info Entrada'!N124/$A$8</f>
        <v>0</v>
      </c>
      <c r="L26" s="2798">
        <f ca="1">-'Info Entrada'!O124/$A$8</f>
        <v>0</v>
      </c>
      <c r="M26" s="2798">
        <f ca="1">-'Info Entrada'!P124/$A$8</f>
        <v>0</v>
      </c>
      <c r="N26" s="2798">
        <f ca="1">-'Info Entrada'!Q124/$A$8</f>
        <v>0</v>
      </c>
      <c r="O26" s="2798">
        <f ca="1">-'Info Entrada'!R124/$A$8</f>
        <v>0</v>
      </c>
      <c r="P26" s="2798">
        <f ca="1">-'Info Entrada'!S124/$A$8</f>
        <v>0</v>
      </c>
      <c r="Q26" s="2798">
        <f ca="1">-'Info Entrada'!T124/$A$8</f>
        <v>0</v>
      </c>
      <c r="R26" s="2798">
        <f ca="1">-'Info Entrada'!U124/$A$8</f>
        <v>0</v>
      </c>
      <c r="S26" s="2798">
        <f ca="1">-'Info Entrada'!V124/$A$8</f>
        <v>0</v>
      </c>
      <c r="T26" s="2798">
        <f ca="1">-'Info Entrada'!W124/$A$8</f>
        <v>0</v>
      </c>
      <c r="U26" s="2796">
        <f>-'Info Entrada'!F124/$A$8</f>
        <v>0</v>
      </c>
      <c r="V26" s="2796">
        <f>-'Info Entrada'!G124/$A$8</f>
        <v>0</v>
      </c>
    </row>
    <row r="27" spans="1:22" x14ac:dyDescent="0.15">
      <c r="A27" s="2795" t="s">
        <v>1147</v>
      </c>
      <c r="B27" s="2796">
        <f>SUM(B24:B26)</f>
        <v>0</v>
      </c>
      <c r="C27" s="2796">
        <f>SUM(C24:C26)</f>
        <v>0</v>
      </c>
      <c r="D27" s="2797">
        <f>SUM(D24:D26)</f>
        <v>0</v>
      </c>
      <c r="E27" s="2796">
        <f t="shared" ref="E27:T27" ca="1" si="5">SUM(E24:E26)</f>
        <v>0</v>
      </c>
      <c r="F27" s="2798">
        <f t="shared" ca="1" si="5"/>
        <v>0</v>
      </c>
      <c r="G27" s="2798">
        <f t="shared" ca="1" si="5"/>
        <v>0</v>
      </c>
      <c r="H27" s="2798">
        <f t="shared" ca="1" si="5"/>
        <v>0</v>
      </c>
      <c r="I27" s="2798">
        <f t="shared" ca="1" si="5"/>
        <v>0</v>
      </c>
      <c r="J27" s="2798">
        <f t="shared" ca="1" si="5"/>
        <v>0</v>
      </c>
      <c r="K27" s="2798">
        <f t="shared" ca="1" si="5"/>
        <v>0</v>
      </c>
      <c r="L27" s="2798">
        <f t="shared" ca="1" si="5"/>
        <v>0</v>
      </c>
      <c r="M27" s="2798">
        <f t="shared" ca="1" si="5"/>
        <v>0</v>
      </c>
      <c r="N27" s="2798">
        <f t="shared" ca="1" si="5"/>
        <v>0</v>
      </c>
      <c r="O27" s="2798">
        <f t="shared" ca="1" si="5"/>
        <v>0</v>
      </c>
      <c r="P27" s="2798">
        <f t="shared" ca="1" si="5"/>
        <v>0</v>
      </c>
      <c r="Q27" s="2798">
        <f t="shared" ca="1" si="5"/>
        <v>0</v>
      </c>
      <c r="R27" s="2798">
        <f t="shared" ca="1" si="5"/>
        <v>0</v>
      </c>
      <c r="S27" s="2798">
        <f t="shared" ca="1" si="5"/>
        <v>0</v>
      </c>
      <c r="T27" s="2798">
        <f t="shared" ca="1" si="5"/>
        <v>0</v>
      </c>
      <c r="U27" s="2796">
        <f>SUM(U24:U26)</f>
        <v>0</v>
      </c>
      <c r="V27" s="2796">
        <f>SUM(V24:V26)</f>
        <v>0</v>
      </c>
    </row>
    <row r="28" spans="1:22" x14ac:dyDescent="0.15">
      <c r="A28" s="2795" t="s">
        <v>1128</v>
      </c>
      <c r="B28" s="2796">
        <f>('Info Entrada'!C127+'Info Entrada'!C131)/$A$8</f>
        <v>0</v>
      </c>
      <c r="C28" s="2796">
        <f>('Info Entrada'!D127+'Info Entrada'!D131)/$A$8</f>
        <v>0</v>
      </c>
      <c r="D28" s="2797">
        <f>('Info Entrada'!E127+'Info Entrada'!E131)/$A$8</f>
        <v>0</v>
      </c>
      <c r="E28" s="2796">
        <f>('Info Entrada'!H127+'Info Entrada'!H131)/$A$8</f>
        <v>0</v>
      </c>
      <c r="F28" s="2798">
        <f>('Info Entrada'!I127+'Info Entrada'!I131)/$A$8</f>
        <v>0</v>
      </c>
      <c r="G28" s="2798">
        <f>('Info Entrada'!J127+'Info Entrada'!J131)/$A$8</f>
        <v>0</v>
      </c>
      <c r="H28" s="2798">
        <f>('Info Entrada'!K127+'Info Entrada'!K131)/$A$8</f>
        <v>0</v>
      </c>
      <c r="I28" s="2798">
        <f>('Info Entrada'!L127+'Info Entrada'!L131)/$A$8</f>
        <v>0</v>
      </c>
      <c r="J28" s="2798">
        <f>('Info Entrada'!M127+'Info Entrada'!M131)/$A$8</f>
        <v>0</v>
      </c>
      <c r="K28" s="2798">
        <f>('Info Entrada'!N127+'Info Entrada'!N131)/$A$8</f>
        <v>0</v>
      </c>
      <c r="L28" s="2798">
        <f>('Info Entrada'!O127+'Info Entrada'!O131)/$A$8</f>
        <v>0</v>
      </c>
      <c r="M28" s="2798">
        <f>('Info Entrada'!P127+'Info Entrada'!P131)/$A$8</f>
        <v>0</v>
      </c>
      <c r="N28" s="2798">
        <f>('Info Entrada'!Q127+'Info Entrada'!Q131)/$A$8</f>
        <v>0</v>
      </c>
      <c r="O28" s="2798">
        <f>('Info Entrada'!R127+'Info Entrada'!R131)/$A$8</f>
        <v>0</v>
      </c>
      <c r="P28" s="2798">
        <f>('Info Entrada'!S127+'Info Entrada'!S131)/$A$8</f>
        <v>0</v>
      </c>
      <c r="Q28" s="2798">
        <f>('Info Entrada'!T127+'Info Entrada'!T131)/$A$8</f>
        <v>0</v>
      </c>
      <c r="R28" s="2798">
        <f>('Info Entrada'!U127+'Info Entrada'!U131)/$A$8</f>
        <v>0</v>
      </c>
      <c r="S28" s="2798">
        <f>('Info Entrada'!V127+'Info Entrada'!V131)/$A$8</f>
        <v>0</v>
      </c>
      <c r="T28" s="2798">
        <f>('Info Entrada'!W127+'Info Entrada'!W131)/$A$8</f>
        <v>0</v>
      </c>
      <c r="U28" s="2796">
        <f>('Info Entrada'!F127+'Info Entrada'!F131)/$A$8</f>
        <v>0</v>
      </c>
      <c r="V28" s="2796">
        <f>('Info Entrada'!G127+'Info Entrada'!G131)/$A$8</f>
        <v>0</v>
      </c>
    </row>
    <row r="29" spans="1:22" x14ac:dyDescent="0.15">
      <c r="A29" s="2795" t="s">
        <v>1129</v>
      </c>
      <c r="B29" s="2796">
        <f t="shared" ref="B29:V30" si="6">0/$A$8</f>
        <v>0</v>
      </c>
      <c r="C29" s="2796">
        <f t="shared" si="6"/>
        <v>0</v>
      </c>
      <c r="D29" s="2797">
        <f t="shared" si="6"/>
        <v>0</v>
      </c>
      <c r="E29" s="2796">
        <f t="shared" ref="E29:T30" si="7">0/$A$8</f>
        <v>0</v>
      </c>
      <c r="F29" s="2798">
        <f t="shared" si="7"/>
        <v>0</v>
      </c>
      <c r="G29" s="2798">
        <f t="shared" si="7"/>
        <v>0</v>
      </c>
      <c r="H29" s="2798">
        <f t="shared" si="7"/>
        <v>0</v>
      </c>
      <c r="I29" s="2798">
        <f t="shared" si="7"/>
        <v>0</v>
      </c>
      <c r="J29" s="2798">
        <f t="shared" si="7"/>
        <v>0</v>
      </c>
      <c r="K29" s="2798">
        <f t="shared" si="7"/>
        <v>0</v>
      </c>
      <c r="L29" s="2798">
        <f t="shared" si="7"/>
        <v>0</v>
      </c>
      <c r="M29" s="2798">
        <f t="shared" si="7"/>
        <v>0</v>
      </c>
      <c r="N29" s="2798">
        <f t="shared" si="7"/>
        <v>0</v>
      </c>
      <c r="O29" s="2798">
        <f t="shared" si="7"/>
        <v>0</v>
      </c>
      <c r="P29" s="2798">
        <f t="shared" si="7"/>
        <v>0</v>
      </c>
      <c r="Q29" s="2798">
        <f t="shared" si="7"/>
        <v>0</v>
      </c>
      <c r="R29" s="2798">
        <f t="shared" si="7"/>
        <v>0</v>
      </c>
      <c r="S29" s="2798">
        <f t="shared" si="7"/>
        <v>0</v>
      </c>
      <c r="T29" s="2798">
        <f t="shared" si="7"/>
        <v>0</v>
      </c>
      <c r="U29" s="2796">
        <f t="shared" si="6"/>
        <v>0</v>
      </c>
      <c r="V29" s="2796">
        <f t="shared" si="6"/>
        <v>0</v>
      </c>
    </row>
    <row r="30" spans="1:22" x14ac:dyDescent="0.15">
      <c r="A30" s="2795" t="s">
        <v>1130</v>
      </c>
      <c r="B30" s="2796">
        <f t="shared" si="6"/>
        <v>0</v>
      </c>
      <c r="C30" s="2796">
        <f t="shared" si="6"/>
        <v>0</v>
      </c>
      <c r="D30" s="2797">
        <f t="shared" si="6"/>
        <v>0</v>
      </c>
      <c r="E30" s="2796">
        <f t="shared" si="7"/>
        <v>0</v>
      </c>
      <c r="F30" s="2798">
        <f t="shared" si="7"/>
        <v>0</v>
      </c>
      <c r="G30" s="2798">
        <f t="shared" si="7"/>
        <v>0</v>
      </c>
      <c r="H30" s="2798">
        <f t="shared" si="7"/>
        <v>0</v>
      </c>
      <c r="I30" s="2798">
        <f t="shared" si="7"/>
        <v>0</v>
      </c>
      <c r="J30" s="2798">
        <f t="shared" si="7"/>
        <v>0</v>
      </c>
      <c r="K30" s="2798">
        <f t="shared" si="7"/>
        <v>0</v>
      </c>
      <c r="L30" s="2798">
        <f t="shared" si="7"/>
        <v>0</v>
      </c>
      <c r="M30" s="2798">
        <f t="shared" si="7"/>
        <v>0</v>
      </c>
      <c r="N30" s="2798">
        <f t="shared" si="7"/>
        <v>0</v>
      </c>
      <c r="O30" s="2798">
        <f t="shared" si="7"/>
        <v>0</v>
      </c>
      <c r="P30" s="2798">
        <f t="shared" si="7"/>
        <v>0</v>
      </c>
      <c r="Q30" s="2798">
        <f t="shared" si="7"/>
        <v>0</v>
      </c>
      <c r="R30" s="2798">
        <f t="shared" si="7"/>
        <v>0</v>
      </c>
      <c r="S30" s="2798">
        <f t="shared" si="7"/>
        <v>0</v>
      </c>
      <c r="T30" s="2798">
        <f t="shared" si="7"/>
        <v>0</v>
      </c>
      <c r="U30" s="2796">
        <f t="shared" si="6"/>
        <v>0</v>
      </c>
      <c r="V30" s="2796">
        <f t="shared" si="6"/>
        <v>0</v>
      </c>
    </row>
    <row r="31" spans="1:22" x14ac:dyDescent="0.15">
      <c r="A31" s="2818" t="s">
        <v>1148</v>
      </c>
      <c r="B31" s="2792">
        <f>B22+SUM(B27:B30)</f>
        <v>0</v>
      </c>
      <c r="C31" s="2792">
        <f>C22+SUM(C27:C30)</f>
        <v>0</v>
      </c>
      <c r="D31" s="2793">
        <f>D22+SUM(D27:D30)</f>
        <v>0</v>
      </c>
      <c r="E31" s="2792">
        <f t="shared" ref="E31:T31" ca="1" si="8">E22+SUM(E27:E30)</f>
        <v>0</v>
      </c>
      <c r="F31" s="2819">
        <f t="shared" ca="1" si="8"/>
        <v>0</v>
      </c>
      <c r="G31" s="2819">
        <f t="shared" ca="1" si="8"/>
        <v>0</v>
      </c>
      <c r="H31" s="2819">
        <f t="shared" ca="1" si="8"/>
        <v>0</v>
      </c>
      <c r="I31" s="2819">
        <f t="shared" ca="1" si="8"/>
        <v>0</v>
      </c>
      <c r="J31" s="2819">
        <f t="shared" ca="1" si="8"/>
        <v>0</v>
      </c>
      <c r="K31" s="2819">
        <f t="shared" ca="1" si="8"/>
        <v>0</v>
      </c>
      <c r="L31" s="2819">
        <f t="shared" ca="1" si="8"/>
        <v>0</v>
      </c>
      <c r="M31" s="2819">
        <f t="shared" ca="1" si="8"/>
        <v>0</v>
      </c>
      <c r="N31" s="2819">
        <f t="shared" ca="1" si="8"/>
        <v>0</v>
      </c>
      <c r="O31" s="2819">
        <f t="shared" ca="1" si="8"/>
        <v>0</v>
      </c>
      <c r="P31" s="2819">
        <f t="shared" ca="1" si="8"/>
        <v>0</v>
      </c>
      <c r="Q31" s="2819">
        <f t="shared" ca="1" si="8"/>
        <v>0</v>
      </c>
      <c r="R31" s="2819">
        <f t="shared" ca="1" si="8"/>
        <v>0</v>
      </c>
      <c r="S31" s="2819">
        <f t="shared" ca="1" si="8"/>
        <v>0</v>
      </c>
      <c r="T31" s="2819">
        <f t="shared" ca="1" si="8"/>
        <v>0</v>
      </c>
      <c r="U31" s="2792">
        <f>U22+SUM(U27:U30)</f>
        <v>0</v>
      </c>
      <c r="V31" s="2792">
        <f>V22+SUM(V27:V30)</f>
        <v>0</v>
      </c>
    </row>
    <row r="32" spans="1:22" x14ac:dyDescent="0.15">
      <c r="A32" s="2795" t="s">
        <v>1132</v>
      </c>
      <c r="B32" s="2796">
        <f>'Info Entrada'!C161/$A$8</f>
        <v>0</v>
      </c>
      <c r="C32" s="2796">
        <f>'Info Entrada'!D161/$A$8</f>
        <v>0</v>
      </c>
      <c r="D32" s="2797">
        <f>'Info Entrada'!E161/$A$8</f>
        <v>0</v>
      </c>
      <c r="E32" s="2796">
        <f>'Info Entrada'!H161/$A$8</f>
        <v>0</v>
      </c>
      <c r="F32" s="2798">
        <f>'Info Entrada'!I161/$A$8</f>
        <v>0</v>
      </c>
      <c r="G32" s="2798">
        <f>'Info Entrada'!J161/$A$8</f>
        <v>0</v>
      </c>
      <c r="H32" s="2798">
        <f>'Info Entrada'!K161/$A$8</f>
        <v>0</v>
      </c>
      <c r="I32" s="2798">
        <f>'Info Entrada'!L161/$A$8</f>
        <v>0</v>
      </c>
      <c r="J32" s="2798">
        <f>'Info Entrada'!M161/$A$8</f>
        <v>0</v>
      </c>
      <c r="K32" s="2798">
        <f>'Info Entrada'!N161/$A$8</f>
        <v>0</v>
      </c>
      <c r="L32" s="2798">
        <f>'Info Entrada'!O161/$A$8</f>
        <v>0</v>
      </c>
      <c r="M32" s="2798">
        <f>'Info Entrada'!P161/$A$8</f>
        <v>0</v>
      </c>
      <c r="N32" s="2798">
        <f>'Info Entrada'!Q161/$A$8</f>
        <v>0</v>
      </c>
      <c r="O32" s="2798">
        <f>'Info Entrada'!R161/$A$8</f>
        <v>0</v>
      </c>
      <c r="P32" s="2798">
        <f>'Info Entrada'!S161/$A$8</f>
        <v>0</v>
      </c>
      <c r="Q32" s="2798">
        <f>'Info Entrada'!T161/$A$8</f>
        <v>0</v>
      </c>
      <c r="R32" s="2798">
        <f>'Info Entrada'!U161/$A$8</f>
        <v>0</v>
      </c>
      <c r="S32" s="2798">
        <f>'Info Entrada'!V161/$A$8</f>
        <v>0</v>
      </c>
      <c r="T32" s="2798">
        <f>'Info Entrada'!W161/$A$8</f>
        <v>0</v>
      </c>
      <c r="U32" s="2796">
        <f>'Info Entrada'!F161/$A$8</f>
        <v>0</v>
      </c>
      <c r="V32" s="2796">
        <f>'Info Entrada'!G161/$A$8</f>
        <v>0</v>
      </c>
    </row>
    <row r="33" spans="1:22" x14ac:dyDescent="0.15">
      <c r="A33" s="2795" t="s">
        <v>1149</v>
      </c>
      <c r="B33" s="2796">
        <f>B31+B32</f>
        <v>0</v>
      </c>
      <c r="C33" s="2796">
        <f>C31+C32</f>
        <v>0</v>
      </c>
      <c r="D33" s="2797">
        <f>D31+D32</f>
        <v>0</v>
      </c>
      <c r="E33" s="2796">
        <f t="shared" ref="E33:T33" ca="1" si="9">E31+E32</f>
        <v>0</v>
      </c>
      <c r="F33" s="2798">
        <f t="shared" ca="1" si="9"/>
        <v>0</v>
      </c>
      <c r="G33" s="2798">
        <f t="shared" ca="1" si="9"/>
        <v>0</v>
      </c>
      <c r="H33" s="2798">
        <f t="shared" ca="1" si="9"/>
        <v>0</v>
      </c>
      <c r="I33" s="2798">
        <f t="shared" ca="1" si="9"/>
        <v>0</v>
      </c>
      <c r="J33" s="2798">
        <f t="shared" ca="1" si="9"/>
        <v>0</v>
      </c>
      <c r="K33" s="2798">
        <f t="shared" ca="1" si="9"/>
        <v>0</v>
      </c>
      <c r="L33" s="2798">
        <f t="shared" ca="1" si="9"/>
        <v>0</v>
      </c>
      <c r="M33" s="2798">
        <f t="shared" ca="1" si="9"/>
        <v>0</v>
      </c>
      <c r="N33" s="2798">
        <f t="shared" ca="1" si="9"/>
        <v>0</v>
      </c>
      <c r="O33" s="2798">
        <f t="shared" ca="1" si="9"/>
        <v>0</v>
      </c>
      <c r="P33" s="2798">
        <f t="shared" ca="1" si="9"/>
        <v>0</v>
      </c>
      <c r="Q33" s="2798">
        <f t="shared" ca="1" si="9"/>
        <v>0</v>
      </c>
      <c r="R33" s="2798">
        <f t="shared" ca="1" si="9"/>
        <v>0</v>
      </c>
      <c r="S33" s="2798">
        <f t="shared" ca="1" si="9"/>
        <v>0</v>
      </c>
      <c r="T33" s="2798">
        <f t="shared" ca="1" si="9"/>
        <v>0</v>
      </c>
      <c r="U33" s="2796">
        <f>U31+U32</f>
        <v>0</v>
      </c>
      <c r="V33" s="2796">
        <f>V31+V32</f>
        <v>0</v>
      </c>
    </row>
    <row r="34" spans="1:22" x14ac:dyDescent="0.15">
      <c r="A34" s="2795" t="s">
        <v>453</v>
      </c>
      <c r="B34" s="2796">
        <f>-'Info Entrada'!C164/$A$8</f>
        <v>0</v>
      </c>
      <c r="C34" s="2796">
        <f>-'Info Entrada'!D164/$A$8</f>
        <v>0</v>
      </c>
      <c r="D34" s="2797">
        <f>-'Info Entrada'!E164/$A$8</f>
        <v>0</v>
      </c>
      <c r="E34" s="2796">
        <f ca="1">-'Info Entrada'!H164/$A$8</f>
        <v>0</v>
      </c>
      <c r="F34" s="2798">
        <f ca="1">-'Info Entrada'!I164/$A$8</f>
        <v>0</v>
      </c>
      <c r="G34" s="2798">
        <f ca="1">-'Info Entrada'!J164/$A$8</f>
        <v>0</v>
      </c>
      <c r="H34" s="2798">
        <f ca="1">-'Info Entrada'!K164/$A$8</f>
        <v>0</v>
      </c>
      <c r="I34" s="2798">
        <f ca="1">-'Info Entrada'!L164/$A$8</f>
        <v>0</v>
      </c>
      <c r="J34" s="2798">
        <f ca="1">-'Info Entrada'!M164/$A$8</f>
        <v>0</v>
      </c>
      <c r="K34" s="2798">
        <f ca="1">-'Info Entrada'!N164/$A$8</f>
        <v>0</v>
      </c>
      <c r="L34" s="2798">
        <f ca="1">-'Info Entrada'!O164/$A$8</f>
        <v>0</v>
      </c>
      <c r="M34" s="2798">
        <f ca="1">-'Info Entrada'!P164/$A$8</f>
        <v>0</v>
      </c>
      <c r="N34" s="2798">
        <f ca="1">-'Info Entrada'!Q164/$A$8</f>
        <v>0</v>
      </c>
      <c r="O34" s="2798">
        <f ca="1">-'Info Entrada'!R164/$A$8</f>
        <v>0</v>
      </c>
      <c r="P34" s="2798">
        <f ca="1">-'Info Entrada'!S164/$A$8</f>
        <v>0</v>
      </c>
      <c r="Q34" s="2798">
        <f ca="1">-'Info Entrada'!T164/$A$8</f>
        <v>0</v>
      </c>
      <c r="R34" s="2798">
        <f ca="1">-'Info Entrada'!U164/$A$8</f>
        <v>0</v>
      </c>
      <c r="S34" s="2798">
        <f ca="1">-'Info Entrada'!V164/$A$8</f>
        <v>0</v>
      </c>
      <c r="T34" s="2798">
        <f ca="1">-'Info Entrada'!W164/$A$8</f>
        <v>0</v>
      </c>
      <c r="U34" s="2796">
        <f>-'Info Entrada'!F164/$A$8</f>
        <v>0</v>
      </c>
      <c r="V34" s="2796">
        <f>-'Info Entrada'!G164/$A$8</f>
        <v>0</v>
      </c>
    </row>
    <row r="35" spans="1:22" ht="9.75" thickBot="1" x14ac:dyDescent="0.2">
      <c r="A35" s="2799" t="s">
        <v>1150</v>
      </c>
      <c r="B35" s="2800">
        <f>B33+B34</f>
        <v>0</v>
      </c>
      <c r="C35" s="2800">
        <f>C33+C34</f>
        <v>0</v>
      </c>
      <c r="D35" s="2801">
        <f>D33+D34</f>
        <v>0</v>
      </c>
      <c r="E35" s="2800">
        <f t="shared" ref="E35:T35" ca="1" si="10">E33+E34</f>
        <v>0</v>
      </c>
      <c r="F35" s="2802">
        <f t="shared" ca="1" si="10"/>
        <v>0</v>
      </c>
      <c r="G35" s="2802">
        <f t="shared" ca="1" si="10"/>
        <v>0</v>
      </c>
      <c r="H35" s="2802">
        <f t="shared" ca="1" si="10"/>
        <v>0</v>
      </c>
      <c r="I35" s="2802">
        <f t="shared" ca="1" si="10"/>
        <v>0</v>
      </c>
      <c r="J35" s="2802">
        <f t="shared" ca="1" si="10"/>
        <v>0</v>
      </c>
      <c r="K35" s="2802">
        <f t="shared" ca="1" si="10"/>
        <v>0</v>
      </c>
      <c r="L35" s="2802">
        <f t="shared" ca="1" si="10"/>
        <v>0</v>
      </c>
      <c r="M35" s="2802">
        <f t="shared" ca="1" si="10"/>
        <v>0</v>
      </c>
      <c r="N35" s="2802">
        <f t="shared" ca="1" si="10"/>
        <v>0</v>
      </c>
      <c r="O35" s="2802">
        <f t="shared" ca="1" si="10"/>
        <v>0</v>
      </c>
      <c r="P35" s="2802">
        <f t="shared" ca="1" si="10"/>
        <v>0</v>
      </c>
      <c r="Q35" s="2802">
        <f t="shared" ca="1" si="10"/>
        <v>0</v>
      </c>
      <c r="R35" s="2802">
        <f t="shared" ca="1" si="10"/>
        <v>0</v>
      </c>
      <c r="S35" s="2802">
        <f t="shared" ca="1" si="10"/>
        <v>0</v>
      </c>
      <c r="T35" s="2802">
        <f t="shared" ca="1" si="10"/>
        <v>0</v>
      </c>
      <c r="U35" s="2800">
        <f>U33+U34</f>
        <v>0</v>
      </c>
      <c r="V35" s="2800">
        <f>V33+V34</f>
        <v>0</v>
      </c>
    </row>
    <row r="36" spans="1:22" x14ac:dyDescent="0.15">
      <c r="A36" s="2815" t="s">
        <v>455</v>
      </c>
      <c r="B36" s="2816">
        <f>IFERROR(IF(B35&lt;&gt;0,B35/B13,0),0)</f>
        <v>0</v>
      </c>
      <c r="C36" s="2816">
        <f t="shared" ref="C36:T36" si="11">IFERROR(IF(C35&lt;&gt;0,C35/C13,0),0)</f>
        <v>0</v>
      </c>
      <c r="D36" s="2817">
        <f t="shared" si="11"/>
        <v>0</v>
      </c>
      <c r="E36" s="2816">
        <f t="shared" ca="1" si="11"/>
        <v>0</v>
      </c>
      <c r="F36" s="2816">
        <f t="shared" ca="1" si="11"/>
        <v>0</v>
      </c>
      <c r="G36" s="2816">
        <f t="shared" ca="1" si="11"/>
        <v>0</v>
      </c>
      <c r="H36" s="2816">
        <f t="shared" ca="1" si="11"/>
        <v>0</v>
      </c>
      <c r="I36" s="2816">
        <f t="shared" ca="1" si="11"/>
        <v>0</v>
      </c>
      <c r="J36" s="2816">
        <f t="shared" ca="1" si="11"/>
        <v>0</v>
      </c>
      <c r="K36" s="2816">
        <f t="shared" ca="1" si="11"/>
        <v>0</v>
      </c>
      <c r="L36" s="2816">
        <f t="shared" ca="1" si="11"/>
        <v>0</v>
      </c>
      <c r="M36" s="2816">
        <f t="shared" ca="1" si="11"/>
        <v>0</v>
      </c>
      <c r="N36" s="2816">
        <f t="shared" ca="1" si="11"/>
        <v>0</v>
      </c>
      <c r="O36" s="2816">
        <f t="shared" ca="1" si="11"/>
        <v>0</v>
      </c>
      <c r="P36" s="2816">
        <f t="shared" ca="1" si="11"/>
        <v>0</v>
      </c>
      <c r="Q36" s="2816">
        <f t="shared" ca="1" si="11"/>
        <v>0</v>
      </c>
      <c r="R36" s="2816">
        <f t="shared" ca="1" si="11"/>
        <v>0</v>
      </c>
      <c r="S36" s="2816">
        <f t="shared" ca="1" si="11"/>
        <v>0</v>
      </c>
      <c r="T36" s="2816">
        <f t="shared" ca="1" si="11"/>
        <v>0</v>
      </c>
      <c r="U36" s="2816">
        <f>IFERROR(IF(U35&lt;&gt;0,U35/U13,0),0)</f>
        <v>0</v>
      </c>
      <c r="V36" s="2816">
        <f>IFERROR(IF(V35&lt;&gt;0,V35/V13,0),0)</f>
        <v>0</v>
      </c>
    </row>
    <row r="37" spans="1:22" x14ac:dyDescent="0.15">
      <c r="A37" s="2795" t="s">
        <v>1133</v>
      </c>
      <c r="B37" s="2820">
        <f>-'Info Entrada'!C166/$A$8</f>
        <v>0</v>
      </c>
      <c r="C37" s="2820">
        <f>-'Info Entrada'!D166/$A$8</f>
        <v>0</v>
      </c>
      <c r="D37" s="2821">
        <f>-'Info Entrada'!E166/$A$8</f>
        <v>0</v>
      </c>
      <c r="E37" s="2820">
        <f>-'Info Entrada'!H166/$A$8</f>
        <v>0</v>
      </c>
      <c r="F37" s="2798">
        <f>-'Info Entrada'!I166/$A$8</f>
        <v>0</v>
      </c>
      <c r="G37" s="2798">
        <f>-'Info Entrada'!J166/$A$8</f>
        <v>0</v>
      </c>
      <c r="H37" s="2798">
        <f>-'Info Entrada'!K166/$A$8</f>
        <v>0</v>
      </c>
      <c r="I37" s="2798">
        <f>-'Info Entrada'!L166/$A$8</f>
        <v>0</v>
      </c>
      <c r="J37" s="2798">
        <f>-'Info Entrada'!M166/$A$8</f>
        <v>0</v>
      </c>
      <c r="K37" s="2798">
        <f>-'Info Entrada'!N166/$A$8</f>
        <v>0</v>
      </c>
      <c r="L37" s="2798">
        <f>-'Info Entrada'!O166/$A$8</f>
        <v>0</v>
      </c>
      <c r="M37" s="2798">
        <f>-'Info Entrada'!P166/$A$8</f>
        <v>0</v>
      </c>
      <c r="N37" s="2798">
        <f>-'Info Entrada'!Q166/$A$8</f>
        <v>0</v>
      </c>
      <c r="O37" s="2798">
        <f>-'Info Entrada'!R166/$A$8</f>
        <v>0</v>
      </c>
      <c r="P37" s="2798">
        <f>-'Info Entrada'!S166/$A$8</f>
        <v>0</v>
      </c>
      <c r="Q37" s="2798">
        <f>-'Info Entrada'!T166/$A$8</f>
        <v>0</v>
      </c>
      <c r="R37" s="2798">
        <f>-'Info Entrada'!U166/$A$8</f>
        <v>0</v>
      </c>
      <c r="S37" s="2798">
        <f>-'Info Entrada'!V166/$A$8</f>
        <v>0</v>
      </c>
      <c r="T37" s="2798">
        <f>-'Info Entrada'!W166/$A$8</f>
        <v>0</v>
      </c>
      <c r="U37" s="2820">
        <f>-'Info Entrada'!F166/$A$8</f>
        <v>0</v>
      </c>
      <c r="V37" s="2820">
        <f>-'Info Entrada'!G166/$A$8</f>
        <v>0</v>
      </c>
    </row>
    <row r="38" spans="1:22" x14ac:dyDescent="0.15">
      <c r="A38" s="2818" t="s">
        <v>1151</v>
      </c>
      <c r="B38" s="2822">
        <f>B35+B37</f>
        <v>0</v>
      </c>
      <c r="C38" s="2822">
        <f>C35+C37</f>
        <v>0</v>
      </c>
      <c r="D38" s="2823">
        <f>D35+D37</f>
        <v>0</v>
      </c>
      <c r="E38" s="2822">
        <f t="shared" ref="E38:T38" ca="1" si="12">E35+E37</f>
        <v>0</v>
      </c>
      <c r="F38" s="2819">
        <f t="shared" ca="1" si="12"/>
        <v>0</v>
      </c>
      <c r="G38" s="2819">
        <f t="shared" ca="1" si="12"/>
        <v>0</v>
      </c>
      <c r="H38" s="2819">
        <f t="shared" ca="1" si="12"/>
        <v>0</v>
      </c>
      <c r="I38" s="2819">
        <f t="shared" ca="1" si="12"/>
        <v>0</v>
      </c>
      <c r="J38" s="2819">
        <f t="shared" ca="1" si="12"/>
        <v>0</v>
      </c>
      <c r="K38" s="2819">
        <f t="shared" ca="1" si="12"/>
        <v>0</v>
      </c>
      <c r="L38" s="2819">
        <f t="shared" ca="1" si="12"/>
        <v>0</v>
      </c>
      <c r="M38" s="2819">
        <f t="shared" ca="1" si="12"/>
        <v>0</v>
      </c>
      <c r="N38" s="2819">
        <f t="shared" ca="1" si="12"/>
        <v>0</v>
      </c>
      <c r="O38" s="2819">
        <f t="shared" ca="1" si="12"/>
        <v>0</v>
      </c>
      <c r="P38" s="2819">
        <f t="shared" ca="1" si="12"/>
        <v>0</v>
      </c>
      <c r="Q38" s="2819">
        <f t="shared" ca="1" si="12"/>
        <v>0</v>
      </c>
      <c r="R38" s="2819">
        <f t="shared" ca="1" si="12"/>
        <v>0</v>
      </c>
      <c r="S38" s="2819">
        <f t="shared" ca="1" si="12"/>
        <v>0</v>
      </c>
      <c r="T38" s="2819">
        <f t="shared" ca="1" si="12"/>
        <v>0</v>
      </c>
      <c r="U38" s="2822">
        <f>U35+U37</f>
        <v>0</v>
      </c>
      <c r="V38" s="2822">
        <f>V35+V37</f>
        <v>0</v>
      </c>
    </row>
    <row r="39" spans="1:22" x14ac:dyDescent="0.15">
      <c r="A39" s="2795" t="s">
        <v>1152</v>
      </c>
      <c r="B39" s="2820">
        <f>+B61</f>
        <v>0</v>
      </c>
      <c r="C39" s="2820">
        <f ca="1">+C61</f>
        <v>0</v>
      </c>
      <c r="D39" s="2820">
        <f t="shared" ref="D39:T39" ca="1" si="13">+D61</f>
        <v>0</v>
      </c>
      <c r="E39" s="2820">
        <f t="shared" ca="1" si="13"/>
        <v>0</v>
      </c>
      <c r="F39" s="2798">
        <f t="shared" ca="1" si="13"/>
        <v>0</v>
      </c>
      <c r="G39" s="2798">
        <f t="shared" ca="1" si="13"/>
        <v>0</v>
      </c>
      <c r="H39" s="2798">
        <f t="shared" ca="1" si="13"/>
        <v>0</v>
      </c>
      <c r="I39" s="2798">
        <f t="shared" ca="1" si="13"/>
        <v>0</v>
      </c>
      <c r="J39" s="2798">
        <f t="shared" ca="1" si="13"/>
        <v>0</v>
      </c>
      <c r="K39" s="2798">
        <f t="shared" ca="1" si="13"/>
        <v>0</v>
      </c>
      <c r="L39" s="2798">
        <f t="shared" ca="1" si="13"/>
        <v>0</v>
      </c>
      <c r="M39" s="2798">
        <f t="shared" ca="1" si="13"/>
        <v>0</v>
      </c>
      <c r="N39" s="2798">
        <f t="shared" ca="1" si="13"/>
        <v>0</v>
      </c>
      <c r="O39" s="2798">
        <f t="shared" ca="1" si="13"/>
        <v>0</v>
      </c>
      <c r="P39" s="2798">
        <f t="shared" ca="1" si="13"/>
        <v>0</v>
      </c>
      <c r="Q39" s="2798">
        <f t="shared" ca="1" si="13"/>
        <v>0</v>
      </c>
      <c r="R39" s="2798">
        <f t="shared" ca="1" si="13"/>
        <v>0</v>
      </c>
      <c r="S39" s="2798">
        <f t="shared" ca="1" si="13"/>
        <v>0</v>
      </c>
      <c r="T39" s="2798">
        <f t="shared" ca="1" si="13"/>
        <v>0</v>
      </c>
      <c r="U39" s="2820">
        <v>0</v>
      </c>
      <c r="V39" s="2820">
        <f ca="1">+V61</f>
        <v>0</v>
      </c>
    </row>
    <row r="40" spans="1:22" ht="9.75" thickBot="1" x14ac:dyDescent="0.2">
      <c r="A40" s="2799" t="s">
        <v>1153</v>
      </c>
      <c r="B40" s="2824">
        <f>B35+B39</f>
        <v>0</v>
      </c>
      <c r="C40" s="2824">
        <f ca="1">C35+C39</f>
        <v>0</v>
      </c>
      <c r="D40" s="2825">
        <f ca="1">D35+D39</f>
        <v>0</v>
      </c>
      <c r="E40" s="2824">
        <f t="shared" ref="E40:T40" ca="1" si="14">E35+E39</f>
        <v>0</v>
      </c>
      <c r="F40" s="2802">
        <f t="shared" ca="1" si="14"/>
        <v>0</v>
      </c>
      <c r="G40" s="2802">
        <f t="shared" ca="1" si="14"/>
        <v>0</v>
      </c>
      <c r="H40" s="2802">
        <f t="shared" ca="1" si="14"/>
        <v>0</v>
      </c>
      <c r="I40" s="2802">
        <f t="shared" ca="1" si="14"/>
        <v>0</v>
      </c>
      <c r="J40" s="2802">
        <f t="shared" ca="1" si="14"/>
        <v>0</v>
      </c>
      <c r="K40" s="2802">
        <f t="shared" ca="1" si="14"/>
        <v>0</v>
      </c>
      <c r="L40" s="2802">
        <f t="shared" ca="1" si="14"/>
        <v>0</v>
      </c>
      <c r="M40" s="2802">
        <f t="shared" ca="1" si="14"/>
        <v>0</v>
      </c>
      <c r="N40" s="2802">
        <f t="shared" ca="1" si="14"/>
        <v>0</v>
      </c>
      <c r="O40" s="2802">
        <f t="shared" ca="1" si="14"/>
        <v>0</v>
      </c>
      <c r="P40" s="2802">
        <f t="shared" ca="1" si="14"/>
        <v>0</v>
      </c>
      <c r="Q40" s="2802">
        <f t="shared" ca="1" si="14"/>
        <v>0</v>
      </c>
      <c r="R40" s="2802">
        <f t="shared" ca="1" si="14"/>
        <v>0</v>
      </c>
      <c r="S40" s="2802">
        <f t="shared" ca="1" si="14"/>
        <v>0</v>
      </c>
      <c r="T40" s="2802">
        <f t="shared" ca="1" si="14"/>
        <v>0</v>
      </c>
      <c r="U40" s="2824">
        <v>0</v>
      </c>
      <c r="V40" s="2824">
        <f ca="1">V35+V39</f>
        <v>0</v>
      </c>
    </row>
    <row r="41" spans="1:22" x14ac:dyDescent="0.15">
      <c r="A41" s="2795" t="s">
        <v>1154</v>
      </c>
      <c r="B41" s="2826">
        <v>2</v>
      </c>
      <c r="C41" s="2826">
        <v>2</v>
      </c>
      <c r="D41" s="2826">
        <v>3</v>
      </c>
      <c r="E41" s="2826"/>
      <c r="F41" s="2827"/>
      <c r="G41" s="2827"/>
      <c r="H41" s="2827"/>
      <c r="I41" s="2827"/>
      <c r="J41" s="2827"/>
      <c r="K41" s="2827"/>
      <c r="L41" s="2827"/>
      <c r="M41" s="2827"/>
      <c r="N41" s="2827"/>
      <c r="O41" s="2827"/>
      <c r="P41" s="2827"/>
      <c r="Q41" s="2827"/>
      <c r="R41" s="2827"/>
      <c r="S41" s="2827"/>
      <c r="T41" s="2827"/>
      <c r="U41" s="2826">
        <v>0</v>
      </c>
      <c r="V41" s="2826">
        <v>0</v>
      </c>
    </row>
    <row r="42" spans="1:22" ht="11.25" x14ac:dyDescent="0.2">
      <c r="A42" s="2795" t="s">
        <v>1155</v>
      </c>
      <c r="B42" s="2937">
        <f>IF(B41="","",B35/B41)</f>
        <v>0</v>
      </c>
      <c r="C42" s="2937">
        <f t="shared" ref="C42:E42" si="15">IF(C41="","",C35/C41)</f>
        <v>0</v>
      </c>
      <c r="D42" s="2937">
        <f t="shared" si="15"/>
        <v>0</v>
      </c>
      <c r="E42" s="2937" t="str">
        <f t="shared" si="15"/>
        <v/>
      </c>
      <c r="F42" s="2798" t="str">
        <f t="shared" ref="F42:T42" si="16">IF(F41="","",F35/F41)</f>
        <v/>
      </c>
      <c r="G42" s="2798" t="str">
        <f t="shared" si="16"/>
        <v/>
      </c>
      <c r="H42" s="2798" t="str">
        <f t="shared" si="16"/>
        <v/>
      </c>
      <c r="I42" s="2798" t="str">
        <f t="shared" si="16"/>
        <v/>
      </c>
      <c r="J42" s="2798" t="str">
        <f t="shared" si="16"/>
        <v/>
      </c>
      <c r="K42" s="2798" t="str">
        <f t="shared" si="16"/>
        <v/>
      </c>
      <c r="L42" s="2798" t="str">
        <f t="shared" si="16"/>
        <v/>
      </c>
      <c r="M42" s="2798" t="str">
        <f t="shared" si="16"/>
        <v/>
      </c>
      <c r="N42" s="2798" t="str">
        <f t="shared" si="16"/>
        <v/>
      </c>
      <c r="O42" s="2798" t="str">
        <f t="shared" si="16"/>
        <v/>
      </c>
      <c r="P42" s="2798" t="str">
        <f t="shared" si="16"/>
        <v/>
      </c>
      <c r="Q42" s="2798" t="str">
        <f t="shared" si="16"/>
        <v/>
      </c>
      <c r="R42" s="2798" t="str">
        <f t="shared" si="16"/>
        <v/>
      </c>
      <c r="S42" s="2798" t="str">
        <f t="shared" si="16"/>
        <v/>
      </c>
      <c r="T42" s="2798" t="str">
        <f t="shared" si="16"/>
        <v/>
      </c>
      <c r="U42" s="2828">
        <v>6</v>
      </c>
      <c r="V42" s="2828">
        <v>6</v>
      </c>
    </row>
    <row r="43" spans="1:22" ht="11.25" x14ac:dyDescent="0.2">
      <c r="A43" s="2795" t="s">
        <v>1156</v>
      </c>
      <c r="B43" s="2937">
        <f>IF(B41="","",B39/B41)</f>
        <v>0</v>
      </c>
      <c r="C43" s="2937">
        <f t="shared" ref="C43:E43" ca="1" si="17">IF(C41="","",C39/C41)</f>
        <v>0</v>
      </c>
      <c r="D43" s="2937">
        <f t="shared" ca="1" si="17"/>
        <v>0</v>
      </c>
      <c r="E43" s="2937" t="str">
        <f t="shared" si="17"/>
        <v/>
      </c>
      <c r="F43" s="2798" t="str">
        <f t="shared" ref="F43:T43" si="18">IF(F41="","",F39/F41)</f>
        <v/>
      </c>
      <c r="G43" s="2798" t="str">
        <f t="shared" si="18"/>
        <v/>
      </c>
      <c r="H43" s="2798" t="str">
        <f t="shared" si="18"/>
        <v/>
      </c>
      <c r="I43" s="2798" t="str">
        <f t="shared" si="18"/>
        <v/>
      </c>
      <c r="J43" s="2798" t="str">
        <f t="shared" si="18"/>
        <v/>
      </c>
      <c r="K43" s="2798" t="str">
        <f t="shared" si="18"/>
        <v/>
      </c>
      <c r="L43" s="2798" t="str">
        <f t="shared" si="18"/>
        <v/>
      </c>
      <c r="M43" s="2798" t="str">
        <f t="shared" si="18"/>
        <v/>
      </c>
      <c r="N43" s="2798" t="str">
        <f t="shared" si="18"/>
        <v/>
      </c>
      <c r="O43" s="2798" t="str">
        <f t="shared" si="18"/>
        <v/>
      </c>
      <c r="P43" s="2798" t="str">
        <f t="shared" si="18"/>
        <v/>
      </c>
      <c r="Q43" s="2798" t="str">
        <f t="shared" si="18"/>
        <v/>
      </c>
      <c r="R43" s="2798" t="str">
        <f t="shared" si="18"/>
        <v/>
      </c>
      <c r="S43" s="2798" t="str">
        <f t="shared" si="18"/>
        <v/>
      </c>
      <c r="T43" s="2798" t="str">
        <f t="shared" si="18"/>
        <v/>
      </c>
      <c r="U43" s="2828">
        <v>6</v>
      </c>
      <c r="V43" s="2828">
        <v>6</v>
      </c>
    </row>
    <row r="44" spans="1:22" x14ac:dyDescent="0.15">
      <c r="A44" s="2795" t="s">
        <v>1157</v>
      </c>
      <c r="B44" s="2829">
        <f>IFERROR(IF(B39&lt;&gt;0,B39/B35,0),0)</f>
        <v>0</v>
      </c>
      <c r="C44" s="2829">
        <f ca="1">IFERROR(IF(C39&lt;&gt;0,C39/C35,0),0)</f>
        <v>0</v>
      </c>
      <c r="D44" s="2829">
        <f ca="1">IFERROR(IF(D39&lt;&gt;0,D39/D35,0),0)</f>
        <v>0</v>
      </c>
      <c r="E44" s="2829">
        <f ca="1">IFERROR(IF(E39&lt;&gt;0,E39/E35,0),0)</f>
        <v>0</v>
      </c>
      <c r="F44" s="2830">
        <f t="shared" ref="F44:T44" ca="1" si="19">IFERROR(IF(F39&lt;&gt;0,F39/F35,0),0)</f>
        <v>0</v>
      </c>
      <c r="G44" s="2830">
        <f t="shared" ca="1" si="19"/>
        <v>0</v>
      </c>
      <c r="H44" s="2830">
        <f t="shared" ca="1" si="19"/>
        <v>0</v>
      </c>
      <c r="I44" s="2830">
        <f t="shared" ca="1" si="19"/>
        <v>0</v>
      </c>
      <c r="J44" s="2830">
        <f t="shared" ca="1" si="19"/>
        <v>0</v>
      </c>
      <c r="K44" s="2830">
        <f t="shared" ca="1" si="19"/>
        <v>0</v>
      </c>
      <c r="L44" s="2830">
        <f t="shared" ca="1" si="19"/>
        <v>0</v>
      </c>
      <c r="M44" s="2830">
        <f t="shared" ca="1" si="19"/>
        <v>0</v>
      </c>
      <c r="N44" s="2830">
        <f t="shared" ca="1" si="19"/>
        <v>0</v>
      </c>
      <c r="O44" s="2830">
        <f t="shared" ca="1" si="19"/>
        <v>0</v>
      </c>
      <c r="P44" s="2830">
        <f t="shared" ca="1" si="19"/>
        <v>0</v>
      </c>
      <c r="Q44" s="2830">
        <f t="shared" ca="1" si="19"/>
        <v>0</v>
      </c>
      <c r="R44" s="2830">
        <f t="shared" ca="1" si="19"/>
        <v>0</v>
      </c>
      <c r="S44" s="2830">
        <f t="shared" ca="1" si="19"/>
        <v>0</v>
      </c>
      <c r="T44" s="2830">
        <f t="shared" ca="1" si="19"/>
        <v>0</v>
      </c>
      <c r="U44" s="2829">
        <f>IFERROR(IF(U39&lt;&gt;0,U39/U35,0),0)</f>
        <v>0</v>
      </c>
      <c r="V44" s="2829">
        <f ca="1">IFERROR(IF(V39&lt;&gt;0,V39/V35,0),0)</f>
        <v>0</v>
      </c>
    </row>
    <row r="45" spans="1:22" ht="9.75" thickBot="1" x14ac:dyDescent="0.2">
      <c r="A45" s="2831"/>
      <c r="B45" s="2787">
        <f t="shared" ref="B45:V45" si="20">B12</f>
        <v>42735</v>
      </c>
      <c r="C45" s="2787">
        <f t="shared" si="20"/>
        <v>43100</v>
      </c>
      <c r="D45" s="2788">
        <f t="shared" si="20"/>
        <v>43465</v>
      </c>
      <c r="E45" s="2789">
        <f t="shared" si="20"/>
        <v>43830</v>
      </c>
      <c r="F45" s="2789">
        <f t="shared" si="20"/>
        <v>44196</v>
      </c>
      <c r="G45" s="2789">
        <f t="shared" si="20"/>
        <v>44561</v>
      </c>
      <c r="H45" s="2789">
        <f t="shared" si="20"/>
        <v>44926</v>
      </c>
      <c r="I45" s="2789">
        <f t="shared" si="20"/>
        <v>45291</v>
      </c>
      <c r="J45" s="2789">
        <f t="shared" si="20"/>
        <v>45657</v>
      </c>
      <c r="K45" s="2789">
        <f t="shared" si="20"/>
        <v>46022</v>
      </c>
      <c r="L45" s="2789">
        <f t="shared" si="20"/>
        <v>46387</v>
      </c>
      <c r="M45" s="2789">
        <f t="shared" si="20"/>
        <v>46752</v>
      </c>
      <c r="N45" s="2789">
        <f t="shared" si="20"/>
        <v>47118</v>
      </c>
      <c r="O45" s="2789">
        <f t="shared" si="20"/>
        <v>47483</v>
      </c>
      <c r="P45" s="2789">
        <f t="shared" si="20"/>
        <v>47848</v>
      </c>
      <c r="Q45" s="2789">
        <f t="shared" si="20"/>
        <v>48213</v>
      </c>
      <c r="R45" s="2789">
        <f t="shared" si="20"/>
        <v>48579</v>
      </c>
      <c r="S45" s="2789">
        <f t="shared" si="20"/>
        <v>48944</v>
      </c>
      <c r="T45" s="2789">
        <f t="shared" si="20"/>
        <v>49309</v>
      </c>
      <c r="U45" s="2788">
        <f t="shared" si="20"/>
        <v>43281</v>
      </c>
      <c r="V45" s="2790">
        <f t="shared" si="20"/>
        <v>43646</v>
      </c>
    </row>
    <row r="46" spans="1:22" ht="9.75" thickBot="1" x14ac:dyDescent="0.2">
      <c r="A46" s="2803" t="s">
        <v>1158</v>
      </c>
      <c r="B46" s="2804">
        <f>Cuadros!M27/$A$8</f>
        <v>0</v>
      </c>
      <c r="C46" s="2804">
        <f>Cuadros!N27/$A$8</f>
        <v>0</v>
      </c>
      <c r="D46" s="2805">
        <f>Cuadros!O27/$A$8</f>
        <v>0</v>
      </c>
      <c r="E46" s="2804">
        <f>Cuadros!P27/$A$8</f>
        <v>0</v>
      </c>
      <c r="F46" s="2806">
        <f>Cuadros!Q27/$A$8</f>
        <v>0</v>
      </c>
      <c r="G46" s="2806">
        <f>Cuadros!R27/$A$8</f>
        <v>0</v>
      </c>
      <c r="H46" s="2806">
        <f>Cuadros!S27/$A$8</f>
        <v>0</v>
      </c>
      <c r="I46" s="2806">
        <f>Cuadros!T27/$A$8</f>
        <v>0</v>
      </c>
      <c r="J46" s="2806">
        <f>Cuadros!U27/$A$8</f>
        <v>0</v>
      </c>
      <c r="K46" s="2806">
        <f>Cuadros!V27/$A$8</f>
        <v>0</v>
      </c>
      <c r="L46" s="2806">
        <f>Cuadros!W27/$A$8</f>
        <v>0</v>
      </c>
      <c r="M46" s="2806">
        <f>Cuadros!X27/$A$8</f>
        <v>0</v>
      </c>
      <c r="N46" s="2806">
        <f>Cuadros!Y27/$A$8</f>
        <v>0</v>
      </c>
      <c r="O46" s="2806">
        <f>Cuadros!Z27/$A$8</f>
        <v>0</v>
      </c>
      <c r="P46" s="2806">
        <f>Cuadros!AA27/$A$8</f>
        <v>0</v>
      </c>
      <c r="Q46" s="2806">
        <f>Cuadros!AB27/$A$8</f>
        <v>0</v>
      </c>
      <c r="R46" s="2806">
        <f>Cuadros!AC27/$A$8</f>
        <v>0</v>
      </c>
      <c r="S46" s="2806">
        <f>Cuadros!AD27/$A$8</f>
        <v>0</v>
      </c>
      <c r="T46" s="2806">
        <f>Cuadros!AE27/$A$8</f>
        <v>0</v>
      </c>
      <c r="U46" s="2804">
        <f>Cuadros!AG27/$A$8</f>
        <v>0</v>
      </c>
      <c r="V46" s="2804">
        <f>Cuadros!AH27/$A$8</f>
        <v>0</v>
      </c>
    </row>
    <row r="47" spans="1:22" ht="9.75" thickBot="1" x14ac:dyDescent="0.2">
      <c r="A47" s="2795" t="s">
        <v>1159</v>
      </c>
      <c r="B47" s="2796">
        <f>(Cuadros!M28+Cuadros!M30)/$A$8</f>
        <v>0</v>
      </c>
      <c r="C47" s="2796">
        <f>(Cuadros!N28+Cuadros!N30)/$A$8</f>
        <v>0</v>
      </c>
      <c r="D47" s="2797">
        <f>(Cuadros!O28+Cuadros!O30)/$A$8</f>
        <v>0</v>
      </c>
      <c r="E47" s="2796">
        <f>(Cuadros!P28+Cuadros!P30)/$A$8</f>
        <v>0</v>
      </c>
      <c r="F47" s="2798">
        <f>(Cuadros!Q28+Cuadros!Q30)/$A$8</f>
        <v>0</v>
      </c>
      <c r="G47" s="2798">
        <f>(Cuadros!R28+Cuadros!R30)/$A$8</f>
        <v>0</v>
      </c>
      <c r="H47" s="2798">
        <f>(Cuadros!S28+Cuadros!S30)/$A$8</f>
        <v>0</v>
      </c>
      <c r="I47" s="2798">
        <f>(Cuadros!T28+Cuadros!T30)/$A$8</f>
        <v>0</v>
      </c>
      <c r="J47" s="2798">
        <f>(Cuadros!U28+Cuadros!U30)/$A$8</f>
        <v>0</v>
      </c>
      <c r="K47" s="2798">
        <f>(Cuadros!V28+Cuadros!V30)/$A$8</f>
        <v>0</v>
      </c>
      <c r="L47" s="2798">
        <f>(Cuadros!W28+Cuadros!W30)/$A$8</f>
        <v>0</v>
      </c>
      <c r="M47" s="2798">
        <f>(Cuadros!X28+Cuadros!X30)/$A$8</f>
        <v>0</v>
      </c>
      <c r="N47" s="2798">
        <f>(Cuadros!Y28+Cuadros!Y30)/$A$8</f>
        <v>0</v>
      </c>
      <c r="O47" s="2798">
        <f>(Cuadros!Z28+Cuadros!Z30)/$A$8</f>
        <v>0</v>
      </c>
      <c r="P47" s="2798">
        <f>(Cuadros!AA28+Cuadros!AA30)/$A$8</f>
        <v>0</v>
      </c>
      <c r="Q47" s="2798">
        <f>(Cuadros!AB28+Cuadros!AB30)/$A$8</f>
        <v>0</v>
      </c>
      <c r="R47" s="2798">
        <f>(Cuadros!AC28+Cuadros!AC30)/$A$8</f>
        <v>0</v>
      </c>
      <c r="S47" s="2798">
        <f>(Cuadros!AD28+Cuadros!AD30)/$A$8</f>
        <v>0</v>
      </c>
      <c r="T47" s="2798">
        <f>(Cuadros!AE28+Cuadros!AE30)/$A$8</f>
        <v>0</v>
      </c>
      <c r="U47" s="2804">
        <f>Cuadros!AG28/$A$8</f>
        <v>0</v>
      </c>
      <c r="V47" s="2796">
        <f>(Cuadros!AH28+Cuadros!AH30)/$A$8</f>
        <v>0</v>
      </c>
    </row>
    <row r="48" spans="1:22" ht="9.75" thickBot="1" x14ac:dyDescent="0.2">
      <c r="A48" s="2795" t="s">
        <v>1160</v>
      </c>
      <c r="B48" s="2796">
        <f>Cuadros!M33/$A$8</f>
        <v>0</v>
      </c>
      <c r="C48" s="2796">
        <f ca="1">Cuadros!N33/$A$8</f>
        <v>0</v>
      </c>
      <c r="D48" s="2797">
        <f ca="1">Cuadros!O33/$A$8</f>
        <v>0</v>
      </c>
      <c r="E48" s="2796">
        <f>Cuadros!P33/$A$8</f>
        <v>0</v>
      </c>
      <c r="F48" s="2798">
        <f>Cuadros!Q33/$A$8</f>
        <v>0</v>
      </c>
      <c r="G48" s="2798">
        <f>Cuadros!R33/$A$8</f>
        <v>0</v>
      </c>
      <c r="H48" s="2798">
        <f>Cuadros!S33/$A$8</f>
        <v>0</v>
      </c>
      <c r="I48" s="2798">
        <f>Cuadros!T33/$A$8</f>
        <v>0</v>
      </c>
      <c r="J48" s="2798">
        <f>Cuadros!U33/$A$8</f>
        <v>0</v>
      </c>
      <c r="K48" s="2798">
        <f>Cuadros!V33/$A$8</f>
        <v>0</v>
      </c>
      <c r="L48" s="2798">
        <f>Cuadros!W33/$A$8</f>
        <v>0</v>
      </c>
      <c r="M48" s="2798">
        <f>Cuadros!X33/$A$8</f>
        <v>0</v>
      </c>
      <c r="N48" s="2798">
        <f>Cuadros!Y33/$A$8</f>
        <v>0</v>
      </c>
      <c r="O48" s="2798">
        <f>Cuadros!Z33/$A$8</f>
        <v>0</v>
      </c>
      <c r="P48" s="2798">
        <f>Cuadros!AA33/$A$8</f>
        <v>0</v>
      </c>
      <c r="Q48" s="2798">
        <f>Cuadros!AB33/$A$8</f>
        <v>0</v>
      </c>
      <c r="R48" s="2798">
        <f>Cuadros!AC33/$A$8</f>
        <v>0</v>
      </c>
      <c r="S48" s="2798">
        <f>Cuadros!AD33/$A$8</f>
        <v>0</v>
      </c>
      <c r="T48" s="2798">
        <f>Cuadros!AE33/$A$8</f>
        <v>0</v>
      </c>
      <c r="U48" s="2804">
        <f>Cuadros!AG29/$A$8</f>
        <v>0</v>
      </c>
      <c r="V48" s="2796">
        <f ca="1">Cuadros!AH33/$A$8</f>
        <v>0</v>
      </c>
    </row>
    <row r="49" spans="1:22" ht="9.75" thickBot="1" x14ac:dyDescent="0.2">
      <c r="A49" s="2795" t="s">
        <v>1161</v>
      </c>
      <c r="B49" s="2796">
        <f>Cuadros!M31/$A$8</f>
        <v>0</v>
      </c>
      <c r="C49" s="2796">
        <f>Cuadros!N31/$A$8</f>
        <v>0</v>
      </c>
      <c r="D49" s="2797">
        <f>Cuadros!O31/$A$8</f>
        <v>0</v>
      </c>
      <c r="E49" s="2796">
        <f>Cuadros!P31/$A$8</f>
        <v>0</v>
      </c>
      <c r="F49" s="2798">
        <f>Cuadros!Q31/$A$8</f>
        <v>0</v>
      </c>
      <c r="G49" s="2798">
        <f>Cuadros!R31/$A$8</f>
        <v>0</v>
      </c>
      <c r="H49" s="2798">
        <f>Cuadros!S31/$A$8</f>
        <v>0</v>
      </c>
      <c r="I49" s="2798">
        <f>Cuadros!T31/$A$8</f>
        <v>0</v>
      </c>
      <c r="J49" s="2798">
        <f>Cuadros!U31/$A$8</f>
        <v>0</v>
      </c>
      <c r="K49" s="2798">
        <f>Cuadros!V31/$A$8</f>
        <v>0</v>
      </c>
      <c r="L49" s="2798">
        <f>Cuadros!W31/$A$8</f>
        <v>0</v>
      </c>
      <c r="M49" s="2798">
        <f>Cuadros!X31/$A$8</f>
        <v>0</v>
      </c>
      <c r="N49" s="2798">
        <f>Cuadros!Y31/$A$8</f>
        <v>0</v>
      </c>
      <c r="O49" s="2798">
        <f>Cuadros!Z31/$A$8</f>
        <v>0</v>
      </c>
      <c r="P49" s="2798">
        <f>Cuadros!AA31/$A$8</f>
        <v>0</v>
      </c>
      <c r="Q49" s="2798">
        <f>Cuadros!AB31/$A$8</f>
        <v>0</v>
      </c>
      <c r="R49" s="2798">
        <f>Cuadros!AC31/$A$8</f>
        <v>0</v>
      </c>
      <c r="S49" s="2798">
        <f>Cuadros!AD31/$A$8</f>
        <v>0</v>
      </c>
      <c r="T49" s="2798">
        <f>Cuadros!AE31/$A$8</f>
        <v>0</v>
      </c>
      <c r="U49" s="2804">
        <f>Cuadros!AG30/$A$8</f>
        <v>0</v>
      </c>
      <c r="V49" s="2796">
        <f>Cuadros!AH31/$A$8</f>
        <v>0</v>
      </c>
    </row>
    <row r="50" spans="1:22" ht="9.75" thickBot="1" x14ac:dyDescent="0.2">
      <c r="A50" s="2781" t="s">
        <v>453</v>
      </c>
      <c r="B50" s="2832">
        <f>Cuadros!M32/$A$8</f>
        <v>0</v>
      </c>
      <c r="C50" s="2832">
        <f ca="1">Cuadros!N32/$A$8</f>
        <v>0</v>
      </c>
      <c r="D50" s="2833">
        <f ca="1">Cuadros!O32/$A$8</f>
        <v>0</v>
      </c>
      <c r="E50" s="2832">
        <f ca="1">Cuadros!P32/$A$8</f>
        <v>0</v>
      </c>
      <c r="F50" s="2834">
        <f ca="1">Cuadros!Q32/$A$8</f>
        <v>0</v>
      </c>
      <c r="G50" s="2834">
        <f ca="1">Cuadros!R32/$A$8</f>
        <v>0</v>
      </c>
      <c r="H50" s="2834">
        <f ca="1">Cuadros!S32/$A$8</f>
        <v>0</v>
      </c>
      <c r="I50" s="2834">
        <f ca="1">Cuadros!T32/$A$8</f>
        <v>0</v>
      </c>
      <c r="J50" s="2834">
        <f ca="1">Cuadros!U32/$A$8</f>
        <v>0</v>
      </c>
      <c r="K50" s="2834">
        <f ca="1">Cuadros!V32/$A$8</f>
        <v>0</v>
      </c>
      <c r="L50" s="2834">
        <f ca="1">Cuadros!W32/$A$8</f>
        <v>0</v>
      </c>
      <c r="M50" s="2834">
        <f ca="1">Cuadros!X32/$A$8</f>
        <v>0</v>
      </c>
      <c r="N50" s="2834">
        <f ca="1">Cuadros!Y32/$A$8</f>
        <v>0</v>
      </c>
      <c r="O50" s="2834">
        <f ca="1">Cuadros!Z32/$A$8</f>
        <v>0</v>
      </c>
      <c r="P50" s="2834">
        <f ca="1">Cuadros!AA32/$A$8</f>
        <v>0</v>
      </c>
      <c r="Q50" s="2834">
        <f ca="1">Cuadros!AB32/$A$8</f>
        <v>0</v>
      </c>
      <c r="R50" s="2834">
        <f ca="1">Cuadros!AC32/$A$8</f>
        <v>0</v>
      </c>
      <c r="S50" s="2834">
        <f ca="1">Cuadros!AD32/$A$8</f>
        <v>0</v>
      </c>
      <c r="T50" s="2834">
        <f ca="1">Cuadros!AE32/$A$8</f>
        <v>0</v>
      </c>
      <c r="U50" s="2804">
        <f>Cuadros!AG31/$A$8</f>
        <v>0</v>
      </c>
      <c r="V50" s="2832">
        <f ca="1">Cuadros!AH32/$A$8</f>
        <v>0</v>
      </c>
    </row>
    <row r="51" spans="1:22" ht="9.75" thickBot="1" x14ac:dyDescent="0.2">
      <c r="A51" s="2811" t="s">
        <v>1162</v>
      </c>
      <c r="B51" s="2812">
        <f t="shared" ref="B51" si="21">IFERROR(SUM(B46:B50),0)</f>
        <v>0</v>
      </c>
      <c r="C51" s="2812">
        <f t="shared" ref="C51:T51" ca="1" si="22">IFERROR(SUM(C46:C50),0)</f>
        <v>0</v>
      </c>
      <c r="D51" s="2813">
        <f t="shared" ca="1" si="22"/>
        <v>0</v>
      </c>
      <c r="E51" s="2812">
        <f t="shared" ca="1" si="22"/>
        <v>0</v>
      </c>
      <c r="F51" s="2814">
        <f t="shared" ca="1" si="22"/>
        <v>0</v>
      </c>
      <c r="G51" s="2814">
        <f t="shared" ca="1" si="22"/>
        <v>0</v>
      </c>
      <c r="H51" s="2814">
        <f t="shared" ca="1" si="22"/>
        <v>0</v>
      </c>
      <c r="I51" s="2814">
        <f t="shared" ca="1" si="22"/>
        <v>0</v>
      </c>
      <c r="J51" s="2814">
        <f t="shared" ca="1" si="22"/>
        <v>0</v>
      </c>
      <c r="K51" s="2814">
        <f t="shared" ca="1" si="22"/>
        <v>0</v>
      </c>
      <c r="L51" s="2814">
        <f t="shared" ca="1" si="22"/>
        <v>0</v>
      </c>
      <c r="M51" s="2814">
        <f t="shared" ca="1" si="22"/>
        <v>0</v>
      </c>
      <c r="N51" s="2814">
        <f t="shared" ca="1" si="22"/>
        <v>0</v>
      </c>
      <c r="O51" s="2814">
        <f t="shared" ca="1" si="22"/>
        <v>0</v>
      </c>
      <c r="P51" s="2814">
        <f t="shared" ca="1" si="22"/>
        <v>0</v>
      </c>
      <c r="Q51" s="2814">
        <f t="shared" ca="1" si="22"/>
        <v>0</v>
      </c>
      <c r="R51" s="2814">
        <f t="shared" ca="1" si="22"/>
        <v>0</v>
      </c>
      <c r="S51" s="2814">
        <f t="shared" ca="1" si="22"/>
        <v>0</v>
      </c>
      <c r="T51" s="2814">
        <f t="shared" ca="1" si="22"/>
        <v>0</v>
      </c>
      <c r="U51" s="2804">
        <v>0</v>
      </c>
      <c r="V51" s="2812">
        <f ca="1">IFERROR(SUM(V46:V50),0)</f>
        <v>0</v>
      </c>
    </row>
    <row r="52" spans="1:22" ht="9.75" thickBot="1" x14ac:dyDescent="0.2">
      <c r="A52" s="2803" t="s">
        <v>1163</v>
      </c>
      <c r="B52" s="2804">
        <f>(Cuadros!M39+Cuadros!M41)/$A$8</f>
        <v>0</v>
      </c>
      <c r="C52" s="2804">
        <f ca="1">(Cuadros!N39+Cuadros!N41)/$A$8</f>
        <v>0</v>
      </c>
      <c r="D52" s="2805">
        <f ca="1">(Cuadros!O39+Cuadros!O41)/$A$8</f>
        <v>0</v>
      </c>
      <c r="E52" s="2804">
        <f ca="1">(Cuadros!P39+Cuadros!P41)/$A$8</f>
        <v>0</v>
      </c>
      <c r="F52" s="2806">
        <f ca="1">(Cuadros!Q39+Cuadros!Q41)/$A$8</f>
        <v>0</v>
      </c>
      <c r="G52" s="2806">
        <f ca="1">(Cuadros!R39+Cuadros!R41)/$A$8</f>
        <v>0</v>
      </c>
      <c r="H52" s="2806">
        <f ca="1">(Cuadros!S39+Cuadros!S41)/$A$8</f>
        <v>0</v>
      </c>
      <c r="I52" s="2806">
        <f ca="1">(Cuadros!T39+Cuadros!T41)/$A$8</f>
        <v>0</v>
      </c>
      <c r="J52" s="2806">
        <f ca="1">(Cuadros!U39+Cuadros!U41)/$A$8</f>
        <v>0</v>
      </c>
      <c r="K52" s="2806">
        <f ca="1">(Cuadros!V39+Cuadros!V41)/$A$8</f>
        <v>0</v>
      </c>
      <c r="L52" s="2806">
        <f ca="1">(Cuadros!W39+Cuadros!W41)/$A$8</f>
        <v>0</v>
      </c>
      <c r="M52" s="2806">
        <f ca="1">(Cuadros!X39+Cuadros!X41)/$A$8</f>
        <v>0</v>
      </c>
      <c r="N52" s="2806">
        <f ca="1">(Cuadros!Y39+Cuadros!Y41)/$A$8</f>
        <v>0</v>
      </c>
      <c r="O52" s="2806">
        <f ca="1">(Cuadros!Z39+Cuadros!Z41)/$A$8</f>
        <v>0</v>
      </c>
      <c r="P52" s="2806">
        <f ca="1">(Cuadros!AA39+Cuadros!AA41)/$A$8</f>
        <v>0</v>
      </c>
      <c r="Q52" s="2806">
        <f ca="1">(Cuadros!AB39+Cuadros!AB41)/$A$8</f>
        <v>0</v>
      </c>
      <c r="R52" s="2806">
        <f ca="1">(Cuadros!AC39+Cuadros!AC41)/$A$8</f>
        <v>0</v>
      </c>
      <c r="S52" s="2806">
        <f ca="1">(Cuadros!AD39+Cuadros!AD41)/$A$8</f>
        <v>0</v>
      </c>
      <c r="T52" s="2806">
        <f ca="1">(Cuadros!AE39+Cuadros!AE41)/$A$8</f>
        <v>0</v>
      </c>
      <c r="U52" s="2804">
        <v>0</v>
      </c>
      <c r="V52" s="2804">
        <f ca="1">(Cuadros!AH39+Cuadros!AH41)/$A$8</f>
        <v>0</v>
      </c>
    </row>
    <row r="53" spans="1:22" ht="9.75" thickBot="1" x14ac:dyDescent="0.2">
      <c r="A53" s="2795" t="s">
        <v>1164</v>
      </c>
      <c r="B53" s="2796">
        <v>0</v>
      </c>
      <c r="C53" s="2796">
        <v>0</v>
      </c>
      <c r="D53" s="2797">
        <v>0</v>
      </c>
      <c r="E53" s="2796">
        <v>0</v>
      </c>
      <c r="F53" s="2798">
        <v>0</v>
      </c>
      <c r="G53" s="2798">
        <v>0</v>
      </c>
      <c r="H53" s="2798">
        <v>0</v>
      </c>
      <c r="I53" s="2798">
        <v>0</v>
      </c>
      <c r="J53" s="2798">
        <v>0</v>
      </c>
      <c r="K53" s="2798">
        <v>0</v>
      </c>
      <c r="L53" s="2798">
        <v>0</v>
      </c>
      <c r="M53" s="2798">
        <v>0</v>
      </c>
      <c r="N53" s="2798">
        <v>0</v>
      </c>
      <c r="O53" s="2798">
        <v>0</v>
      </c>
      <c r="P53" s="2798">
        <v>0</v>
      </c>
      <c r="Q53" s="2798">
        <v>0</v>
      </c>
      <c r="R53" s="2798">
        <v>0</v>
      </c>
      <c r="S53" s="2798">
        <v>0</v>
      </c>
      <c r="T53" s="2798">
        <v>0</v>
      </c>
      <c r="U53" s="2804">
        <v>0</v>
      </c>
      <c r="V53" s="2796">
        <v>0</v>
      </c>
    </row>
    <row r="54" spans="1:22" ht="12" thickBot="1" x14ac:dyDescent="0.35">
      <c r="A54" s="2795" t="s">
        <v>1165</v>
      </c>
      <c r="B54" s="2796">
        <f>IF(-Cuadros!M40&gt;0,Cuadros!M40,0)/$A$8</f>
        <v>0</v>
      </c>
      <c r="C54" s="2796">
        <f ca="1">IF(-Cuadros!N40&gt;0,Cuadros!N40,0)/$A$8</f>
        <v>0</v>
      </c>
      <c r="D54" s="2797">
        <f ca="1">IF(-Cuadros!O40&gt;0,Cuadros!O40,0)/$A$8</f>
        <v>0</v>
      </c>
      <c r="E54" s="2796">
        <f ca="1">IFERROR(IF(-Cuadros!P40&gt;0,Cuadros!P40,0)/$A$8,0)</f>
        <v>0</v>
      </c>
      <c r="F54" s="2939">
        <f>IFERROR(IF(-Cuadros!Q40&gt;0,Cuadros!Q40,0)/$A$8,0)</f>
        <v>0</v>
      </c>
      <c r="G54" s="2798">
        <f>IFERROR(IF(-Cuadros!R40&gt;0,Cuadros!R40,0)/$A$8,0)</f>
        <v>0</v>
      </c>
      <c r="H54" s="2798">
        <f>IFERROR(IF(-Cuadros!S40&gt;0,Cuadros!S40,0)/$A$8,0)</f>
        <v>0</v>
      </c>
      <c r="I54" s="2798">
        <f>IFERROR(IF(-Cuadros!T40&gt;0,Cuadros!T40,0)/$A$8,0)</f>
        <v>0</v>
      </c>
      <c r="J54" s="2798">
        <f>IFERROR(IF(-Cuadros!U40&gt;0,Cuadros!U40,0)/$A$8,0)</f>
        <v>0</v>
      </c>
      <c r="K54" s="2798">
        <f>IFERROR(IF(-Cuadros!V40&gt;0,Cuadros!V40,0)/$A$8,0)</f>
        <v>0</v>
      </c>
      <c r="L54" s="2798">
        <f>IFERROR(IF(-Cuadros!W40&gt;0,Cuadros!W40,0)/$A$8,0)</f>
        <v>0</v>
      </c>
      <c r="M54" s="2798">
        <f>IFERROR(IF(-Cuadros!X40&gt;0,Cuadros!X40,0)/$A$8,0)</f>
        <v>0</v>
      </c>
      <c r="N54" s="2798">
        <f>IFERROR(IF(-Cuadros!Y40&gt;0,Cuadros!Y40,0)/$A$8,0)</f>
        <v>0</v>
      </c>
      <c r="O54" s="2798">
        <f>IFERROR(IF(-Cuadros!Z40&gt;0,Cuadros!Z40,0)/$A$8,0)</f>
        <v>0</v>
      </c>
      <c r="P54" s="2798">
        <f>IFERROR(IF(-Cuadros!AA40&gt;0,Cuadros!AA40,0)/$A$8,0)</f>
        <v>0</v>
      </c>
      <c r="Q54" s="2798">
        <f>IFERROR(IF(-Cuadros!AB40&gt;0,Cuadros!AB40,0)/$A$8,0)</f>
        <v>0</v>
      </c>
      <c r="R54" s="2798">
        <f>IFERROR(IF(-Cuadros!AC40&gt;0,Cuadros!AC40,0)/$A$8,0)</f>
        <v>0</v>
      </c>
      <c r="S54" s="2798">
        <f>IFERROR(IF(-Cuadros!AD40&gt;0,Cuadros!AD40,0)/$A$8,0)</f>
        <v>0</v>
      </c>
      <c r="T54" s="2798">
        <f>IFERROR(IF(-Cuadros!AE40&gt;0,Cuadros!AE40,0)/$A$8,0)</f>
        <v>0</v>
      </c>
      <c r="U54" s="2804">
        <v>0</v>
      </c>
      <c r="V54" s="2796">
        <f ca="1">IF(-Cuadros!AH40&gt;0,Cuadros!AH40,0)/$A$8</f>
        <v>0</v>
      </c>
    </row>
    <row r="55" spans="1:22" ht="9.75" thickBot="1" x14ac:dyDescent="0.2">
      <c r="A55" s="2795" t="s">
        <v>1166</v>
      </c>
      <c r="B55" s="2796">
        <f>IF(-Cuadros!M40&lt;0,Cuadros!M40,0)/$A$8</f>
        <v>0</v>
      </c>
      <c r="C55" s="2796">
        <f ca="1">IF(-Cuadros!N40&lt;0,Cuadros!N40,0)/$A$8</f>
        <v>0</v>
      </c>
      <c r="D55" s="2797">
        <f ca="1">IF(-Cuadros!O40&lt;0,Cuadros!O40,0)/$A$8</f>
        <v>0</v>
      </c>
      <c r="E55" s="2796">
        <f ca="1">IFERROR(IF(-Cuadros!P40&lt;0,Cuadros!P40,0)/$A$8,0)</f>
        <v>0</v>
      </c>
      <c r="F55" s="2798">
        <f>IFERROR(IF(-Cuadros!Q40&lt;0,Cuadros!Q40,0)/$A$8,0)</f>
        <v>0</v>
      </c>
      <c r="G55" s="2798">
        <f>IFERROR(IF(-Cuadros!R40&lt;0,Cuadros!R40,0)/$A$8,0)</f>
        <v>0</v>
      </c>
      <c r="H55" s="2798">
        <f>IFERROR(IF(-Cuadros!S40&lt;0,Cuadros!S40,0)/$A$8,0)</f>
        <v>0</v>
      </c>
      <c r="I55" s="2798">
        <f>IFERROR(IF(-Cuadros!T40&lt;0,Cuadros!T40,0)/$A$8,0)</f>
        <v>0</v>
      </c>
      <c r="J55" s="2798">
        <f>IFERROR(IF(-Cuadros!U40&lt;0,Cuadros!U40,0)/$A$8,0)</f>
        <v>0</v>
      </c>
      <c r="K55" s="2798">
        <f>IFERROR(IF(-Cuadros!V40&lt;0,Cuadros!V40,0)/$A$8,0)</f>
        <v>0</v>
      </c>
      <c r="L55" s="2798">
        <f>IFERROR(IF(-Cuadros!W40&lt;0,Cuadros!W40,0)/$A$8,0)</f>
        <v>0</v>
      </c>
      <c r="M55" s="2798">
        <f>IFERROR(IF(-Cuadros!X40&lt;0,Cuadros!X40,0)/$A$8,0)</f>
        <v>0</v>
      </c>
      <c r="N55" s="2798">
        <f>IFERROR(IF(-Cuadros!Y40&lt;0,Cuadros!Y40,0)/$A$8,0)</f>
        <v>0</v>
      </c>
      <c r="O55" s="2798">
        <f>IFERROR(IF(-Cuadros!Z40&lt;0,Cuadros!Z40,0)/$A$8,0)</f>
        <v>0</v>
      </c>
      <c r="P55" s="2798">
        <f>IFERROR(IF(-Cuadros!AA40&lt;0,Cuadros!AA40,0)/$A$8,0)</f>
        <v>0</v>
      </c>
      <c r="Q55" s="2798">
        <f>IFERROR(IF(-Cuadros!AB40&lt;0,Cuadros!AB40,0)/$A$8,0)</f>
        <v>0</v>
      </c>
      <c r="R55" s="2798">
        <f>IFERROR(IF(-Cuadros!AC40&lt;0,Cuadros!AC40,0)/$A$8,0)</f>
        <v>0</v>
      </c>
      <c r="S55" s="2798">
        <f>IFERROR(IF(-Cuadros!AD40&lt;0,Cuadros!AD40,0)/$A$8,0)</f>
        <v>0</v>
      </c>
      <c r="T55" s="2798">
        <f>IFERROR(IF(-Cuadros!AE40&lt;0,Cuadros!AE40,0)/$A$8,0)</f>
        <v>0</v>
      </c>
      <c r="U55" s="2804">
        <v>0</v>
      </c>
      <c r="V55" s="2796">
        <f ca="1">IF(-Cuadros!AH40&lt;0,Cuadros!AH40,0)/$A$8</f>
        <v>0</v>
      </c>
    </row>
    <row r="56" spans="1:22" ht="9.75" thickBot="1" x14ac:dyDescent="0.2">
      <c r="A56" s="2795" t="s">
        <v>1167</v>
      </c>
      <c r="B56" s="2796">
        <f>(Cuadros!M35+Cuadros!M37)/$A$8</f>
        <v>0</v>
      </c>
      <c r="C56" s="2796">
        <f>(Cuadros!N35+Cuadros!N37)/$A$8</f>
        <v>0</v>
      </c>
      <c r="D56" s="2797">
        <f>(Cuadros!O35+Cuadros!O37)/$A$8</f>
        <v>0</v>
      </c>
      <c r="E56" s="2796">
        <f ca="1">(Cuadros!P35+Cuadros!P37)/$A$8</f>
        <v>0</v>
      </c>
      <c r="F56" s="2798">
        <f ca="1">(Cuadros!Q35+Cuadros!Q37)/$A$8</f>
        <v>0</v>
      </c>
      <c r="G56" s="2798">
        <f ca="1">(Cuadros!R35+Cuadros!R37)/$A$8</f>
        <v>0</v>
      </c>
      <c r="H56" s="2798">
        <f ca="1">(Cuadros!S35+Cuadros!S37)/$A$8</f>
        <v>0</v>
      </c>
      <c r="I56" s="2798">
        <f ca="1">(Cuadros!T35+Cuadros!T37)/$A$8</f>
        <v>0</v>
      </c>
      <c r="J56" s="2798">
        <f ca="1">(Cuadros!U35+Cuadros!U37)/$A$8</f>
        <v>0</v>
      </c>
      <c r="K56" s="2798">
        <f ca="1">(Cuadros!V35+Cuadros!V37)/$A$8</f>
        <v>0</v>
      </c>
      <c r="L56" s="2798">
        <f ca="1">(Cuadros!W35+Cuadros!W37)/$A$8</f>
        <v>0</v>
      </c>
      <c r="M56" s="2798">
        <f ca="1">(Cuadros!X35+Cuadros!X37)/$A$8</f>
        <v>0</v>
      </c>
      <c r="N56" s="2798">
        <f ca="1">(Cuadros!Y35+Cuadros!Y37)/$A$8</f>
        <v>0</v>
      </c>
      <c r="O56" s="2798">
        <f ca="1">(Cuadros!Z35+Cuadros!Z37)/$A$8</f>
        <v>0</v>
      </c>
      <c r="P56" s="2798">
        <f ca="1">(Cuadros!AA35+Cuadros!AA37)/$A$8</f>
        <v>0</v>
      </c>
      <c r="Q56" s="2798">
        <f ca="1">(Cuadros!AB35+Cuadros!AB37)/$A$8</f>
        <v>0</v>
      </c>
      <c r="R56" s="2798">
        <f ca="1">(Cuadros!AC35+Cuadros!AC37)/$A$8</f>
        <v>0</v>
      </c>
      <c r="S56" s="2798">
        <f ca="1">(Cuadros!AD35+Cuadros!AD37)/$A$8</f>
        <v>0</v>
      </c>
      <c r="T56" s="2798">
        <f ca="1">(Cuadros!AE35+Cuadros!AE37)/$A$8</f>
        <v>0</v>
      </c>
      <c r="U56" s="2804">
        <f>Cuadros!AG37/$A$8</f>
        <v>0</v>
      </c>
      <c r="V56" s="2796">
        <f>(Cuadros!AH35+Cuadros!AH37)/$A$8</f>
        <v>0</v>
      </c>
    </row>
    <row r="57" spans="1:22" ht="9.75" thickBot="1" x14ac:dyDescent="0.2">
      <c r="A57" s="2795" t="s">
        <v>1168</v>
      </c>
      <c r="B57" s="2796">
        <f>Cuadros!M43/$A$8</f>
        <v>0</v>
      </c>
      <c r="C57" s="2796">
        <f>Cuadros!N43/$A$8</f>
        <v>0</v>
      </c>
      <c r="D57" s="2797">
        <f>Cuadros!O43/$A$8</f>
        <v>0</v>
      </c>
      <c r="E57" s="2796">
        <f>Cuadros!P43/$A$8</f>
        <v>0</v>
      </c>
      <c r="F57" s="2798">
        <f>Cuadros!Q43/$A$8</f>
        <v>0</v>
      </c>
      <c r="G57" s="2798">
        <f>Cuadros!R43/$A$8</f>
        <v>0</v>
      </c>
      <c r="H57" s="2798">
        <f>Cuadros!S43/$A$8</f>
        <v>0</v>
      </c>
      <c r="I57" s="2798">
        <f>Cuadros!T43/$A$8</f>
        <v>0</v>
      </c>
      <c r="J57" s="2798">
        <f>Cuadros!U43/$A$8</f>
        <v>0</v>
      </c>
      <c r="K57" s="2798">
        <f>Cuadros!V43/$A$8</f>
        <v>0</v>
      </c>
      <c r="L57" s="2798">
        <f>Cuadros!W43/$A$8</f>
        <v>0</v>
      </c>
      <c r="M57" s="2798">
        <f>Cuadros!X43/$A$8</f>
        <v>0</v>
      </c>
      <c r="N57" s="2798">
        <f>Cuadros!Y43/$A$8</f>
        <v>0</v>
      </c>
      <c r="O57" s="2798">
        <f>Cuadros!Z43/$A$8</f>
        <v>0</v>
      </c>
      <c r="P57" s="2798">
        <f>Cuadros!AA43/$A$8</f>
        <v>0</v>
      </c>
      <c r="Q57" s="2798">
        <f>Cuadros!AB43/$A$8</f>
        <v>0</v>
      </c>
      <c r="R57" s="2798">
        <f>Cuadros!AC43/$A$8</f>
        <v>0</v>
      </c>
      <c r="S57" s="2798">
        <f>Cuadros!AD43/$A$8</f>
        <v>0</v>
      </c>
      <c r="T57" s="2798">
        <f>Cuadros!AE43/$A$8</f>
        <v>0</v>
      </c>
      <c r="U57" s="2804">
        <v>0</v>
      </c>
      <c r="V57" s="2796">
        <f>Cuadros!AH43/$A$8</f>
        <v>0</v>
      </c>
    </row>
    <row r="58" spans="1:22" ht="9.75" thickBot="1" x14ac:dyDescent="0.2">
      <c r="A58" s="2807" t="s">
        <v>1169</v>
      </c>
      <c r="B58" s="2808">
        <v>0</v>
      </c>
      <c r="C58" s="2808">
        <v>0</v>
      </c>
      <c r="D58" s="2809">
        <v>0</v>
      </c>
      <c r="E58" s="2808">
        <v>0</v>
      </c>
      <c r="F58" s="2810">
        <v>0</v>
      </c>
      <c r="G58" s="2810">
        <v>0</v>
      </c>
      <c r="H58" s="2810">
        <v>0</v>
      </c>
      <c r="I58" s="2810">
        <v>0</v>
      </c>
      <c r="J58" s="2810">
        <v>0</v>
      </c>
      <c r="K58" s="2810">
        <v>0</v>
      </c>
      <c r="L58" s="2810">
        <v>0</v>
      </c>
      <c r="M58" s="2810">
        <v>0</v>
      </c>
      <c r="N58" s="2810">
        <v>0</v>
      </c>
      <c r="O58" s="2810">
        <v>0</v>
      </c>
      <c r="P58" s="2810">
        <v>0</v>
      </c>
      <c r="Q58" s="2810">
        <v>0</v>
      </c>
      <c r="R58" s="2810">
        <v>0</v>
      </c>
      <c r="S58" s="2810">
        <v>0</v>
      </c>
      <c r="T58" s="2810">
        <v>0</v>
      </c>
      <c r="U58" s="2804">
        <v>0</v>
      </c>
      <c r="V58" s="2808">
        <v>0</v>
      </c>
    </row>
    <row r="59" spans="1:22" ht="9.75" thickBot="1" x14ac:dyDescent="0.2">
      <c r="A59" s="2799" t="s">
        <v>1170</v>
      </c>
      <c r="B59" s="2835">
        <f t="shared" ref="B59" si="23">SUM(B52:B58)</f>
        <v>0</v>
      </c>
      <c r="C59" s="2835">
        <f t="shared" ref="C59:T59" ca="1" si="24">SUM(C52:C58)</f>
        <v>0</v>
      </c>
      <c r="D59" s="2836">
        <f t="shared" ca="1" si="24"/>
        <v>0</v>
      </c>
      <c r="E59" s="2835">
        <f t="shared" ca="1" si="24"/>
        <v>0</v>
      </c>
      <c r="F59" s="2837">
        <f t="shared" ca="1" si="24"/>
        <v>0</v>
      </c>
      <c r="G59" s="2837">
        <f t="shared" ca="1" si="24"/>
        <v>0</v>
      </c>
      <c r="H59" s="2837">
        <f t="shared" ca="1" si="24"/>
        <v>0</v>
      </c>
      <c r="I59" s="2837">
        <f t="shared" ca="1" si="24"/>
        <v>0</v>
      </c>
      <c r="J59" s="2837">
        <f t="shared" ca="1" si="24"/>
        <v>0</v>
      </c>
      <c r="K59" s="2837">
        <f t="shared" ca="1" si="24"/>
        <v>0</v>
      </c>
      <c r="L59" s="2837">
        <f t="shared" ca="1" si="24"/>
        <v>0</v>
      </c>
      <c r="M59" s="2837">
        <f t="shared" ca="1" si="24"/>
        <v>0</v>
      </c>
      <c r="N59" s="2837">
        <f t="shared" ca="1" si="24"/>
        <v>0</v>
      </c>
      <c r="O59" s="2837">
        <f t="shared" ca="1" si="24"/>
        <v>0</v>
      </c>
      <c r="P59" s="2837">
        <f t="shared" ca="1" si="24"/>
        <v>0</v>
      </c>
      <c r="Q59" s="2837">
        <f t="shared" ca="1" si="24"/>
        <v>0</v>
      </c>
      <c r="R59" s="2837">
        <f t="shared" ca="1" si="24"/>
        <v>0</v>
      </c>
      <c r="S59" s="2837">
        <f t="shared" ca="1" si="24"/>
        <v>0</v>
      </c>
      <c r="T59" s="2837">
        <f t="shared" ca="1" si="24"/>
        <v>0</v>
      </c>
      <c r="U59" s="2804">
        <v>0</v>
      </c>
      <c r="V59" s="2835">
        <f ca="1">SUM(V52:V58)</f>
        <v>0</v>
      </c>
    </row>
    <row r="60" spans="1:22" ht="9.75" thickBot="1" x14ac:dyDescent="0.2">
      <c r="A60" s="2799" t="s">
        <v>1171</v>
      </c>
      <c r="B60" s="2835">
        <f t="shared" ref="B60" si="25">B51+B59</f>
        <v>0</v>
      </c>
      <c r="C60" s="2835">
        <f t="shared" ref="C60:T60" ca="1" si="26">C51+C59</f>
        <v>0</v>
      </c>
      <c r="D60" s="2836">
        <f t="shared" ca="1" si="26"/>
        <v>0</v>
      </c>
      <c r="E60" s="2835">
        <f t="shared" ca="1" si="26"/>
        <v>0</v>
      </c>
      <c r="F60" s="2838">
        <f t="shared" ca="1" si="26"/>
        <v>0</v>
      </c>
      <c r="G60" s="2838">
        <f t="shared" ca="1" si="26"/>
        <v>0</v>
      </c>
      <c r="H60" s="2838">
        <f t="shared" ca="1" si="26"/>
        <v>0</v>
      </c>
      <c r="I60" s="2838">
        <f t="shared" ca="1" si="26"/>
        <v>0</v>
      </c>
      <c r="J60" s="2838">
        <f t="shared" ca="1" si="26"/>
        <v>0</v>
      </c>
      <c r="K60" s="2838">
        <f t="shared" ca="1" si="26"/>
        <v>0</v>
      </c>
      <c r="L60" s="2838">
        <f t="shared" ca="1" si="26"/>
        <v>0</v>
      </c>
      <c r="M60" s="2838">
        <f t="shared" ca="1" si="26"/>
        <v>0</v>
      </c>
      <c r="N60" s="2838">
        <f t="shared" ca="1" si="26"/>
        <v>0</v>
      </c>
      <c r="O60" s="2838">
        <f t="shared" ca="1" si="26"/>
        <v>0</v>
      </c>
      <c r="P60" s="2838">
        <f t="shared" ca="1" si="26"/>
        <v>0</v>
      </c>
      <c r="Q60" s="2838">
        <f t="shared" ca="1" si="26"/>
        <v>0</v>
      </c>
      <c r="R60" s="2838">
        <f t="shared" ca="1" si="26"/>
        <v>0</v>
      </c>
      <c r="S60" s="2838">
        <f t="shared" ca="1" si="26"/>
        <v>0</v>
      </c>
      <c r="T60" s="2838">
        <f t="shared" ca="1" si="26"/>
        <v>0</v>
      </c>
      <c r="U60" s="2804">
        <v>0</v>
      </c>
      <c r="V60" s="2835">
        <f ca="1">V51+V59</f>
        <v>0</v>
      </c>
    </row>
    <row r="61" spans="1:22" ht="9.75" thickBot="1" x14ac:dyDescent="0.2">
      <c r="A61" s="2803" t="s">
        <v>1172</v>
      </c>
      <c r="B61" s="2804">
        <f>Cuadros!M47/$A$8</f>
        <v>0</v>
      </c>
      <c r="C61" s="2804">
        <f ca="1">Cuadros!N47/$A$8</f>
        <v>0</v>
      </c>
      <c r="D61" s="2805">
        <f ca="1">Cuadros!O47/$A$8</f>
        <v>0</v>
      </c>
      <c r="E61" s="2804">
        <f ca="1">IFERROR(Cuadros!P47/$A$8,0)</f>
        <v>0</v>
      </c>
      <c r="F61" s="2806">
        <f ca="1">IFERROR(Cuadros!Q47/$A$8,0)</f>
        <v>0</v>
      </c>
      <c r="G61" s="2806">
        <f ca="1">IFERROR(Cuadros!R47/$A$8,0)</f>
        <v>0</v>
      </c>
      <c r="H61" s="2806">
        <f ca="1">IFERROR(Cuadros!S47/$A$8,0)</f>
        <v>0</v>
      </c>
      <c r="I61" s="2806">
        <f ca="1">IFERROR(Cuadros!T47/$A$8,0)</f>
        <v>0</v>
      </c>
      <c r="J61" s="2806">
        <f ca="1">IFERROR(Cuadros!U47/$A$8,0)</f>
        <v>0</v>
      </c>
      <c r="K61" s="2806">
        <f ca="1">IFERROR(Cuadros!V47/$A$8,0)</f>
        <v>0</v>
      </c>
      <c r="L61" s="2806">
        <f ca="1">IFERROR(Cuadros!W47/$A$8,0)</f>
        <v>0</v>
      </c>
      <c r="M61" s="2806">
        <f ca="1">IFERROR(Cuadros!X47/$A$8,0)</f>
        <v>0</v>
      </c>
      <c r="N61" s="2806">
        <f ca="1">IFERROR(Cuadros!Y47/$A$8,0)</f>
        <v>0</v>
      </c>
      <c r="O61" s="2806">
        <f ca="1">IFERROR(Cuadros!Z47/$A$8,0)</f>
        <v>0</v>
      </c>
      <c r="P61" s="2806">
        <f ca="1">IFERROR(Cuadros!AA47/$A$8,0)</f>
        <v>0</v>
      </c>
      <c r="Q61" s="2806">
        <f ca="1">IFERROR(Cuadros!AB47/$A$8,0)</f>
        <v>0</v>
      </c>
      <c r="R61" s="2806">
        <f ca="1">IFERROR(Cuadros!AC47/$A$8,0)</f>
        <v>0</v>
      </c>
      <c r="S61" s="2806">
        <f ca="1">IFERROR(Cuadros!AD47/$A$8,0)</f>
        <v>0</v>
      </c>
      <c r="T61" s="2806">
        <f ca="1">IFERROR(Cuadros!AE47/$A$8,0)</f>
        <v>0</v>
      </c>
      <c r="U61" s="2804">
        <f>Cuadros!AG42/$A$8</f>
        <v>0</v>
      </c>
      <c r="V61" s="2804">
        <f ca="1">Cuadros!AH47/$A$8</f>
        <v>0</v>
      </c>
    </row>
    <row r="62" spans="1:22" ht="9.75" thickBot="1" x14ac:dyDescent="0.2">
      <c r="A62" s="2795" t="s">
        <v>1173</v>
      </c>
      <c r="B62" s="2839">
        <f>Cuadros!M49/$A$8</f>
        <v>0</v>
      </c>
      <c r="C62" s="2839">
        <f>Cuadros!N49/$A$8</f>
        <v>0</v>
      </c>
      <c r="D62" s="2840">
        <f>Cuadros!O49/$A$8</f>
        <v>0</v>
      </c>
      <c r="E62" s="2839">
        <f ca="1">Cuadros!P49/$A$8</f>
        <v>0</v>
      </c>
      <c r="F62" s="2841">
        <f ca="1">Cuadros!Q49/$A$8</f>
        <v>0</v>
      </c>
      <c r="G62" s="2841">
        <f ca="1">Cuadros!R49/$A$8</f>
        <v>0</v>
      </c>
      <c r="H62" s="2841">
        <f ca="1">Cuadros!S49/$A$8</f>
        <v>0</v>
      </c>
      <c r="I62" s="2841">
        <f ca="1">Cuadros!T49/$A$8</f>
        <v>0</v>
      </c>
      <c r="J62" s="2841">
        <f ca="1">Cuadros!U49/$A$8</f>
        <v>0</v>
      </c>
      <c r="K62" s="2798">
        <f ca="1">Cuadros!V49/$A$8</f>
        <v>0</v>
      </c>
      <c r="L62" s="2798">
        <f ca="1">Cuadros!W49/$A$8</f>
        <v>0</v>
      </c>
      <c r="M62" s="2798">
        <f ca="1">Cuadros!X49/$A$8</f>
        <v>0</v>
      </c>
      <c r="N62" s="2798">
        <f ca="1">Cuadros!Y49/$A$8</f>
        <v>0</v>
      </c>
      <c r="O62" s="2798">
        <f ca="1">Cuadros!Z49/$A$8</f>
        <v>0</v>
      </c>
      <c r="P62" s="2798">
        <f ca="1">Cuadros!AA49/$A$8</f>
        <v>0</v>
      </c>
      <c r="Q62" s="2798">
        <f ca="1">Cuadros!AB49/$A$8</f>
        <v>0</v>
      </c>
      <c r="R62" s="2798">
        <f ca="1">Cuadros!AC49/$A$8</f>
        <v>0</v>
      </c>
      <c r="S62" s="2798">
        <f ca="1">Cuadros!AD49/$A$8</f>
        <v>0</v>
      </c>
      <c r="T62" s="2798">
        <f ca="1">Cuadros!AE49/$A$8</f>
        <v>0</v>
      </c>
      <c r="U62" s="2804">
        <f>Cuadros!AG43/$A$8</f>
        <v>0</v>
      </c>
      <c r="V62" s="2839">
        <f>Cuadros!AH49/$A$8</f>
        <v>0</v>
      </c>
    </row>
    <row r="63" spans="1:22" ht="9.75" thickBot="1" x14ac:dyDescent="0.2">
      <c r="A63" s="2795" t="s">
        <v>1174</v>
      </c>
      <c r="B63" s="2842">
        <f>Cuadros!M50/$A$8</f>
        <v>0</v>
      </c>
      <c r="C63" s="2842">
        <f>Cuadros!N50/$A$8</f>
        <v>0</v>
      </c>
      <c r="D63" s="2843">
        <f>Cuadros!O50/$A$8</f>
        <v>0</v>
      </c>
      <c r="E63" s="2842">
        <f ca="1">Cuadros!P50/$A$8</f>
        <v>0</v>
      </c>
      <c r="F63" s="2798">
        <f ca="1">Cuadros!Q50/$A$8</f>
        <v>0</v>
      </c>
      <c r="G63" s="2798">
        <f ca="1">Cuadros!R50/$A$8</f>
        <v>0</v>
      </c>
      <c r="H63" s="2798">
        <f ca="1">Cuadros!S50/$A$8</f>
        <v>0</v>
      </c>
      <c r="I63" s="2798">
        <f ca="1">Cuadros!T50/$A$8</f>
        <v>0</v>
      </c>
      <c r="J63" s="2798">
        <f ca="1">Cuadros!U50/$A$8</f>
        <v>0</v>
      </c>
      <c r="K63" s="2798">
        <f ca="1">Cuadros!V50/$A$8</f>
        <v>0</v>
      </c>
      <c r="L63" s="2798">
        <f ca="1">Cuadros!W50/$A$8</f>
        <v>0</v>
      </c>
      <c r="M63" s="2798">
        <f ca="1">Cuadros!X50/$A$8</f>
        <v>0</v>
      </c>
      <c r="N63" s="2798">
        <f ca="1">Cuadros!Y50/$A$8</f>
        <v>0</v>
      </c>
      <c r="O63" s="2798">
        <f ca="1">Cuadros!Z50/$A$8</f>
        <v>0</v>
      </c>
      <c r="P63" s="2798">
        <f ca="1">Cuadros!AA50/$A$8</f>
        <v>0</v>
      </c>
      <c r="Q63" s="2798">
        <f ca="1">Cuadros!AB50/$A$8</f>
        <v>0</v>
      </c>
      <c r="R63" s="2798">
        <f ca="1">Cuadros!AC50/$A$8</f>
        <v>0</v>
      </c>
      <c r="S63" s="2798">
        <f ca="1">Cuadros!AD50/$A$8</f>
        <v>0</v>
      </c>
      <c r="T63" s="2798">
        <f ca="1">Cuadros!AE50/$A$8</f>
        <v>0</v>
      </c>
      <c r="U63" s="2804">
        <v>0</v>
      </c>
      <c r="V63" s="2842">
        <f>Cuadros!AH50/$A$8</f>
        <v>0</v>
      </c>
    </row>
    <row r="64" spans="1:22" ht="9.75" thickBot="1" x14ac:dyDescent="0.2">
      <c r="A64" s="2795" t="s">
        <v>1175</v>
      </c>
      <c r="B64" s="2796">
        <f>Cuadros!M36/$A$8</f>
        <v>0</v>
      </c>
      <c r="C64" s="2796">
        <f>Cuadros!N36/$A$8</f>
        <v>0</v>
      </c>
      <c r="D64" s="2797">
        <f>Cuadros!O36/$A$8</f>
        <v>0</v>
      </c>
      <c r="E64" s="2796">
        <f ca="1">Cuadros!P36/$A$8</f>
        <v>0</v>
      </c>
      <c r="F64" s="2798">
        <f ca="1">Cuadros!Q36/$A$8</f>
        <v>0</v>
      </c>
      <c r="G64" s="2798">
        <f ca="1">Cuadros!R36/$A$8</f>
        <v>0</v>
      </c>
      <c r="H64" s="2798">
        <f ca="1">Cuadros!S36/$A$8</f>
        <v>0</v>
      </c>
      <c r="I64" s="2798">
        <f ca="1">Cuadros!T36/$A$8</f>
        <v>0</v>
      </c>
      <c r="J64" s="2798">
        <f ca="1">Cuadros!U36/$A$8</f>
        <v>0</v>
      </c>
      <c r="K64" s="2798">
        <f ca="1">Cuadros!V36/$A$8</f>
        <v>0</v>
      </c>
      <c r="L64" s="2798">
        <f ca="1">Cuadros!W36/$A$8</f>
        <v>0</v>
      </c>
      <c r="M64" s="2798">
        <f ca="1">Cuadros!X36/$A$8</f>
        <v>0</v>
      </c>
      <c r="N64" s="2798">
        <f ca="1">Cuadros!Y36/$A$8</f>
        <v>0</v>
      </c>
      <c r="O64" s="2798">
        <f ca="1">Cuadros!Z36/$A$8</f>
        <v>0</v>
      </c>
      <c r="P64" s="2798">
        <f ca="1">Cuadros!AA36/$A$8</f>
        <v>0</v>
      </c>
      <c r="Q64" s="2798">
        <f ca="1">Cuadros!AB36/$A$8</f>
        <v>0</v>
      </c>
      <c r="R64" s="2798">
        <f ca="1">Cuadros!AC36/$A$8</f>
        <v>0</v>
      </c>
      <c r="S64" s="2798">
        <f ca="1">Cuadros!AD36/$A$8</f>
        <v>0</v>
      </c>
      <c r="T64" s="2798">
        <f ca="1">Cuadros!AE36/$A$8</f>
        <v>0</v>
      </c>
      <c r="U64" s="2804">
        <v>0</v>
      </c>
      <c r="V64" s="2796">
        <f>Cuadros!AH36/$A$8</f>
        <v>0</v>
      </c>
    </row>
    <row r="65" spans="1:22" ht="9.75" thickBot="1" x14ac:dyDescent="0.2">
      <c r="A65" s="2795" t="s">
        <v>1176</v>
      </c>
      <c r="B65" s="2796">
        <f>Cuadros!M42/$A$8</f>
        <v>0</v>
      </c>
      <c r="C65" s="2796">
        <f>Cuadros!N42/$A$8</f>
        <v>0</v>
      </c>
      <c r="D65" s="2797">
        <f>Cuadros!O42/$A$8</f>
        <v>0</v>
      </c>
      <c r="E65" s="2796">
        <f ca="1">Cuadros!P42/$A$8</f>
        <v>0</v>
      </c>
      <c r="F65" s="2798">
        <f ca="1">Cuadros!Q42/$A$8</f>
        <v>0</v>
      </c>
      <c r="G65" s="2798">
        <f ca="1">Cuadros!R42/$A$8</f>
        <v>0</v>
      </c>
      <c r="H65" s="2798">
        <f ca="1">Cuadros!S42/$A$8</f>
        <v>0</v>
      </c>
      <c r="I65" s="2798">
        <f ca="1">Cuadros!T42/$A$8</f>
        <v>0</v>
      </c>
      <c r="J65" s="2798">
        <f ca="1">Cuadros!U42/$A$8</f>
        <v>0</v>
      </c>
      <c r="K65" s="2798">
        <f ca="1">Cuadros!V42/$A$8</f>
        <v>0</v>
      </c>
      <c r="L65" s="2798">
        <f ca="1">Cuadros!W42/$A$8</f>
        <v>0</v>
      </c>
      <c r="M65" s="2798">
        <f ca="1">Cuadros!X42/$A$8</f>
        <v>0</v>
      </c>
      <c r="N65" s="2798">
        <f ca="1">Cuadros!Y42/$A$8</f>
        <v>0</v>
      </c>
      <c r="O65" s="2798">
        <f ca="1">Cuadros!Z42/$A$8</f>
        <v>0</v>
      </c>
      <c r="P65" s="2798">
        <f ca="1">Cuadros!AA42/$A$8</f>
        <v>0</v>
      </c>
      <c r="Q65" s="2798">
        <f ca="1">Cuadros!AB42/$A$8</f>
        <v>0</v>
      </c>
      <c r="R65" s="2798">
        <f ca="1">Cuadros!AC42/$A$8</f>
        <v>0</v>
      </c>
      <c r="S65" s="2798">
        <f ca="1">Cuadros!AD42/$A$8</f>
        <v>0</v>
      </c>
      <c r="T65" s="2798">
        <f ca="1">Cuadros!AE42/$A$8</f>
        <v>0</v>
      </c>
      <c r="U65" s="2804">
        <v>0</v>
      </c>
      <c r="V65" s="2796">
        <f>Cuadros!AH42/$A$8</f>
        <v>0</v>
      </c>
    </row>
    <row r="66" spans="1:22" ht="9.75" thickBot="1" x14ac:dyDescent="0.2">
      <c r="A66" s="2807" t="s">
        <v>1177</v>
      </c>
      <c r="B66" s="2808">
        <f>(Cuadros!M38+Cuadros!M44+Cuadros!M45+Cuadros!M46)/$A$8</f>
        <v>0</v>
      </c>
      <c r="C66" s="2808">
        <f ca="1">(Cuadros!N38+Cuadros!N44+Cuadros!N45+Cuadros!N46)/$A$8</f>
        <v>0</v>
      </c>
      <c r="D66" s="2809">
        <f ca="1">(Cuadros!O38+Cuadros!O44+Cuadros!O45+Cuadros!O46)/$A$8</f>
        <v>0</v>
      </c>
      <c r="E66" s="2808">
        <f ca="1">(Cuadros!P38+Cuadros!P44+Cuadros!P45+Cuadros!P46)/$A$8</f>
        <v>0</v>
      </c>
      <c r="F66" s="2810">
        <f ca="1">(Cuadros!Q38+Cuadros!Q44+Cuadros!Q45+Cuadros!Q46)/$A$8</f>
        <v>0</v>
      </c>
      <c r="G66" s="2810">
        <f ca="1">(Cuadros!R38+Cuadros!R44+Cuadros!R45+Cuadros!R46)/$A$8</f>
        <v>0</v>
      </c>
      <c r="H66" s="2810">
        <f ca="1">(Cuadros!S38+Cuadros!S44+Cuadros!S45+Cuadros!S46)/$A$8</f>
        <v>0</v>
      </c>
      <c r="I66" s="2810">
        <f ca="1">(Cuadros!T38+Cuadros!T44+Cuadros!T45+Cuadros!T46)/$A$8</f>
        <v>0</v>
      </c>
      <c r="J66" s="2810">
        <f ca="1">(Cuadros!U38+Cuadros!U44+Cuadros!U45+Cuadros!U46)/$A$8</f>
        <v>0</v>
      </c>
      <c r="K66" s="2810">
        <f ca="1">(Cuadros!V38+Cuadros!V44+Cuadros!V45+Cuadros!V46)/$A$8</f>
        <v>0</v>
      </c>
      <c r="L66" s="2810">
        <f ca="1">(Cuadros!W38+Cuadros!W44+Cuadros!W45+Cuadros!W46)/$A$8</f>
        <v>0</v>
      </c>
      <c r="M66" s="2810">
        <f ca="1">(Cuadros!X38+Cuadros!X44+Cuadros!X45+Cuadros!X46)/$A$8</f>
        <v>0</v>
      </c>
      <c r="N66" s="2810">
        <f ca="1">(Cuadros!Y38+Cuadros!Y44+Cuadros!Y45+Cuadros!Y46)/$A$8</f>
        <v>0</v>
      </c>
      <c r="O66" s="2810">
        <f ca="1">(Cuadros!Z38+Cuadros!Z44+Cuadros!Z45+Cuadros!Z46)/$A$8</f>
        <v>0</v>
      </c>
      <c r="P66" s="2810">
        <f ca="1">(Cuadros!AA38+Cuadros!AA44+Cuadros!AA45+Cuadros!AA46)/$A$8</f>
        <v>0</v>
      </c>
      <c r="Q66" s="2810">
        <f ca="1">(Cuadros!AB38+Cuadros!AB44+Cuadros!AB45+Cuadros!AB46)/$A$8</f>
        <v>0</v>
      </c>
      <c r="R66" s="2810">
        <f ca="1">(Cuadros!AC38+Cuadros!AC44+Cuadros!AC45+Cuadros!AC46)/$A$8</f>
        <v>0</v>
      </c>
      <c r="S66" s="2810">
        <f ca="1">(Cuadros!AD38+Cuadros!AD44+Cuadros!AD45+Cuadros!AD46)/$A$8</f>
        <v>0</v>
      </c>
      <c r="T66" s="2810">
        <f ca="1">(Cuadros!AE38+Cuadros!AE44+Cuadros!AE45+Cuadros!AE46)/$A$8</f>
        <v>0</v>
      </c>
      <c r="U66" s="2804">
        <v>0</v>
      </c>
      <c r="V66" s="2808">
        <f ca="1">(Cuadros!AH38+Cuadros!AH44+Cuadros!AH45+Cuadros!AH46)/$A$8</f>
        <v>0</v>
      </c>
    </row>
    <row r="67" spans="1:22" ht="9.75" thickBot="1" x14ac:dyDescent="0.2">
      <c r="A67" s="2799" t="s">
        <v>1178</v>
      </c>
      <c r="B67" s="2835">
        <f t="shared" ref="B67" si="27">SUM(B61:B66)</f>
        <v>0</v>
      </c>
      <c r="C67" s="2835">
        <f t="shared" ref="C67:T67" ca="1" si="28">SUM(C61:C66)</f>
        <v>0</v>
      </c>
      <c r="D67" s="2836">
        <f t="shared" ca="1" si="28"/>
        <v>0</v>
      </c>
      <c r="E67" s="2835">
        <f t="shared" ca="1" si="28"/>
        <v>0</v>
      </c>
      <c r="F67" s="2837">
        <f t="shared" ca="1" si="28"/>
        <v>0</v>
      </c>
      <c r="G67" s="2837">
        <f t="shared" ca="1" si="28"/>
        <v>0</v>
      </c>
      <c r="H67" s="2837">
        <f t="shared" ca="1" si="28"/>
        <v>0</v>
      </c>
      <c r="I67" s="2837">
        <f t="shared" ca="1" si="28"/>
        <v>0</v>
      </c>
      <c r="J67" s="2837">
        <f t="shared" ca="1" si="28"/>
        <v>0</v>
      </c>
      <c r="K67" s="2837">
        <f t="shared" ca="1" si="28"/>
        <v>0</v>
      </c>
      <c r="L67" s="2837">
        <f t="shared" ca="1" si="28"/>
        <v>0</v>
      </c>
      <c r="M67" s="2837">
        <f t="shared" ca="1" si="28"/>
        <v>0</v>
      </c>
      <c r="N67" s="2837">
        <f t="shared" ca="1" si="28"/>
        <v>0</v>
      </c>
      <c r="O67" s="2837">
        <f t="shared" ca="1" si="28"/>
        <v>0</v>
      </c>
      <c r="P67" s="2837">
        <f t="shared" ca="1" si="28"/>
        <v>0</v>
      </c>
      <c r="Q67" s="2837">
        <f t="shared" ca="1" si="28"/>
        <v>0</v>
      </c>
      <c r="R67" s="2837">
        <f t="shared" ca="1" si="28"/>
        <v>0</v>
      </c>
      <c r="S67" s="2837">
        <f t="shared" ca="1" si="28"/>
        <v>0</v>
      </c>
      <c r="T67" s="2837">
        <f t="shared" ca="1" si="28"/>
        <v>0</v>
      </c>
      <c r="U67" s="2804">
        <f>Cuadros!AG48/$A$8</f>
        <v>0</v>
      </c>
      <c r="V67" s="2835">
        <f ca="1">SUM(V61:V66)</f>
        <v>0</v>
      </c>
    </row>
    <row r="68" spans="1:22" ht="9.75" thickBot="1" x14ac:dyDescent="0.2">
      <c r="A68" s="2799" t="s">
        <v>1179</v>
      </c>
      <c r="B68" s="2835">
        <f t="shared" ref="B68" si="29">B60+B67</f>
        <v>0</v>
      </c>
      <c r="C68" s="2835">
        <f t="shared" ref="C68:T68" ca="1" si="30">C60+C67</f>
        <v>0</v>
      </c>
      <c r="D68" s="2836">
        <f t="shared" ca="1" si="30"/>
        <v>0</v>
      </c>
      <c r="E68" s="2835">
        <f t="shared" ca="1" si="30"/>
        <v>0</v>
      </c>
      <c r="F68" s="2838">
        <f t="shared" ca="1" si="30"/>
        <v>0</v>
      </c>
      <c r="G68" s="2838">
        <f t="shared" ca="1" si="30"/>
        <v>0</v>
      </c>
      <c r="H68" s="2838">
        <f t="shared" ca="1" si="30"/>
        <v>0</v>
      </c>
      <c r="I68" s="2838">
        <f t="shared" ca="1" si="30"/>
        <v>0</v>
      </c>
      <c r="J68" s="2838">
        <f t="shared" ca="1" si="30"/>
        <v>0</v>
      </c>
      <c r="K68" s="2838">
        <f t="shared" ca="1" si="30"/>
        <v>0</v>
      </c>
      <c r="L68" s="2838">
        <f t="shared" ca="1" si="30"/>
        <v>0</v>
      </c>
      <c r="M68" s="2838">
        <f t="shared" ca="1" si="30"/>
        <v>0</v>
      </c>
      <c r="N68" s="2838">
        <f t="shared" ca="1" si="30"/>
        <v>0</v>
      </c>
      <c r="O68" s="2838">
        <f t="shared" ca="1" si="30"/>
        <v>0</v>
      </c>
      <c r="P68" s="2838">
        <f t="shared" ca="1" si="30"/>
        <v>0</v>
      </c>
      <c r="Q68" s="2838">
        <f t="shared" ca="1" si="30"/>
        <v>0</v>
      </c>
      <c r="R68" s="2838">
        <f t="shared" ca="1" si="30"/>
        <v>0</v>
      </c>
      <c r="S68" s="2838">
        <f t="shared" ca="1" si="30"/>
        <v>0</v>
      </c>
      <c r="T68" s="2838">
        <f t="shared" ca="1" si="30"/>
        <v>0</v>
      </c>
      <c r="U68" s="2804">
        <f>Cuadros!AG49/$A$8</f>
        <v>0</v>
      </c>
      <c r="V68" s="2835">
        <f ca="1">V60+V67</f>
        <v>0</v>
      </c>
    </row>
    <row r="69" spans="1:22" ht="9.75" thickBot="1" x14ac:dyDescent="0.2">
      <c r="A69" s="2807" t="s">
        <v>1180</v>
      </c>
      <c r="B69" s="2844">
        <f>Cuadros!M51/$A$8</f>
        <v>0</v>
      </c>
      <c r="C69" s="2844">
        <f>Cuadros!N51/$A$8</f>
        <v>0</v>
      </c>
      <c r="D69" s="2845">
        <f>Cuadros!O51/$A$8</f>
        <v>0</v>
      </c>
      <c r="E69" s="2844">
        <f>Cuadros!P51/$A$8</f>
        <v>0</v>
      </c>
      <c r="F69" s="2846">
        <f>Cuadros!Q51/$A$8</f>
        <v>0</v>
      </c>
      <c r="G69" s="2846">
        <f>Cuadros!R51/$A$8</f>
        <v>0</v>
      </c>
      <c r="H69" s="2846">
        <f>Cuadros!S51/$A$8</f>
        <v>0</v>
      </c>
      <c r="I69" s="2846">
        <f>Cuadros!T51/$A$8</f>
        <v>0</v>
      </c>
      <c r="J69" s="2846">
        <f>Cuadros!U51/$A$8</f>
        <v>0</v>
      </c>
      <c r="K69" s="2846">
        <f>Cuadros!V51/$A$8</f>
        <v>0</v>
      </c>
      <c r="L69" s="2846">
        <f>Cuadros!W51/$A$8</f>
        <v>0</v>
      </c>
      <c r="M69" s="2846">
        <f>Cuadros!X51/$A$8</f>
        <v>0</v>
      </c>
      <c r="N69" s="2846">
        <f>Cuadros!Y51/$A$8</f>
        <v>0</v>
      </c>
      <c r="O69" s="2846">
        <f>Cuadros!Z51/$A$8</f>
        <v>0</v>
      </c>
      <c r="P69" s="2846">
        <f>Cuadros!AA51/$A$8</f>
        <v>0</v>
      </c>
      <c r="Q69" s="2846">
        <f>Cuadros!AB51/$A$8</f>
        <v>0</v>
      </c>
      <c r="R69" s="2846">
        <f>Cuadros!AC51/$A$8</f>
        <v>0</v>
      </c>
      <c r="S69" s="2846">
        <f>Cuadros!AD51/$A$8</f>
        <v>0</v>
      </c>
      <c r="T69" s="2846">
        <f>Cuadros!AE51/$A$8</f>
        <v>0</v>
      </c>
      <c r="U69" s="2804">
        <f>Cuadros!AG50/$A$8</f>
        <v>0</v>
      </c>
      <c r="V69" s="2844">
        <f>Cuadros!AH51/$A$8</f>
        <v>0</v>
      </c>
    </row>
    <row r="70" spans="1:22" ht="9.75" thickBot="1" x14ac:dyDescent="0.2">
      <c r="A70" s="2799" t="s">
        <v>1181</v>
      </c>
      <c r="B70" s="2835">
        <f t="shared" ref="B70" si="31">B68+B69</f>
        <v>0</v>
      </c>
      <c r="C70" s="2835">
        <f t="shared" ref="C70:T70" ca="1" si="32">C68+C69</f>
        <v>0</v>
      </c>
      <c r="D70" s="2836">
        <f t="shared" ca="1" si="32"/>
        <v>0</v>
      </c>
      <c r="E70" s="2835">
        <f t="shared" ca="1" si="32"/>
        <v>0</v>
      </c>
      <c r="F70" s="2837">
        <f t="shared" ca="1" si="32"/>
        <v>0</v>
      </c>
      <c r="G70" s="2837">
        <f t="shared" ca="1" si="32"/>
        <v>0</v>
      </c>
      <c r="H70" s="2837">
        <f t="shared" ca="1" si="32"/>
        <v>0</v>
      </c>
      <c r="I70" s="2837">
        <f t="shared" ca="1" si="32"/>
        <v>0</v>
      </c>
      <c r="J70" s="2837">
        <f t="shared" ca="1" si="32"/>
        <v>0</v>
      </c>
      <c r="K70" s="2837">
        <f t="shared" ca="1" si="32"/>
        <v>0</v>
      </c>
      <c r="L70" s="2837">
        <f t="shared" ca="1" si="32"/>
        <v>0</v>
      </c>
      <c r="M70" s="2837">
        <f t="shared" ca="1" si="32"/>
        <v>0</v>
      </c>
      <c r="N70" s="2837">
        <f t="shared" ca="1" si="32"/>
        <v>0</v>
      </c>
      <c r="O70" s="2837">
        <f t="shared" ca="1" si="32"/>
        <v>0</v>
      </c>
      <c r="P70" s="2837">
        <f t="shared" ca="1" si="32"/>
        <v>0</v>
      </c>
      <c r="Q70" s="2837">
        <f t="shared" ca="1" si="32"/>
        <v>0</v>
      </c>
      <c r="R70" s="2837">
        <f t="shared" ca="1" si="32"/>
        <v>0</v>
      </c>
      <c r="S70" s="2837">
        <f t="shared" ca="1" si="32"/>
        <v>0</v>
      </c>
      <c r="T70" s="2837">
        <f t="shared" ca="1" si="32"/>
        <v>0</v>
      </c>
      <c r="U70" s="2804">
        <f>Cuadros!AG51/$A$8</f>
        <v>0</v>
      </c>
      <c r="V70" s="2835">
        <f ca="1">V68+V69</f>
        <v>0</v>
      </c>
    </row>
    <row r="71" spans="1:22" ht="9.75" thickBot="1" x14ac:dyDescent="0.2">
      <c r="A71" s="2795" t="s">
        <v>1182</v>
      </c>
      <c r="B71" s="2827">
        <f>Cuadros!M53/$A$8</f>
        <v>0</v>
      </c>
      <c r="C71" s="2827">
        <f>Cuadros!N53/$A$8</f>
        <v>0</v>
      </c>
      <c r="D71" s="2847">
        <f>Cuadros!O53/$A$8</f>
        <v>0</v>
      </c>
      <c r="E71" s="2827">
        <f>Cuadros!P53/$A$8</f>
        <v>0</v>
      </c>
      <c r="F71" s="2848">
        <f ca="1">Cuadros!Q53/$A$8</f>
        <v>0</v>
      </c>
      <c r="G71" s="2848">
        <f ca="1">Cuadros!R53/$A$8</f>
        <v>0</v>
      </c>
      <c r="H71" s="2848">
        <f ca="1">Cuadros!S53/$A$8</f>
        <v>0</v>
      </c>
      <c r="I71" s="2848">
        <f ca="1">Cuadros!T53/$A$8</f>
        <v>0</v>
      </c>
      <c r="J71" s="2848">
        <f ca="1">Cuadros!U53/$A$8</f>
        <v>0</v>
      </c>
      <c r="K71" s="2848">
        <f ca="1">Cuadros!V53/$A$8</f>
        <v>0</v>
      </c>
      <c r="L71" s="2848">
        <f ca="1">Cuadros!W53/$A$8</f>
        <v>0</v>
      </c>
      <c r="M71" s="2848">
        <f ca="1">Cuadros!X53/$A$8</f>
        <v>0</v>
      </c>
      <c r="N71" s="2848">
        <f ca="1">Cuadros!Y53/$A$8</f>
        <v>0</v>
      </c>
      <c r="O71" s="2848">
        <f ca="1">Cuadros!Z53/$A$8</f>
        <v>0</v>
      </c>
      <c r="P71" s="2848">
        <f ca="1">Cuadros!AA53/$A$8</f>
        <v>0</v>
      </c>
      <c r="Q71" s="2848">
        <f ca="1">Cuadros!AB53/$A$8</f>
        <v>0</v>
      </c>
      <c r="R71" s="2848">
        <f ca="1">Cuadros!AC53/$A$8</f>
        <v>0</v>
      </c>
      <c r="S71" s="2848">
        <f ca="1">Cuadros!AD53/$A$8</f>
        <v>0</v>
      </c>
      <c r="T71" s="2848">
        <f ca="1">Cuadros!AE53/$A$8</f>
        <v>0</v>
      </c>
      <c r="U71" s="2804">
        <f>Cuadros!AG52/$A$8</f>
        <v>0</v>
      </c>
      <c r="V71" s="2827">
        <f>Cuadros!AH53/$A$8</f>
        <v>0</v>
      </c>
    </row>
    <row r="72" spans="1:22" ht="9.75" thickBot="1" x14ac:dyDescent="0.2">
      <c r="A72" s="2795" t="s">
        <v>1183</v>
      </c>
      <c r="B72" s="2796">
        <f t="shared" ref="B72" si="33">B70+B71</f>
        <v>0</v>
      </c>
      <c r="C72" s="2796">
        <f t="shared" ref="C72:T72" ca="1" si="34">C70+C71</f>
        <v>0</v>
      </c>
      <c r="D72" s="2797">
        <f t="shared" ca="1" si="34"/>
        <v>0</v>
      </c>
      <c r="E72" s="2796">
        <f t="shared" ca="1" si="34"/>
        <v>0</v>
      </c>
      <c r="F72" s="2798">
        <f t="shared" ca="1" si="34"/>
        <v>0</v>
      </c>
      <c r="G72" s="2798">
        <f t="shared" ca="1" si="34"/>
        <v>0</v>
      </c>
      <c r="H72" s="2798">
        <f t="shared" ca="1" si="34"/>
        <v>0</v>
      </c>
      <c r="I72" s="2798">
        <f t="shared" ca="1" si="34"/>
        <v>0</v>
      </c>
      <c r="J72" s="2798">
        <f t="shared" ca="1" si="34"/>
        <v>0</v>
      </c>
      <c r="K72" s="2798">
        <f t="shared" ca="1" si="34"/>
        <v>0</v>
      </c>
      <c r="L72" s="2798">
        <f t="shared" ca="1" si="34"/>
        <v>0</v>
      </c>
      <c r="M72" s="2798">
        <f t="shared" ca="1" si="34"/>
        <v>0</v>
      </c>
      <c r="N72" s="2798">
        <f t="shared" ca="1" si="34"/>
        <v>0</v>
      </c>
      <c r="O72" s="2798">
        <f t="shared" ca="1" si="34"/>
        <v>0</v>
      </c>
      <c r="P72" s="2798">
        <f t="shared" ca="1" si="34"/>
        <v>0</v>
      </c>
      <c r="Q72" s="2798">
        <f t="shared" ca="1" si="34"/>
        <v>0</v>
      </c>
      <c r="R72" s="2798">
        <f t="shared" ca="1" si="34"/>
        <v>0</v>
      </c>
      <c r="S72" s="2798">
        <f t="shared" ca="1" si="34"/>
        <v>0</v>
      </c>
      <c r="T72" s="2798">
        <f t="shared" ca="1" si="34"/>
        <v>0</v>
      </c>
      <c r="U72" s="2804">
        <f>Cuadros!AG53/$A$8</f>
        <v>0</v>
      </c>
      <c r="V72" s="2796">
        <f ca="1">V70+V71</f>
        <v>0</v>
      </c>
    </row>
    <row r="73" spans="1:22" x14ac:dyDescent="0.15">
      <c r="A73" s="2795" t="s">
        <v>1184</v>
      </c>
      <c r="B73" s="2796">
        <f t="shared" ref="B73" si="35">B48</f>
        <v>0</v>
      </c>
      <c r="C73" s="2796">
        <f t="shared" ref="C73:H73" ca="1" si="36">C48</f>
        <v>0</v>
      </c>
      <c r="D73" s="2797">
        <f t="shared" ca="1" si="36"/>
        <v>0</v>
      </c>
      <c r="E73" s="2796">
        <f t="shared" si="36"/>
        <v>0</v>
      </c>
      <c r="F73" s="2798">
        <f t="shared" si="36"/>
        <v>0</v>
      </c>
      <c r="G73" s="2798">
        <f t="shared" si="36"/>
        <v>0</v>
      </c>
      <c r="H73" s="2798">
        <f t="shared" si="36"/>
        <v>0</v>
      </c>
      <c r="I73" s="2798">
        <f t="shared" ref="I73:T73" si="37">I48</f>
        <v>0</v>
      </c>
      <c r="J73" s="2798">
        <f t="shared" si="37"/>
        <v>0</v>
      </c>
      <c r="K73" s="2798">
        <f t="shared" si="37"/>
        <v>0</v>
      </c>
      <c r="L73" s="2798">
        <f t="shared" si="37"/>
        <v>0</v>
      </c>
      <c r="M73" s="2798">
        <f t="shared" si="37"/>
        <v>0</v>
      </c>
      <c r="N73" s="2798">
        <f t="shared" si="37"/>
        <v>0</v>
      </c>
      <c r="O73" s="2798">
        <f t="shared" si="37"/>
        <v>0</v>
      </c>
      <c r="P73" s="2798">
        <f t="shared" si="37"/>
        <v>0</v>
      </c>
      <c r="Q73" s="2798">
        <f t="shared" si="37"/>
        <v>0</v>
      </c>
      <c r="R73" s="2798">
        <f t="shared" si="37"/>
        <v>0</v>
      </c>
      <c r="S73" s="2798">
        <f t="shared" si="37"/>
        <v>0</v>
      </c>
      <c r="T73" s="2798">
        <f t="shared" si="37"/>
        <v>0</v>
      </c>
      <c r="U73" s="2804">
        <f>Cuadros!AG54/$A$8</f>
        <v>0</v>
      </c>
      <c r="V73" s="2796">
        <f ca="1">V48</f>
        <v>0</v>
      </c>
    </row>
    <row r="74" spans="1:22" ht="9.75" thickBot="1" x14ac:dyDescent="0.2">
      <c r="A74" s="2831"/>
      <c r="B74" s="2787">
        <f>B12</f>
        <v>42735</v>
      </c>
      <c r="C74" s="2787">
        <f>C12</f>
        <v>43100</v>
      </c>
      <c r="D74" s="2788">
        <f>D12</f>
        <v>43465</v>
      </c>
      <c r="E74" s="2789">
        <f t="shared" ref="E74:T74" si="38">E45</f>
        <v>43830</v>
      </c>
      <c r="F74" s="2789">
        <f t="shared" si="38"/>
        <v>44196</v>
      </c>
      <c r="G74" s="2789">
        <f t="shared" si="38"/>
        <v>44561</v>
      </c>
      <c r="H74" s="2789">
        <f t="shared" si="38"/>
        <v>44926</v>
      </c>
      <c r="I74" s="2789">
        <f t="shared" si="38"/>
        <v>45291</v>
      </c>
      <c r="J74" s="2789">
        <f t="shared" si="38"/>
        <v>45657</v>
      </c>
      <c r="K74" s="2789">
        <f t="shared" si="38"/>
        <v>46022</v>
      </c>
      <c r="L74" s="2789">
        <f t="shared" si="38"/>
        <v>46387</v>
      </c>
      <c r="M74" s="2789">
        <f t="shared" si="38"/>
        <v>46752</v>
      </c>
      <c r="N74" s="2789">
        <f t="shared" si="38"/>
        <v>47118</v>
      </c>
      <c r="O74" s="2789">
        <f t="shared" si="38"/>
        <v>47483</v>
      </c>
      <c r="P74" s="2789">
        <f t="shared" si="38"/>
        <v>47848</v>
      </c>
      <c r="Q74" s="2789">
        <f t="shared" si="38"/>
        <v>48213</v>
      </c>
      <c r="R74" s="2789">
        <f t="shared" si="38"/>
        <v>48579</v>
      </c>
      <c r="S74" s="2789">
        <f t="shared" si="38"/>
        <v>48944</v>
      </c>
      <c r="T74" s="2789">
        <f t="shared" si="38"/>
        <v>49309</v>
      </c>
      <c r="U74" s="2788">
        <f>U12</f>
        <v>43281</v>
      </c>
      <c r="V74" s="2790">
        <f>V12</f>
        <v>43646</v>
      </c>
    </row>
    <row r="75" spans="1:22" x14ac:dyDescent="0.15">
      <c r="A75" s="2803" t="s">
        <v>1099</v>
      </c>
      <c r="B75" s="2804">
        <f>('Info Entrada'!C174+'Info Entrada'!C175)/$A$8</f>
        <v>0</v>
      </c>
      <c r="C75" s="2804">
        <f>('Info Entrada'!D174+'Info Entrada'!D175)/$A$8</f>
        <v>0</v>
      </c>
      <c r="D75" s="2805">
        <f>('Info Entrada'!E174+'Info Entrada'!E175)/$A$8</f>
        <v>0</v>
      </c>
      <c r="E75" s="2804">
        <f ca="1">('Info Entrada'!H174+'Info Entrada'!H175)/$A$8</f>
        <v>0</v>
      </c>
      <c r="F75" s="2806">
        <f ca="1">('Info Entrada'!I174+'Info Entrada'!I175)/$A$8</f>
        <v>0</v>
      </c>
      <c r="G75" s="2806">
        <f ca="1">('Info Entrada'!J174+'Info Entrada'!J175)/$A$8</f>
        <v>0</v>
      </c>
      <c r="H75" s="2806">
        <f ca="1">('Info Entrada'!K174+'Info Entrada'!K175)/$A$8</f>
        <v>0</v>
      </c>
      <c r="I75" s="2806">
        <f ca="1">('Info Entrada'!L174+'Info Entrada'!L175)/$A$8</f>
        <v>0</v>
      </c>
      <c r="J75" s="2806">
        <f ca="1">('Info Entrada'!M174+'Info Entrada'!M175)/$A$8</f>
        <v>0</v>
      </c>
      <c r="K75" s="2806">
        <f ca="1">('Info Entrada'!N174+'Info Entrada'!N175)/$A$8</f>
        <v>0</v>
      </c>
      <c r="L75" s="2806">
        <f ca="1">('Info Entrada'!O174+'Info Entrada'!O175)/$A$8</f>
        <v>0</v>
      </c>
      <c r="M75" s="2806">
        <f ca="1">('Info Entrada'!P174+'Info Entrada'!P175)/$A$8</f>
        <v>0</v>
      </c>
      <c r="N75" s="2806">
        <f ca="1">('Info Entrada'!Q174+'Info Entrada'!Q175)/$A$8</f>
        <v>0</v>
      </c>
      <c r="O75" s="2806">
        <f ca="1">('Info Entrada'!R174+'Info Entrada'!R175)/$A$8</f>
        <v>0</v>
      </c>
      <c r="P75" s="2806">
        <f ca="1">('Info Entrada'!S174+'Info Entrada'!S175)/$A$8</f>
        <v>0</v>
      </c>
      <c r="Q75" s="2806">
        <f ca="1">('Info Entrada'!T174+'Info Entrada'!T175)/$A$8</f>
        <v>0</v>
      </c>
      <c r="R75" s="2806">
        <f ca="1">('Info Entrada'!U174+'Info Entrada'!U175)/$A$8</f>
        <v>0</v>
      </c>
      <c r="S75" s="2806">
        <f ca="1">('Info Entrada'!V174+'Info Entrada'!V175)/$A$8</f>
        <v>0</v>
      </c>
      <c r="T75" s="2806">
        <f ca="1">('Info Entrada'!W174+'Info Entrada'!W175)/$A$8</f>
        <v>0</v>
      </c>
      <c r="U75" s="2804">
        <f>('Info Entrada'!F174+'Info Entrada'!F175)/$A$8</f>
        <v>0</v>
      </c>
      <c r="V75" s="2804">
        <f>('Info Entrada'!G174+'Info Entrada'!G175)/$A$8</f>
        <v>0</v>
      </c>
    </row>
    <row r="76" spans="1:22" x14ac:dyDescent="0.15">
      <c r="A76" s="2795" t="s">
        <v>1100</v>
      </c>
      <c r="B76" s="2796">
        <f>'Info Entrada'!C180/$A$8</f>
        <v>0</v>
      </c>
      <c r="C76" s="2796">
        <f>'Info Entrada'!D180/$A$8</f>
        <v>0</v>
      </c>
      <c r="D76" s="2797">
        <f>'Info Entrada'!E180/$A$8</f>
        <v>0</v>
      </c>
      <c r="E76" s="2796">
        <f>'Info Entrada'!H180/$A$8</f>
        <v>0</v>
      </c>
      <c r="F76" s="2798">
        <f>'Info Entrada'!I180/$A$8</f>
        <v>0</v>
      </c>
      <c r="G76" s="2798">
        <f>'Info Entrada'!J180/$A$8</f>
        <v>0</v>
      </c>
      <c r="H76" s="2798">
        <f>'Info Entrada'!K180/$A$8</f>
        <v>0</v>
      </c>
      <c r="I76" s="2798">
        <f>'Info Entrada'!L180/$A$8</f>
        <v>0</v>
      </c>
      <c r="J76" s="2798">
        <f>'Info Entrada'!M180/$A$8</f>
        <v>0</v>
      </c>
      <c r="K76" s="2798">
        <f>'Info Entrada'!N180/$A$8</f>
        <v>0</v>
      </c>
      <c r="L76" s="2798">
        <f>'Info Entrada'!O180/$A$8</f>
        <v>0</v>
      </c>
      <c r="M76" s="2798">
        <f>'Info Entrada'!P180/$A$8</f>
        <v>0</v>
      </c>
      <c r="N76" s="2798">
        <f>'Info Entrada'!Q180/$A$8</f>
        <v>0</v>
      </c>
      <c r="O76" s="2798">
        <f>'Info Entrada'!R180/$A$8</f>
        <v>0</v>
      </c>
      <c r="P76" s="2798">
        <f>'Info Entrada'!S180/$A$8</f>
        <v>0</v>
      </c>
      <c r="Q76" s="2798">
        <f>'Info Entrada'!T180/$A$8</f>
        <v>0</v>
      </c>
      <c r="R76" s="2798">
        <f>'Info Entrada'!U180/$A$8</f>
        <v>0</v>
      </c>
      <c r="S76" s="2798">
        <f>'Info Entrada'!V180/$A$8</f>
        <v>0</v>
      </c>
      <c r="T76" s="2798">
        <f>'Info Entrada'!W180/$A$8</f>
        <v>0</v>
      </c>
      <c r="U76" s="2796">
        <f>'Info Entrada'!F180/$A$8</f>
        <v>0</v>
      </c>
      <c r="V76" s="2796">
        <f>'Info Entrada'!G180/$A$8</f>
        <v>0</v>
      </c>
    </row>
    <row r="77" spans="1:22" x14ac:dyDescent="0.15">
      <c r="A77" s="2795" t="s">
        <v>1101</v>
      </c>
      <c r="B77" s="2796">
        <f>'Info Entrada'!C185/$A$8</f>
        <v>0</v>
      </c>
      <c r="C77" s="2796">
        <f>'Info Entrada'!D185/$A$8</f>
        <v>0</v>
      </c>
      <c r="D77" s="2797">
        <f>'Info Entrada'!E185/$A$8</f>
        <v>0</v>
      </c>
      <c r="E77" s="2796">
        <f>'Info Entrada'!H185/$A$8</f>
        <v>0</v>
      </c>
      <c r="F77" s="2798">
        <f>'Info Entrada'!I185/$A$8</f>
        <v>0</v>
      </c>
      <c r="G77" s="2798">
        <f>'Info Entrada'!J185/$A$8</f>
        <v>0</v>
      </c>
      <c r="H77" s="2798">
        <f>'Info Entrada'!K185/$A$8</f>
        <v>0</v>
      </c>
      <c r="I77" s="2798">
        <f>'Info Entrada'!L185/$A$8</f>
        <v>0</v>
      </c>
      <c r="J77" s="2798">
        <f>'Info Entrada'!M185/$A$8</f>
        <v>0</v>
      </c>
      <c r="K77" s="2798">
        <f>'Info Entrada'!N185/$A$8</f>
        <v>0</v>
      </c>
      <c r="L77" s="2798">
        <f>'Info Entrada'!O185/$A$8</f>
        <v>0</v>
      </c>
      <c r="M77" s="2798">
        <f>'Info Entrada'!P185/$A$8</f>
        <v>0</v>
      </c>
      <c r="N77" s="2798">
        <f>'Info Entrada'!Q185/$A$8</f>
        <v>0</v>
      </c>
      <c r="O77" s="2798">
        <f>'Info Entrada'!R185/$A$8</f>
        <v>0</v>
      </c>
      <c r="P77" s="2798">
        <f>'Info Entrada'!S185/$A$8</f>
        <v>0</v>
      </c>
      <c r="Q77" s="2798">
        <f>'Info Entrada'!T185/$A$8</f>
        <v>0</v>
      </c>
      <c r="R77" s="2798">
        <f>'Info Entrada'!U185/$A$8</f>
        <v>0</v>
      </c>
      <c r="S77" s="2798">
        <f>'Info Entrada'!V185/$A$8</f>
        <v>0</v>
      </c>
      <c r="T77" s="2798">
        <f>'Info Entrada'!W185/$A$8</f>
        <v>0</v>
      </c>
      <c r="U77" s="2796">
        <f>'Info Entrada'!F185/$A$8</f>
        <v>0</v>
      </c>
      <c r="V77" s="2796">
        <f>'Info Entrada'!G185/$A$8</f>
        <v>0</v>
      </c>
    </row>
    <row r="78" spans="1:22" x14ac:dyDescent="0.15">
      <c r="A78" s="2795" t="s">
        <v>1102</v>
      </c>
      <c r="B78" s="2796">
        <f>'Info Entrada'!C189/$A$8</f>
        <v>0</v>
      </c>
      <c r="C78" s="2796">
        <f>'Info Entrada'!D189/$A$8</f>
        <v>0</v>
      </c>
      <c r="D78" s="2797">
        <f>'Info Entrada'!E189/$A$8</f>
        <v>0</v>
      </c>
      <c r="E78" s="2796">
        <f>'Info Entrada'!H189/$A$8</f>
        <v>0</v>
      </c>
      <c r="F78" s="2798">
        <f>'Info Entrada'!I189/$A$8</f>
        <v>0</v>
      </c>
      <c r="G78" s="2798">
        <f>'Info Entrada'!J189/$A$8</f>
        <v>0</v>
      </c>
      <c r="H78" s="2798">
        <f>'Info Entrada'!K189/$A$8</f>
        <v>0</v>
      </c>
      <c r="I78" s="2798">
        <f>'Info Entrada'!L189/$A$8</f>
        <v>0</v>
      </c>
      <c r="J78" s="2798">
        <f>'Info Entrada'!M189/$A$8</f>
        <v>0</v>
      </c>
      <c r="K78" s="2798">
        <f>'Info Entrada'!N189/$A$8</f>
        <v>0</v>
      </c>
      <c r="L78" s="2798">
        <f>'Info Entrada'!O189/$A$8</f>
        <v>0</v>
      </c>
      <c r="M78" s="2798">
        <f>'Info Entrada'!P189/$A$8</f>
        <v>0</v>
      </c>
      <c r="N78" s="2798">
        <f>'Info Entrada'!Q189/$A$8</f>
        <v>0</v>
      </c>
      <c r="O78" s="2798">
        <f>'Info Entrada'!R189/$A$8</f>
        <v>0</v>
      </c>
      <c r="P78" s="2798">
        <f>'Info Entrada'!S189/$A$8</f>
        <v>0</v>
      </c>
      <c r="Q78" s="2798">
        <f>'Info Entrada'!T189/$A$8</f>
        <v>0</v>
      </c>
      <c r="R78" s="2798">
        <f>'Info Entrada'!U189/$A$8</f>
        <v>0</v>
      </c>
      <c r="S78" s="2798">
        <f>'Info Entrada'!V189/$A$8</f>
        <v>0</v>
      </c>
      <c r="T78" s="2798">
        <f>'Info Entrada'!W189/$A$8</f>
        <v>0</v>
      </c>
      <c r="U78" s="2796">
        <f>'Info Entrada'!F189/$A$8</f>
        <v>0</v>
      </c>
      <c r="V78" s="2796">
        <f>'Info Entrada'!G189/$A$8</f>
        <v>0</v>
      </c>
    </row>
    <row r="79" spans="1:22" ht="9.75" thickBot="1" x14ac:dyDescent="0.2">
      <c r="A79" s="2807" t="s">
        <v>288</v>
      </c>
      <c r="B79" s="2808">
        <f>('Info Entrada'!C187+'Info Entrada'!C188+'Info Entrada'!C190+'Info Entrada'!C191+'Info Entrada'!C192)/$A$8</f>
        <v>0</v>
      </c>
      <c r="C79" s="2808">
        <f>('Info Entrada'!D187+'Info Entrada'!D188+'Info Entrada'!D190+'Info Entrada'!D191+'Info Entrada'!D192)/$A$8</f>
        <v>0</v>
      </c>
      <c r="D79" s="2809">
        <f>('Info Entrada'!E187+'Info Entrada'!E188+'Info Entrada'!E190+'Info Entrada'!E191+'Info Entrada'!E192)/$A$8</f>
        <v>0</v>
      </c>
      <c r="E79" s="2808">
        <f>('Info Entrada'!H187+'Info Entrada'!H188+'Info Entrada'!H190+'Info Entrada'!H191+'Info Entrada'!H192)/$A$8</f>
        <v>0</v>
      </c>
      <c r="F79" s="2810">
        <f>('Info Entrada'!I187+'Info Entrada'!I188+'Info Entrada'!I190+'Info Entrada'!I191+'Info Entrada'!I192)/$A$8</f>
        <v>0</v>
      </c>
      <c r="G79" s="2810">
        <f>('Info Entrada'!J187+'Info Entrada'!J188+'Info Entrada'!J190+'Info Entrada'!J191+'Info Entrada'!J192)/$A$8</f>
        <v>0</v>
      </c>
      <c r="H79" s="2810">
        <f>('Info Entrada'!K187+'Info Entrada'!K188+'Info Entrada'!K190+'Info Entrada'!K191+'Info Entrada'!K192)/$A$8</f>
        <v>0</v>
      </c>
      <c r="I79" s="2810">
        <f>('Info Entrada'!L187+'Info Entrada'!L188+'Info Entrada'!L190+'Info Entrada'!L191+'Info Entrada'!L192)/$A$8</f>
        <v>0</v>
      </c>
      <c r="J79" s="2810">
        <f>('Info Entrada'!M187+'Info Entrada'!M188+'Info Entrada'!M190+'Info Entrada'!M191+'Info Entrada'!M192)/$A$8</f>
        <v>0</v>
      </c>
      <c r="K79" s="2810">
        <f>('Info Entrada'!N187+'Info Entrada'!N188+'Info Entrada'!N190+'Info Entrada'!N191+'Info Entrada'!N192)/$A$8</f>
        <v>0</v>
      </c>
      <c r="L79" s="2810">
        <f>('Info Entrada'!O187+'Info Entrada'!O188+'Info Entrada'!O190+'Info Entrada'!O191+'Info Entrada'!O192)/$A$8</f>
        <v>0</v>
      </c>
      <c r="M79" s="2810">
        <f>('Info Entrada'!P187+'Info Entrada'!P188+'Info Entrada'!P190+'Info Entrada'!P191+'Info Entrada'!P192)/$A$8</f>
        <v>0</v>
      </c>
      <c r="N79" s="2810">
        <f>('Info Entrada'!Q187+'Info Entrada'!Q188+'Info Entrada'!Q190+'Info Entrada'!Q191+'Info Entrada'!Q192)/$A$8</f>
        <v>0</v>
      </c>
      <c r="O79" s="2810">
        <f>('Info Entrada'!R187+'Info Entrada'!R188+'Info Entrada'!R190+'Info Entrada'!R191+'Info Entrada'!R192)/$A$8</f>
        <v>0</v>
      </c>
      <c r="P79" s="2810">
        <f>('Info Entrada'!S187+'Info Entrada'!S188+'Info Entrada'!S190+'Info Entrada'!S191+'Info Entrada'!S192)/$A$8</f>
        <v>0</v>
      </c>
      <c r="Q79" s="2810">
        <f>('Info Entrada'!T187+'Info Entrada'!T188+'Info Entrada'!T190+'Info Entrada'!T191+'Info Entrada'!T192)/$A$8</f>
        <v>0</v>
      </c>
      <c r="R79" s="2810">
        <f>('Info Entrada'!U187+'Info Entrada'!U188+'Info Entrada'!U190+'Info Entrada'!U191+'Info Entrada'!U192)/$A$8</f>
        <v>0</v>
      </c>
      <c r="S79" s="2810">
        <f>('Info Entrada'!V187+'Info Entrada'!V188+'Info Entrada'!V190+'Info Entrada'!V191+'Info Entrada'!V192)/$A$8</f>
        <v>0</v>
      </c>
      <c r="T79" s="2810">
        <f>('Info Entrada'!W187+'Info Entrada'!W188+'Info Entrada'!W190+'Info Entrada'!W191+'Info Entrada'!W192)/$A$8</f>
        <v>0</v>
      </c>
      <c r="U79" s="2808">
        <f>('Info Entrada'!F187+'Info Entrada'!F188+'Info Entrada'!F190+'Info Entrada'!F191+'Info Entrada'!F192)/$A$8</f>
        <v>0</v>
      </c>
      <c r="V79" s="2808">
        <f>('Info Entrada'!G187+'Info Entrada'!G188+'Info Entrada'!G190+'Info Entrada'!G191+'Info Entrada'!G192)/$A$8</f>
        <v>0</v>
      </c>
    </row>
    <row r="80" spans="1:22" ht="9.75" thickBot="1" x14ac:dyDescent="0.2">
      <c r="A80" s="2799" t="s">
        <v>1185</v>
      </c>
      <c r="B80" s="2835">
        <f>SUM(B75:B79)</f>
        <v>0</v>
      </c>
      <c r="C80" s="2835">
        <f>SUM(C75:C79)</f>
        <v>0</v>
      </c>
      <c r="D80" s="2836">
        <f>SUM(D75:D79)</f>
        <v>0</v>
      </c>
      <c r="E80" s="2835">
        <f t="shared" ref="E80:T80" ca="1" si="39">SUM(E75:E79)</f>
        <v>0</v>
      </c>
      <c r="F80" s="2838">
        <f t="shared" ca="1" si="39"/>
        <v>0</v>
      </c>
      <c r="G80" s="2838">
        <f t="shared" ca="1" si="39"/>
        <v>0</v>
      </c>
      <c r="H80" s="2838">
        <f t="shared" ca="1" si="39"/>
        <v>0</v>
      </c>
      <c r="I80" s="2838">
        <f t="shared" ca="1" si="39"/>
        <v>0</v>
      </c>
      <c r="J80" s="2838">
        <f t="shared" ca="1" si="39"/>
        <v>0</v>
      </c>
      <c r="K80" s="2838">
        <f t="shared" ca="1" si="39"/>
        <v>0</v>
      </c>
      <c r="L80" s="2838">
        <f t="shared" ca="1" si="39"/>
        <v>0</v>
      </c>
      <c r="M80" s="2838">
        <f t="shared" ca="1" si="39"/>
        <v>0</v>
      </c>
      <c r="N80" s="2838">
        <f t="shared" ca="1" si="39"/>
        <v>0</v>
      </c>
      <c r="O80" s="2838">
        <f t="shared" ca="1" si="39"/>
        <v>0</v>
      </c>
      <c r="P80" s="2838">
        <f t="shared" ca="1" si="39"/>
        <v>0</v>
      </c>
      <c r="Q80" s="2838">
        <f t="shared" ca="1" si="39"/>
        <v>0</v>
      </c>
      <c r="R80" s="2838">
        <f t="shared" ca="1" si="39"/>
        <v>0</v>
      </c>
      <c r="S80" s="2838">
        <f t="shared" ca="1" si="39"/>
        <v>0</v>
      </c>
      <c r="T80" s="2838">
        <f t="shared" ca="1" si="39"/>
        <v>0</v>
      </c>
      <c r="U80" s="2835">
        <f>SUM(U75:U79)</f>
        <v>0</v>
      </c>
      <c r="V80" s="2835">
        <f>SUM(V75:V79)</f>
        <v>0</v>
      </c>
    </row>
    <row r="81" spans="1:22" x14ac:dyDescent="0.15">
      <c r="A81" s="2803" t="s">
        <v>1103</v>
      </c>
      <c r="B81" s="2804">
        <f>'Info Entrada'!C200/$A$8</f>
        <v>0</v>
      </c>
      <c r="C81" s="2804">
        <f>'Info Entrada'!D200/$A$8</f>
        <v>0</v>
      </c>
      <c r="D81" s="2805">
        <f>'Info Entrada'!E200/$A$8</f>
        <v>0</v>
      </c>
      <c r="E81" s="2804">
        <f ca="1">'Info Entrada'!H200/$A$8</f>
        <v>0</v>
      </c>
      <c r="F81" s="2806">
        <f ca="1">'Info Entrada'!I200/$A$8</f>
        <v>0</v>
      </c>
      <c r="G81" s="2806">
        <f ca="1">'Info Entrada'!J200/$A$8</f>
        <v>0</v>
      </c>
      <c r="H81" s="2806">
        <f ca="1">'Info Entrada'!K200/$A$8</f>
        <v>0</v>
      </c>
      <c r="I81" s="2806">
        <f ca="1">'Info Entrada'!L200/$A$8</f>
        <v>0</v>
      </c>
      <c r="J81" s="2806">
        <f ca="1">'Info Entrada'!M200/$A$8</f>
        <v>0</v>
      </c>
      <c r="K81" s="2806">
        <f ca="1">'Info Entrada'!N200/$A$8</f>
        <v>0</v>
      </c>
      <c r="L81" s="2806">
        <f ca="1">'Info Entrada'!O200/$A$8</f>
        <v>0</v>
      </c>
      <c r="M81" s="2806">
        <f ca="1">'Info Entrada'!P200/$A$8</f>
        <v>0</v>
      </c>
      <c r="N81" s="2806">
        <f ca="1">'Info Entrada'!Q200/$A$8</f>
        <v>0</v>
      </c>
      <c r="O81" s="2806">
        <f ca="1">'Info Entrada'!R200/$A$8</f>
        <v>0</v>
      </c>
      <c r="P81" s="2806">
        <f ca="1">'Info Entrada'!S200/$A$8</f>
        <v>0</v>
      </c>
      <c r="Q81" s="2806">
        <f ca="1">'Info Entrada'!T200/$A$8</f>
        <v>0</v>
      </c>
      <c r="R81" s="2806">
        <f ca="1">'Info Entrada'!U200/$A$8</f>
        <v>0</v>
      </c>
      <c r="S81" s="2806">
        <f ca="1">'Info Entrada'!V200/$A$8</f>
        <v>0</v>
      </c>
      <c r="T81" s="2806">
        <f ca="1">'Info Entrada'!W200/$A$8</f>
        <v>0</v>
      </c>
      <c r="U81" s="2804">
        <f>'Info Entrada'!F200/$A$8</f>
        <v>0</v>
      </c>
      <c r="V81" s="2804">
        <f>'Info Entrada'!G200/$A$8</f>
        <v>0</v>
      </c>
    </row>
    <row r="82" spans="1:22" x14ac:dyDescent="0.15">
      <c r="A82" s="2795" t="s">
        <v>1104</v>
      </c>
      <c r="B82" s="2796">
        <f>('Info Entrada'!C201+'Info Entrada'!C203)/$A$8</f>
        <v>0</v>
      </c>
      <c r="C82" s="2796">
        <f>('Info Entrada'!D201+'Info Entrada'!D203)/$A$8</f>
        <v>0</v>
      </c>
      <c r="D82" s="2797">
        <f>('Info Entrada'!E201+'Info Entrada'!E203)/$A$8</f>
        <v>0</v>
      </c>
      <c r="E82" s="2796">
        <f ca="1">('Info Entrada'!H201+'Info Entrada'!H203)/$A$8</f>
        <v>0</v>
      </c>
      <c r="F82" s="2798">
        <f ca="1">('Info Entrada'!I201+'Info Entrada'!I203)/$A$8</f>
        <v>0</v>
      </c>
      <c r="G82" s="2798">
        <f ca="1">('Info Entrada'!J201+'Info Entrada'!J203)/$A$8</f>
        <v>0</v>
      </c>
      <c r="H82" s="2798">
        <f ca="1">('Info Entrada'!K201+'Info Entrada'!K203)/$A$8</f>
        <v>0</v>
      </c>
      <c r="I82" s="2798">
        <f ca="1">('Info Entrada'!L201+'Info Entrada'!L203)/$A$8</f>
        <v>0</v>
      </c>
      <c r="J82" s="2798">
        <f ca="1">('Info Entrada'!M201+'Info Entrada'!M203)/$A$8</f>
        <v>0</v>
      </c>
      <c r="K82" s="2798">
        <f ca="1">('Info Entrada'!N201+'Info Entrada'!N203)/$A$8</f>
        <v>0</v>
      </c>
      <c r="L82" s="2798">
        <f ca="1">('Info Entrada'!O201+'Info Entrada'!O203)/$A$8</f>
        <v>0</v>
      </c>
      <c r="M82" s="2798">
        <f ca="1">('Info Entrada'!P201+'Info Entrada'!P203)/$A$8</f>
        <v>0</v>
      </c>
      <c r="N82" s="2798">
        <f ca="1">('Info Entrada'!Q201+'Info Entrada'!Q203)/$A$8</f>
        <v>0</v>
      </c>
      <c r="O82" s="2798">
        <f ca="1">('Info Entrada'!R201+'Info Entrada'!R203)/$A$8</f>
        <v>0</v>
      </c>
      <c r="P82" s="2798">
        <f ca="1">('Info Entrada'!S201+'Info Entrada'!S203)/$A$8</f>
        <v>0</v>
      </c>
      <c r="Q82" s="2798">
        <f ca="1">('Info Entrada'!T201+'Info Entrada'!T203)/$A$8</f>
        <v>0</v>
      </c>
      <c r="R82" s="2798">
        <f ca="1">('Info Entrada'!U201+'Info Entrada'!U203)/$A$8</f>
        <v>0</v>
      </c>
      <c r="S82" s="2798">
        <f ca="1">('Info Entrada'!V201+'Info Entrada'!V203)/$A$8</f>
        <v>0</v>
      </c>
      <c r="T82" s="2798">
        <f ca="1">('Info Entrada'!W201+'Info Entrada'!W203)/$A$8</f>
        <v>0</v>
      </c>
      <c r="U82" s="2796">
        <f>('Info Entrada'!F201+'Info Entrada'!F203)/$A$8</f>
        <v>0</v>
      </c>
      <c r="V82" s="2796">
        <f>('Info Entrada'!G201+'Info Entrada'!G203)/$A$8</f>
        <v>0</v>
      </c>
    </row>
    <row r="83" spans="1:22" x14ac:dyDescent="0.15">
      <c r="A83" s="2795" t="s">
        <v>1105</v>
      </c>
      <c r="B83" s="2796">
        <f>'Info Entrada'!C204/$A$8</f>
        <v>0</v>
      </c>
      <c r="C83" s="2796">
        <f>'Info Entrada'!D204/$A$8</f>
        <v>0</v>
      </c>
      <c r="D83" s="2797">
        <f>'Info Entrada'!E204/$A$8</f>
        <v>0</v>
      </c>
      <c r="E83" s="2796">
        <f>'Info Entrada'!H204/$A$8</f>
        <v>0</v>
      </c>
      <c r="F83" s="2798">
        <f>'Info Entrada'!I204/$A$8</f>
        <v>0</v>
      </c>
      <c r="G83" s="2798">
        <f>'Info Entrada'!J204/$A$8</f>
        <v>0</v>
      </c>
      <c r="H83" s="2798">
        <f>'Info Entrada'!K204/$A$8</f>
        <v>0</v>
      </c>
      <c r="I83" s="2798">
        <f>'Info Entrada'!L204/$A$8</f>
        <v>0</v>
      </c>
      <c r="J83" s="2798">
        <f>'Info Entrada'!M204/$A$8</f>
        <v>0</v>
      </c>
      <c r="K83" s="2798">
        <f>'Info Entrada'!N204/$A$8</f>
        <v>0</v>
      </c>
      <c r="L83" s="2798">
        <f>'Info Entrada'!O204/$A$8</f>
        <v>0</v>
      </c>
      <c r="M83" s="2798">
        <f>'Info Entrada'!P204/$A$8</f>
        <v>0</v>
      </c>
      <c r="N83" s="2798">
        <f>'Info Entrada'!Q204/$A$8</f>
        <v>0</v>
      </c>
      <c r="O83" s="2798">
        <f>'Info Entrada'!R204/$A$8</f>
        <v>0</v>
      </c>
      <c r="P83" s="2798">
        <f>'Info Entrada'!S204/$A$8</f>
        <v>0</v>
      </c>
      <c r="Q83" s="2798">
        <f>'Info Entrada'!T204/$A$8</f>
        <v>0</v>
      </c>
      <c r="R83" s="2798">
        <f>'Info Entrada'!U204/$A$8</f>
        <v>0</v>
      </c>
      <c r="S83" s="2798">
        <f>'Info Entrada'!V204/$A$8</f>
        <v>0</v>
      </c>
      <c r="T83" s="2798">
        <f>'Info Entrada'!W204/$A$8</f>
        <v>0</v>
      </c>
      <c r="U83" s="2796">
        <f>'Info Entrada'!F204/$A$8</f>
        <v>0</v>
      </c>
      <c r="V83" s="2796">
        <f>'Info Entrada'!G204/$A$8</f>
        <v>0</v>
      </c>
    </row>
    <row r="84" spans="1:22" ht="9.75" thickBot="1" x14ac:dyDescent="0.2">
      <c r="A84" s="2807" t="s">
        <v>1106</v>
      </c>
      <c r="B84" s="2808">
        <f>('Info Entrada'!C202+'Info Entrada'!C205+'Info Entrada'!C206+'Info Entrada'!C207+'Info Entrada'!C208+'Info Entrada'!C209)/$A$8</f>
        <v>0</v>
      </c>
      <c r="C84" s="2808">
        <f>('Info Entrada'!D202+'Info Entrada'!D205+'Info Entrada'!D206+'Info Entrada'!D207+'Info Entrada'!D208+'Info Entrada'!D209)/$A$8</f>
        <v>0</v>
      </c>
      <c r="D84" s="2809">
        <f>('Info Entrada'!E202+'Info Entrada'!E205+'Info Entrada'!E206+'Info Entrada'!E207+'Info Entrada'!E208+'Info Entrada'!E209)/$A$8</f>
        <v>0</v>
      </c>
      <c r="E84" s="2808">
        <f ca="1">('Info Entrada'!H202+'Info Entrada'!H205+'Info Entrada'!H206+'Info Entrada'!H207+'Info Entrada'!H208+'Info Entrada'!H209)/$A$8</f>
        <v>0</v>
      </c>
      <c r="F84" s="2810">
        <f ca="1">('Info Entrada'!I202+'Info Entrada'!I205+'Info Entrada'!I206+'Info Entrada'!I207+'Info Entrada'!I208+'Info Entrada'!I209)/$A$8</f>
        <v>0</v>
      </c>
      <c r="G84" s="2810">
        <f ca="1">('Info Entrada'!J202+'Info Entrada'!J205+'Info Entrada'!J206+'Info Entrada'!J207+'Info Entrada'!J208+'Info Entrada'!J209)/$A$8</f>
        <v>0</v>
      </c>
      <c r="H84" s="2810">
        <f ca="1">('Info Entrada'!K202+'Info Entrada'!K205+'Info Entrada'!K206+'Info Entrada'!K207+'Info Entrada'!K208+'Info Entrada'!K209)/$A$8</f>
        <v>0</v>
      </c>
      <c r="I84" s="2810">
        <f ca="1">('Info Entrada'!L202+'Info Entrada'!L205+'Info Entrada'!L206+'Info Entrada'!L207+'Info Entrada'!L208+'Info Entrada'!L209)/$A$8</f>
        <v>0</v>
      </c>
      <c r="J84" s="2810">
        <f ca="1">('Info Entrada'!M202+'Info Entrada'!M205+'Info Entrada'!M206+'Info Entrada'!M207+'Info Entrada'!M208+'Info Entrada'!M209)/$A$8</f>
        <v>0</v>
      </c>
      <c r="K84" s="2810">
        <f ca="1">('Info Entrada'!N202+'Info Entrada'!N205+'Info Entrada'!N206+'Info Entrada'!N207+'Info Entrada'!N208+'Info Entrada'!N209)/$A$8</f>
        <v>0</v>
      </c>
      <c r="L84" s="2810">
        <f ca="1">('Info Entrada'!O202+'Info Entrada'!O205+'Info Entrada'!O206+'Info Entrada'!O207+'Info Entrada'!O208+'Info Entrada'!O209)/$A$8</f>
        <v>0</v>
      </c>
      <c r="M84" s="2810">
        <f ca="1">('Info Entrada'!P202+'Info Entrada'!P205+'Info Entrada'!P206+'Info Entrada'!P207+'Info Entrada'!P208+'Info Entrada'!P209)/$A$8</f>
        <v>0</v>
      </c>
      <c r="N84" s="2810">
        <f ca="1">('Info Entrada'!Q202+'Info Entrada'!Q205+'Info Entrada'!Q206+'Info Entrada'!Q207+'Info Entrada'!Q208+'Info Entrada'!Q209)/$A$8</f>
        <v>0</v>
      </c>
      <c r="O84" s="2810">
        <f ca="1">('Info Entrada'!R202+'Info Entrada'!R205+'Info Entrada'!R206+'Info Entrada'!R207+'Info Entrada'!R208+'Info Entrada'!R209)/$A$8</f>
        <v>0</v>
      </c>
      <c r="P84" s="2810">
        <f ca="1">('Info Entrada'!S202+'Info Entrada'!S205+'Info Entrada'!S206+'Info Entrada'!S207+'Info Entrada'!S208+'Info Entrada'!S209)/$A$8</f>
        <v>0</v>
      </c>
      <c r="Q84" s="2810">
        <f ca="1">('Info Entrada'!T202+'Info Entrada'!T205+'Info Entrada'!T206+'Info Entrada'!T207+'Info Entrada'!T208+'Info Entrada'!T209)/$A$8</f>
        <v>0</v>
      </c>
      <c r="R84" s="2810">
        <f ca="1">('Info Entrada'!U202+'Info Entrada'!U205+'Info Entrada'!U206+'Info Entrada'!U207+'Info Entrada'!U208+'Info Entrada'!U209)/$A$8</f>
        <v>0</v>
      </c>
      <c r="S84" s="2810">
        <f ca="1">('Info Entrada'!V202+'Info Entrada'!V205+'Info Entrada'!V206+'Info Entrada'!V207+'Info Entrada'!V208+'Info Entrada'!V209)/$A$8</f>
        <v>0</v>
      </c>
      <c r="T84" s="2810">
        <f ca="1">('Info Entrada'!W202+'Info Entrada'!W205+'Info Entrada'!W206+'Info Entrada'!W207+'Info Entrada'!W208+'Info Entrada'!W209)/$A$8</f>
        <v>0</v>
      </c>
      <c r="U84" s="2808">
        <f>('Info Entrada'!F202+'Info Entrada'!F205+'Info Entrada'!F206+'Info Entrada'!F207+'Info Entrada'!F208+'Info Entrada'!F209)/$A$8</f>
        <v>0</v>
      </c>
      <c r="V84" s="2808">
        <f>('Info Entrada'!G202+'Info Entrada'!G205+'Info Entrada'!G206+'Info Entrada'!G207+'Info Entrada'!G208+'Info Entrada'!G209)/$A$8</f>
        <v>0</v>
      </c>
    </row>
    <row r="85" spans="1:22" ht="9.75" thickBot="1" x14ac:dyDescent="0.2">
      <c r="A85" s="2799" t="s">
        <v>1186</v>
      </c>
      <c r="B85" s="2835">
        <f>SUM(B81:B84)</f>
        <v>0</v>
      </c>
      <c r="C85" s="2835">
        <f>SUM(C81:C84)</f>
        <v>0</v>
      </c>
      <c r="D85" s="2836">
        <f>SUM(D81:D84)</f>
        <v>0</v>
      </c>
      <c r="E85" s="2835">
        <f t="shared" ref="E85:T85" ca="1" si="40">SUM(E81:E84)</f>
        <v>0</v>
      </c>
      <c r="F85" s="2838">
        <f t="shared" ca="1" si="40"/>
        <v>0</v>
      </c>
      <c r="G85" s="2838">
        <f t="shared" ca="1" si="40"/>
        <v>0</v>
      </c>
      <c r="H85" s="2838">
        <f t="shared" ca="1" si="40"/>
        <v>0</v>
      </c>
      <c r="I85" s="2838">
        <f t="shared" ca="1" si="40"/>
        <v>0</v>
      </c>
      <c r="J85" s="2838">
        <f t="shared" ca="1" si="40"/>
        <v>0</v>
      </c>
      <c r="K85" s="2838">
        <f t="shared" ca="1" si="40"/>
        <v>0</v>
      </c>
      <c r="L85" s="2838">
        <f t="shared" ca="1" si="40"/>
        <v>0</v>
      </c>
      <c r="M85" s="2838">
        <f t="shared" ca="1" si="40"/>
        <v>0</v>
      </c>
      <c r="N85" s="2838">
        <f t="shared" ca="1" si="40"/>
        <v>0</v>
      </c>
      <c r="O85" s="2838">
        <f t="shared" ca="1" si="40"/>
        <v>0</v>
      </c>
      <c r="P85" s="2838">
        <f t="shared" ca="1" si="40"/>
        <v>0</v>
      </c>
      <c r="Q85" s="2838">
        <f t="shared" ca="1" si="40"/>
        <v>0</v>
      </c>
      <c r="R85" s="2838">
        <f t="shared" ca="1" si="40"/>
        <v>0</v>
      </c>
      <c r="S85" s="2838">
        <f t="shared" ca="1" si="40"/>
        <v>0</v>
      </c>
      <c r="T85" s="2838">
        <f t="shared" ca="1" si="40"/>
        <v>0</v>
      </c>
      <c r="U85" s="2835">
        <f>SUM(U81:U84)</f>
        <v>0</v>
      </c>
      <c r="V85" s="2835">
        <f>SUM(V81:V84)</f>
        <v>0</v>
      </c>
    </row>
    <row r="86" spans="1:22" ht="9.75" thickBot="1" x14ac:dyDescent="0.2">
      <c r="A86" s="2799" t="s">
        <v>1187</v>
      </c>
      <c r="B86" s="2835">
        <f>B80+B85</f>
        <v>0</v>
      </c>
      <c r="C86" s="2835">
        <f>C80+C85</f>
        <v>0</v>
      </c>
      <c r="D86" s="2836">
        <f>D80+D85</f>
        <v>0</v>
      </c>
      <c r="E86" s="2835">
        <f t="shared" ref="E86:T86" ca="1" si="41">E80+E85</f>
        <v>0</v>
      </c>
      <c r="F86" s="2838">
        <f t="shared" ca="1" si="41"/>
        <v>0</v>
      </c>
      <c r="G86" s="2838">
        <f t="shared" ca="1" si="41"/>
        <v>0</v>
      </c>
      <c r="H86" s="2838">
        <f t="shared" ca="1" si="41"/>
        <v>0</v>
      </c>
      <c r="I86" s="2838">
        <f t="shared" ca="1" si="41"/>
        <v>0</v>
      </c>
      <c r="J86" s="2838">
        <f t="shared" ca="1" si="41"/>
        <v>0</v>
      </c>
      <c r="K86" s="2838">
        <f t="shared" ca="1" si="41"/>
        <v>0</v>
      </c>
      <c r="L86" s="2838">
        <f t="shared" ca="1" si="41"/>
        <v>0</v>
      </c>
      <c r="M86" s="2838">
        <f t="shared" ca="1" si="41"/>
        <v>0</v>
      </c>
      <c r="N86" s="2838">
        <f t="shared" ca="1" si="41"/>
        <v>0</v>
      </c>
      <c r="O86" s="2838">
        <f t="shared" ca="1" si="41"/>
        <v>0</v>
      </c>
      <c r="P86" s="2838">
        <f t="shared" ca="1" si="41"/>
        <v>0</v>
      </c>
      <c r="Q86" s="2838">
        <f t="shared" ca="1" si="41"/>
        <v>0</v>
      </c>
      <c r="R86" s="2838">
        <f t="shared" ca="1" si="41"/>
        <v>0</v>
      </c>
      <c r="S86" s="2838">
        <f t="shared" ca="1" si="41"/>
        <v>0</v>
      </c>
      <c r="T86" s="2838">
        <f t="shared" ca="1" si="41"/>
        <v>0</v>
      </c>
      <c r="U86" s="2835">
        <f>U80+U85</f>
        <v>0</v>
      </c>
      <c r="V86" s="2835">
        <f>V80+V85</f>
        <v>0</v>
      </c>
    </row>
    <row r="87" spans="1:22" ht="9.75" thickBot="1" x14ac:dyDescent="0.2">
      <c r="A87" s="2849" t="s">
        <v>1107</v>
      </c>
      <c r="B87" s="2850">
        <f>'Info Entrada'!C253/$A$8</f>
        <v>0</v>
      </c>
      <c r="C87" s="2850">
        <f>'Info Entrada'!D253/$A$8</f>
        <v>0</v>
      </c>
      <c r="D87" s="2851">
        <f>'Info Entrada'!E253/$A$8</f>
        <v>0</v>
      </c>
      <c r="E87" s="2850">
        <f>'Info Entrada'!H253/$A$8</f>
        <v>0</v>
      </c>
      <c r="F87" s="2852">
        <f>'Info Entrada'!I253/$A$8</f>
        <v>0</v>
      </c>
      <c r="G87" s="2852">
        <f>'Info Entrada'!J253/$A$8</f>
        <v>0</v>
      </c>
      <c r="H87" s="2852">
        <f>'Info Entrada'!K253/$A$8</f>
        <v>0</v>
      </c>
      <c r="I87" s="2852">
        <f>'Info Entrada'!L253/$A$8</f>
        <v>0</v>
      </c>
      <c r="J87" s="2852">
        <f>'Info Entrada'!M253/$A$8</f>
        <v>0</v>
      </c>
      <c r="K87" s="2852">
        <f>'Info Entrada'!N253/$A$8</f>
        <v>0</v>
      </c>
      <c r="L87" s="2852">
        <f>'Info Entrada'!O253/$A$8</f>
        <v>0</v>
      </c>
      <c r="M87" s="2852">
        <f>'Info Entrada'!P253/$A$8</f>
        <v>0</v>
      </c>
      <c r="N87" s="2852">
        <f>'Info Entrada'!Q253/$A$8</f>
        <v>0</v>
      </c>
      <c r="O87" s="2852">
        <f>'Info Entrada'!R253/$A$8</f>
        <v>0</v>
      </c>
      <c r="P87" s="2852">
        <f>'Info Entrada'!S253/$A$8</f>
        <v>0</v>
      </c>
      <c r="Q87" s="2852">
        <f>'Info Entrada'!T253/$A$8</f>
        <v>0</v>
      </c>
      <c r="R87" s="2852">
        <f>'Info Entrada'!U253/$A$8</f>
        <v>0</v>
      </c>
      <c r="S87" s="2852">
        <f>'Info Entrada'!V253/$A$8</f>
        <v>0</v>
      </c>
      <c r="T87" s="2852">
        <f>'Info Entrada'!W253/$A$8</f>
        <v>0</v>
      </c>
      <c r="U87" s="2850">
        <f>'Info Entrada'!F253/$A$8</f>
        <v>0</v>
      </c>
      <c r="V87" s="2850">
        <f>'Info Entrada'!G253/$A$8</f>
        <v>0</v>
      </c>
    </row>
    <row r="88" spans="1:22" x14ac:dyDescent="0.15">
      <c r="A88" s="2803" t="s">
        <v>1108</v>
      </c>
      <c r="B88" s="2804">
        <f>SUM('Info Entrada'!C215:C217)/$A$8</f>
        <v>0</v>
      </c>
      <c r="C88" s="2804">
        <f>SUM('Info Entrada'!D215:D217)/$A$8</f>
        <v>0</v>
      </c>
      <c r="D88" s="2805">
        <f>SUM('Info Entrada'!E215:E217)/$A$8</f>
        <v>0</v>
      </c>
      <c r="E88" s="2804">
        <f ca="1">SUM('Info Entrada'!H215:H217)/$A$8</f>
        <v>0</v>
      </c>
      <c r="F88" s="2806">
        <f ca="1">SUM('Info Entrada'!I215:I217)/$A$8</f>
        <v>0</v>
      </c>
      <c r="G88" s="2806">
        <f ca="1">SUM('Info Entrada'!J215:J217)/$A$8</f>
        <v>0</v>
      </c>
      <c r="H88" s="2806">
        <f ca="1">SUM('Info Entrada'!K215:K217)/$A$8</f>
        <v>0</v>
      </c>
      <c r="I88" s="2806">
        <f ca="1">SUM('Info Entrada'!L215:L217)/$A$8</f>
        <v>0</v>
      </c>
      <c r="J88" s="2806">
        <f ca="1">SUM('Info Entrada'!M215:M217)/$A$8</f>
        <v>0</v>
      </c>
      <c r="K88" s="2806">
        <f ca="1">SUM('Info Entrada'!N215:N217)/$A$8</f>
        <v>0</v>
      </c>
      <c r="L88" s="2806">
        <f ca="1">SUM('Info Entrada'!O215:O217)/$A$8</f>
        <v>0</v>
      </c>
      <c r="M88" s="2806">
        <f ca="1">SUM('Info Entrada'!P215:P217)/$A$8</f>
        <v>0</v>
      </c>
      <c r="N88" s="2806">
        <f ca="1">SUM('Info Entrada'!Q215:Q217)/$A$8</f>
        <v>0</v>
      </c>
      <c r="O88" s="2806">
        <f ca="1">SUM('Info Entrada'!R215:R217)/$A$8</f>
        <v>0</v>
      </c>
      <c r="P88" s="2806">
        <f ca="1">SUM('Info Entrada'!S215:S217)/$A$8</f>
        <v>0</v>
      </c>
      <c r="Q88" s="2806">
        <f ca="1">SUM('Info Entrada'!T215:T217)/$A$8</f>
        <v>0</v>
      </c>
      <c r="R88" s="2806">
        <f ca="1">SUM('Info Entrada'!U215:U217)/$A$8</f>
        <v>0</v>
      </c>
      <c r="S88" s="2806">
        <f ca="1">SUM('Info Entrada'!V215:V217)/$A$8</f>
        <v>0</v>
      </c>
      <c r="T88" s="2806">
        <f ca="1">SUM('Info Entrada'!W215:W217)/$A$8</f>
        <v>0</v>
      </c>
      <c r="U88" s="2804">
        <f>SUM('Info Entrada'!F215:F217)/$A$8</f>
        <v>0</v>
      </c>
      <c r="V88" s="2804">
        <f>SUM('Info Entrada'!G215:G217)/$A$8</f>
        <v>0</v>
      </c>
    </row>
    <row r="89" spans="1:22" x14ac:dyDescent="0.15">
      <c r="A89" s="2795" t="s">
        <v>1188</v>
      </c>
      <c r="B89" s="2796">
        <f>'Info Entrada'!C220/$A$8</f>
        <v>0</v>
      </c>
      <c r="C89" s="2796">
        <f>'Info Entrada'!D220/$A$8</f>
        <v>0</v>
      </c>
      <c r="D89" s="2797">
        <f>'Info Entrada'!E220/$A$8</f>
        <v>0</v>
      </c>
      <c r="E89" s="2796">
        <f>'Info Entrada'!H220/$A$8</f>
        <v>0</v>
      </c>
      <c r="F89" s="2798">
        <f>'Info Entrada'!I220/$A$8</f>
        <v>0</v>
      </c>
      <c r="G89" s="2798">
        <f>'Info Entrada'!J220/$A$8</f>
        <v>0</v>
      </c>
      <c r="H89" s="2798">
        <f>'Info Entrada'!K220/$A$8</f>
        <v>0</v>
      </c>
      <c r="I89" s="2798">
        <f>'Info Entrada'!L220/$A$8</f>
        <v>0</v>
      </c>
      <c r="J89" s="2798">
        <f>'Info Entrada'!M220/$A$8</f>
        <v>0</v>
      </c>
      <c r="K89" s="2798">
        <f>'Info Entrada'!N220/$A$8</f>
        <v>0</v>
      </c>
      <c r="L89" s="2798">
        <f>'Info Entrada'!O220/$A$8</f>
        <v>0</v>
      </c>
      <c r="M89" s="2798">
        <f>'Info Entrada'!P220/$A$8</f>
        <v>0</v>
      </c>
      <c r="N89" s="2798">
        <f>'Info Entrada'!Q220/$A$8</f>
        <v>0</v>
      </c>
      <c r="O89" s="2798">
        <f>'Info Entrada'!R220/$A$8</f>
        <v>0</v>
      </c>
      <c r="P89" s="2798">
        <f>'Info Entrada'!S220/$A$8</f>
        <v>0</v>
      </c>
      <c r="Q89" s="2798">
        <f>'Info Entrada'!T220/$A$8</f>
        <v>0</v>
      </c>
      <c r="R89" s="2798">
        <f>'Info Entrada'!U220/$A$8</f>
        <v>0</v>
      </c>
      <c r="S89" s="2798">
        <f>'Info Entrada'!V220/$A$8</f>
        <v>0</v>
      </c>
      <c r="T89" s="2798">
        <f>'Info Entrada'!W220/$A$8</f>
        <v>0</v>
      </c>
      <c r="U89" s="2796">
        <f>'Info Entrada'!F220/$A$8</f>
        <v>0</v>
      </c>
      <c r="V89" s="2796">
        <f>'Info Entrada'!G220/$A$8</f>
        <v>0</v>
      </c>
    </row>
    <row r="90" spans="1:22" x14ac:dyDescent="0.15">
      <c r="A90" s="2795" t="s">
        <v>1109</v>
      </c>
      <c r="B90" s="2796">
        <f>SUM('Info Entrada'!C218:C219)/$A$8</f>
        <v>0</v>
      </c>
      <c r="C90" s="2796">
        <f>SUM('Info Entrada'!D218:D219)/$A$8</f>
        <v>0</v>
      </c>
      <c r="D90" s="2797">
        <f>SUM('Info Entrada'!E218:E219)/$A$8</f>
        <v>0</v>
      </c>
      <c r="E90" s="2796">
        <f>SUM('Info Entrada'!H218:H219)/$A$8</f>
        <v>0</v>
      </c>
      <c r="F90" s="2798">
        <f>SUM('Info Entrada'!I218:I219)/$A$8</f>
        <v>0</v>
      </c>
      <c r="G90" s="2798">
        <f>SUM('Info Entrada'!J218:J219)/$A$8</f>
        <v>0</v>
      </c>
      <c r="H90" s="2798">
        <f>SUM('Info Entrada'!K218:K219)/$A$8</f>
        <v>0</v>
      </c>
      <c r="I90" s="2798">
        <f>SUM('Info Entrada'!L218:L219)/$A$8</f>
        <v>0</v>
      </c>
      <c r="J90" s="2798">
        <f>SUM('Info Entrada'!M218:M219)/$A$8</f>
        <v>0</v>
      </c>
      <c r="K90" s="2798">
        <f>SUM('Info Entrada'!N218:N219)/$A$8</f>
        <v>0</v>
      </c>
      <c r="L90" s="2798">
        <f>SUM('Info Entrada'!O218:O219)/$A$8</f>
        <v>0</v>
      </c>
      <c r="M90" s="2798">
        <f>SUM('Info Entrada'!P218:P219)/$A$8</f>
        <v>0</v>
      </c>
      <c r="N90" s="2798">
        <f>SUM('Info Entrada'!Q218:Q219)/$A$8</f>
        <v>0</v>
      </c>
      <c r="O90" s="2798">
        <f>SUM('Info Entrada'!R218:R219)/$A$8</f>
        <v>0</v>
      </c>
      <c r="P90" s="2798">
        <f>SUM('Info Entrada'!S218:S219)/$A$8</f>
        <v>0</v>
      </c>
      <c r="Q90" s="2798">
        <f>SUM('Info Entrada'!T218:T219)/$A$8</f>
        <v>0</v>
      </c>
      <c r="R90" s="2798">
        <f>SUM('Info Entrada'!U218:U219)/$A$8</f>
        <v>0</v>
      </c>
      <c r="S90" s="2798">
        <f>SUM('Info Entrada'!V218:V219)/$A$8</f>
        <v>0</v>
      </c>
      <c r="T90" s="2798">
        <f>SUM('Info Entrada'!W218:W219)/$A$8</f>
        <v>0</v>
      </c>
      <c r="U90" s="2796">
        <f>SUM('Info Entrada'!F218:F219)/$A$8</f>
        <v>0</v>
      </c>
      <c r="V90" s="2796">
        <f>SUM('Info Entrada'!G218:G219)/$A$8</f>
        <v>0</v>
      </c>
    </row>
    <row r="91" spans="1:22" x14ac:dyDescent="0.15">
      <c r="A91" s="2795" t="s">
        <v>1110</v>
      </c>
      <c r="B91" s="2796">
        <f>'Info Entrada'!C222/$A$8</f>
        <v>0</v>
      </c>
      <c r="C91" s="2796">
        <f>'Info Entrada'!D222/$A$8</f>
        <v>0</v>
      </c>
      <c r="D91" s="2797">
        <f>'Info Entrada'!E222/$A$8</f>
        <v>0</v>
      </c>
      <c r="E91" s="2796">
        <f>'Info Entrada'!H222/$A$8</f>
        <v>0</v>
      </c>
      <c r="F91" s="2798">
        <f>'Info Entrada'!I222/$A$8</f>
        <v>0</v>
      </c>
      <c r="G91" s="2798">
        <f>'Info Entrada'!J222/$A$8</f>
        <v>0</v>
      </c>
      <c r="H91" s="2798">
        <f>'Info Entrada'!K222/$A$8</f>
        <v>0</v>
      </c>
      <c r="I91" s="2798">
        <f>'Info Entrada'!L222/$A$8</f>
        <v>0</v>
      </c>
      <c r="J91" s="2798">
        <f>'Info Entrada'!M222/$A$8</f>
        <v>0</v>
      </c>
      <c r="K91" s="2798">
        <f>'Info Entrada'!N222/$A$8</f>
        <v>0</v>
      </c>
      <c r="L91" s="2798">
        <f>'Info Entrada'!O222/$A$8</f>
        <v>0</v>
      </c>
      <c r="M91" s="2798">
        <f>'Info Entrada'!P222/$A$8</f>
        <v>0</v>
      </c>
      <c r="N91" s="2798">
        <f>'Info Entrada'!Q222/$A$8</f>
        <v>0</v>
      </c>
      <c r="O91" s="2798">
        <f>'Info Entrada'!R222/$A$8</f>
        <v>0</v>
      </c>
      <c r="P91" s="2798">
        <f>'Info Entrada'!S222/$A$8</f>
        <v>0</v>
      </c>
      <c r="Q91" s="2798">
        <f>'Info Entrada'!T222/$A$8</f>
        <v>0</v>
      </c>
      <c r="R91" s="2798">
        <f>'Info Entrada'!U222/$A$8</f>
        <v>0</v>
      </c>
      <c r="S91" s="2798">
        <f>'Info Entrada'!V222/$A$8</f>
        <v>0</v>
      </c>
      <c r="T91" s="2798">
        <f>'Info Entrada'!W222/$A$8</f>
        <v>0</v>
      </c>
      <c r="U91" s="2796">
        <f>'Info Entrada'!F222/$A$8</f>
        <v>0</v>
      </c>
      <c r="V91" s="2796">
        <f>'Info Entrada'!G222/$A$8</f>
        <v>0</v>
      </c>
    </row>
    <row r="92" spans="1:22" ht="9.75" thickBot="1" x14ac:dyDescent="0.2">
      <c r="A92" s="2807" t="s">
        <v>315</v>
      </c>
      <c r="B92" s="2808">
        <f>('Info Entrada'!C221+'Info Entrada'!C223+'Info Entrada'!C224+'Info Entrada'!C225+'Info Entrada'!C226)/$A$8</f>
        <v>0</v>
      </c>
      <c r="C92" s="2808">
        <f>('Info Entrada'!D221+'Info Entrada'!D223+'Info Entrada'!D224+'Info Entrada'!D225+'Info Entrada'!D226)/$A$8</f>
        <v>0</v>
      </c>
      <c r="D92" s="2809">
        <f>('Info Entrada'!E221+'Info Entrada'!E223+'Info Entrada'!E224+'Info Entrada'!E225+'Info Entrada'!E226)/$A$8</f>
        <v>0</v>
      </c>
      <c r="E92" s="2808">
        <f>IFERROR(('Info Entrada'!H221+'Info Entrada'!H223+'Info Entrada'!H224+'Info Entrada'!H225+'Info Entrada'!H226)/$A$8,0)</f>
        <v>0</v>
      </c>
      <c r="F92" s="2810">
        <f>IFERROR(('Info Entrada'!I221+'Info Entrada'!I223+'Info Entrada'!I224+'Info Entrada'!I225+'Info Entrada'!I226)/$A$8,0)</f>
        <v>0</v>
      </c>
      <c r="G92" s="2810">
        <f>IFERROR(('Info Entrada'!J221+'Info Entrada'!J223+'Info Entrada'!J224+'Info Entrada'!J225+'Info Entrada'!J226)/$A$8,0)</f>
        <v>0</v>
      </c>
      <c r="H92" s="2810">
        <f>IFERROR(('Info Entrada'!K221+'Info Entrada'!K223+'Info Entrada'!K224+'Info Entrada'!K225+'Info Entrada'!K226)/$A$8,0)</f>
        <v>0</v>
      </c>
      <c r="I92" s="2810">
        <f>IFERROR(('Info Entrada'!L221+'Info Entrada'!L223+'Info Entrada'!L224+'Info Entrada'!L225+'Info Entrada'!L226)/$A$8,0)</f>
        <v>0</v>
      </c>
      <c r="J92" s="2810">
        <f>IFERROR(('Info Entrada'!M221+'Info Entrada'!M223+'Info Entrada'!M224+'Info Entrada'!M225+'Info Entrada'!M226)/$A$8,0)</f>
        <v>0</v>
      </c>
      <c r="K92" s="2810">
        <f>IFERROR(('Info Entrada'!N221+'Info Entrada'!N223+'Info Entrada'!N224+'Info Entrada'!N225+'Info Entrada'!N226)/$A$8,0)</f>
        <v>0</v>
      </c>
      <c r="L92" s="2810">
        <f>IFERROR(('Info Entrada'!O221+'Info Entrada'!O223+'Info Entrada'!O224+'Info Entrada'!O225+'Info Entrada'!O226)/$A$8,0)</f>
        <v>0</v>
      </c>
      <c r="M92" s="2810">
        <f>IFERROR(('Info Entrada'!P221+'Info Entrada'!P223+'Info Entrada'!P224+'Info Entrada'!P225+'Info Entrada'!P226)/$A$8,0)</f>
        <v>0</v>
      </c>
      <c r="N92" s="2810">
        <f>IFERROR(('Info Entrada'!Q221+'Info Entrada'!Q223+'Info Entrada'!Q224+'Info Entrada'!Q225+'Info Entrada'!Q226)/$A$8,0)</f>
        <v>0</v>
      </c>
      <c r="O92" s="2810">
        <f>IFERROR(('Info Entrada'!R221+'Info Entrada'!R223+'Info Entrada'!R224+'Info Entrada'!R225+'Info Entrada'!R226)/$A$8,0)</f>
        <v>0</v>
      </c>
      <c r="P92" s="2810">
        <f>IFERROR(('Info Entrada'!S221+'Info Entrada'!S223+'Info Entrada'!S224+'Info Entrada'!S225+'Info Entrada'!S226)/$A$8,0)</f>
        <v>0</v>
      </c>
      <c r="Q92" s="2810">
        <f>IFERROR(('Info Entrada'!T221+'Info Entrada'!T223+'Info Entrada'!T224+'Info Entrada'!T225+'Info Entrada'!T226)/$A$8,0)</f>
        <v>0</v>
      </c>
      <c r="R92" s="2810">
        <f>IFERROR(('Info Entrada'!U221+'Info Entrada'!U223+'Info Entrada'!U224+'Info Entrada'!U225+'Info Entrada'!U226)/$A$8,0)</f>
        <v>0</v>
      </c>
      <c r="S92" s="2810">
        <f>IFERROR(('Info Entrada'!V221+'Info Entrada'!V223+'Info Entrada'!V224+'Info Entrada'!V225+'Info Entrada'!V226)/$A$8,0)</f>
        <v>0</v>
      </c>
      <c r="T92" s="2810">
        <f>IFERROR(('Info Entrada'!W221+'Info Entrada'!W223+'Info Entrada'!W224+'Info Entrada'!W225+'Info Entrada'!W226)/$A$8,0)</f>
        <v>0</v>
      </c>
      <c r="U92" s="2808">
        <f>('Info Entrada'!F221+'Info Entrada'!F223+'Info Entrada'!F224+'Info Entrada'!F225+'Info Entrada'!F226)/$A$8</f>
        <v>0</v>
      </c>
      <c r="V92" s="2808">
        <f>('Info Entrada'!G221+'Info Entrada'!G223+'Info Entrada'!G224+'Info Entrada'!G225+'Info Entrada'!G226)/$A$8</f>
        <v>0</v>
      </c>
    </row>
    <row r="93" spans="1:22" ht="9.75" thickBot="1" x14ac:dyDescent="0.2">
      <c r="A93" s="2811" t="s">
        <v>1189</v>
      </c>
      <c r="B93" s="2812">
        <f>SUM(B88:B92)</f>
        <v>0</v>
      </c>
      <c r="C93" s="2812">
        <f>SUM(C88:C92)</f>
        <v>0</v>
      </c>
      <c r="D93" s="2813">
        <f>SUM(D88:D92)</f>
        <v>0</v>
      </c>
      <c r="E93" s="2812">
        <f t="shared" ref="E93:T93" ca="1" si="42">SUM(E88:E92)</f>
        <v>0</v>
      </c>
      <c r="F93" s="2814">
        <f t="shared" ca="1" si="42"/>
        <v>0</v>
      </c>
      <c r="G93" s="2814">
        <f t="shared" ca="1" si="42"/>
        <v>0</v>
      </c>
      <c r="H93" s="2814">
        <f t="shared" ca="1" si="42"/>
        <v>0</v>
      </c>
      <c r="I93" s="2814">
        <f t="shared" ca="1" si="42"/>
        <v>0</v>
      </c>
      <c r="J93" s="2814">
        <f t="shared" ca="1" si="42"/>
        <v>0</v>
      </c>
      <c r="K93" s="2814">
        <f t="shared" ca="1" si="42"/>
        <v>0</v>
      </c>
      <c r="L93" s="2814">
        <f t="shared" ca="1" si="42"/>
        <v>0</v>
      </c>
      <c r="M93" s="2814">
        <f t="shared" ca="1" si="42"/>
        <v>0</v>
      </c>
      <c r="N93" s="2814">
        <f t="shared" ca="1" si="42"/>
        <v>0</v>
      </c>
      <c r="O93" s="2814">
        <f t="shared" ca="1" si="42"/>
        <v>0</v>
      </c>
      <c r="P93" s="2814">
        <f t="shared" ca="1" si="42"/>
        <v>0</v>
      </c>
      <c r="Q93" s="2814">
        <f t="shared" ca="1" si="42"/>
        <v>0</v>
      </c>
      <c r="R93" s="2814">
        <f t="shared" ca="1" si="42"/>
        <v>0</v>
      </c>
      <c r="S93" s="2814">
        <f t="shared" ca="1" si="42"/>
        <v>0</v>
      </c>
      <c r="T93" s="2814">
        <f t="shared" ca="1" si="42"/>
        <v>0</v>
      </c>
      <c r="U93" s="2812">
        <f>SUM(U88:U92)</f>
        <v>0</v>
      </c>
      <c r="V93" s="2812">
        <f>SUM(V88:V92)</f>
        <v>0</v>
      </c>
    </row>
    <row r="94" spans="1:22" x14ac:dyDescent="0.15">
      <c r="A94" s="2803" t="s">
        <v>1111</v>
      </c>
      <c r="B94" s="2804">
        <f>('Info Entrada'!C228+'Info Entrada'!C229+'Info Entrada'!C235)/$A$8</f>
        <v>0</v>
      </c>
      <c r="C94" s="2804">
        <f>('Info Entrada'!D228+'Info Entrada'!D229+'Info Entrada'!D235)/$A$8</f>
        <v>0</v>
      </c>
      <c r="D94" s="2805">
        <f>('Info Entrada'!E228+'Info Entrada'!E229+'Info Entrada'!E235)/$A$8</f>
        <v>0</v>
      </c>
      <c r="E94" s="2804">
        <f ca="1">('Info Entrada'!H228+'Info Entrada'!H229+'Info Entrada'!H235)/$A$8</f>
        <v>0</v>
      </c>
      <c r="F94" s="2806">
        <f ca="1">('Info Entrada'!I228+'Info Entrada'!I229+'Info Entrada'!I235)/$A$8</f>
        <v>0</v>
      </c>
      <c r="G94" s="2806">
        <f ca="1">('Info Entrada'!J228+'Info Entrada'!J229+'Info Entrada'!J235)/$A$8</f>
        <v>0</v>
      </c>
      <c r="H94" s="2806">
        <f ca="1">('Info Entrada'!K228+'Info Entrada'!K229+'Info Entrada'!K235)/$A$8</f>
        <v>0</v>
      </c>
      <c r="I94" s="2806">
        <f ca="1">('Info Entrada'!L228+'Info Entrada'!L229+'Info Entrada'!L235)/$A$8</f>
        <v>0</v>
      </c>
      <c r="J94" s="2806">
        <f ca="1">('Info Entrada'!M228+'Info Entrada'!M229+'Info Entrada'!M235)/$A$8</f>
        <v>0</v>
      </c>
      <c r="K94" s="2806">
        <f ca="1">('Info Entrada'!N228+'Info Entrada'!N229+'Info Entrada'!N235)/$A$8</f>
        <v>0</v>
      </c>
      <c r="L94" s="2806">
        <f ca="1">('Info Entrada'!O228+'Info Entrada'!O229+'Info Entrada'!O235)/$A$8</f>
        <v>0</v>
      </c>
      <c r="M94" s="2806">
        <f ca="1">('Info Entrada'!P228+'Info Entrada'!P229+'Info Entrada'!P235)/$A$8</f>
        <v>0</v>
      </c>
      <c r="N94" s="2806">
        <f ca="1">('Info Entrada'!Q228+'Info Entrada'!Q229+'Info Entrada'!Q235)/$A$8</f>
        <v>0</v>
      </c>
      <c r="O94" s="2806">
        <f ca="1">('Info Entrada'!R228+'Info Entrada'!R229+'Info Entrada'!R235)/$A$8</f>
        <v>0</v>
      </c>
      <c r="P94" s="2806">
        <f ca="1">('Info Entrada'!S228+'Info Entrada'!S229+'Info Entrada'!S235)/$A$8</f>
        <v>0</v>
      </c>
      <c r="Q94" s="2806">
        <f ca="1">('Info Entrada'!T228+'Info Entrada'!T229+'Info Entrada'!T235)/$A$8</f>
        <v>0</v>
      </c>
      <c r="R94" s="2806">
        <f ca="1">('Info Entrada'!U228+'Info Entrada'!U229+'Info Entrada'!U235)/$A$8</f>
        <v>0</v>
      </c>
      <c r="S94" s="2806">
        <f ca="1">('Info Entrada'!V228+'Info Entrada'!V229+'Info Entrada'!V235)/$A$8</f>
        <v>0</v>
      </c>
      <c r="T94" s="2806">
        <f ca="1">('Info Entrada'!W228+'Info Entrada'!W229+'Info Entrada'!W235)/$A$8</f>
        <v>0</v>
      </c>
      <c r="U94" s="2804">
        <f>('Info Entrada'!F228+'Info Entrada'!F229+'Info Entrada'!F235)/$A$8</f>
        <v>0</v>
      </c>
      <c r="V94" s="2804">
        <f>('Info Entrada'!G228+'Info Entrada'!G229+'Info Entrada'!G235)/$A$8</f>
        <v>0</v>
      </c>
    </row>
    <row r="95" spans="1:22" x14ac:dyDescent="0.15">
      <c r="A95" s="2795" t="s">
        <v>1190</v>
      </c>
      <c r="B95" s="2796">
        <f>'Info Entrada'!C231/$A$8</f>
        <v>0</v>
      </c>
      <c r="C95" s="2796">
        <f>'Info Entrada'!D231/$A$8</f>
        <v>0</v>
      </c>
      <c r="D95" s="2797">
        <f>'Info Entrada'!E231/$A$8</f>
        <v>0</v>
      </c>
      <c r="E95" s="2796">
        <f>'Info Entrada'!H231/$A$8</f>
        <v>0</v>
      </c>
      <c r="F95" s="2798">
        <f>'Info Entrada'!I231/$A$8</f>
        <v>0</v>
      </c>
      <c r="G95" s="2798">
        <f>'Info Entrada'!J231/$A$8</f>
        <v>0</v>
      </c>
      <c r="H95" s="2798">
        <f>'Info Entrada'!K231/$A$8</f>
        <v>0</v>
      </c>
      <c r="I95" s="2798">
        <f>'Info Entrada'!L231/$A$8</f>
        <v>0</v>
      </c>
      <c r="J95" s="2798">
        <f>'Info Entrada'!M231/$A$8</f>
        <v>0</v>
      </c>
      <c r="K95" s="2798">
        <f>'Info Entrada'!N231/$A$8</f>
        <v>0</v>
      </c>
      <c r="L95" s="2798">
        <f>'Info Entrada'!O231/$A$8</f>
        <v>0</v>
      </c>
      <c r="M95" s="2798">
        <f>'Info Entrada'!P231/$A$8</f>
        <v>0</v>
      </c>
      <c r="N95" s="2798">
        <f>'Info Entrada'!Q231/$A$8</f>
        <v>0</v>
      </c>
      <c r="O95" s="2798">
        <f>'Info Entrada'!R231/$A$8</f>
        <v>0</v>
      </c>
      <c r="P95" s="2798">
        <f>'Info Entrada'!S231/$A$8</f>
        <v>0</v>
      </c>
      <c r="Q95" s="2798">
        <f>'Info Entrada'!T231/$A$8</f>
        <v>0</v>
      </c>
      <c r="R95" s="2798">
        <f>'Info Entrada'!U231/$A$8</f>
        <v>0</v>
      </c>
      <c r="S95" s="2798">
        <f>'Info Entrada'!V231/$A$8</f>
        <v>0</v>
      </c>
      <c r="T95" s="2798">
        <f>'Info Entrada'!W231/$A$8</f>
        <v>0</v>
      </c>
      <c r="U95" s="2796">
        <f>'Info Entrada'!F231/$A$8</f>
        <v>0</v>
      </c>
      <c r="V95" s="2796">
        <f>'Info Entrada'!G231/$A$8</f>
        <v>0</v>
      </c>
    </row>
    <row r="96" spans="1:22" x14ac:dyDescent="0.15">
      <c r="A96" s="2795" t="s">
        <v>481</v>
      </c>
      <c r="B96" s="2796">
        <f>('Info Entrada'!C230+'Info Entrada'!C232+'Info Entrada'!C234)/$A$8</f>
        <v>0</v>
      </c>
      <c r="C96" s="2796">
        <f>('Info Entrada'!D230+'Info Entrada'!D232+'Info Entrada'!D234)/$A$8</f>
        <v>0</v>
      </c>
      <c r="D96" s="2797">
        <f>('Info Entrada'!E230+'Info Entrada'!E232+'Info Entrada'!E234)/$A$8</f>
        <v>0</v>
      </c>
      <c r="E96" s="2796">
        <f>('Info Entrada'!H230+'Info Entrada'!H232+'Info Entrada'!H234)/$A$8</f>
        <v>0</v>
      </c>
      <c r="F96" s="2798">
        <f>('Info Entrada'!I230+'Info Entrada'!I232+'Info Entrada'!I234)/$A$8</f>
        <v>0</v>
      </c>
      <c r="G96" s="2798">
        <f>('Info Entrada'!J230+'Info Entrada'!J232+'Info Entrada'!J234)/$A$8</f>
        <v>0</v>
      </c>
      <c r="H96" s="2798">
        <f>('Info Entrada'!K230+'Info Entrada'!K232+'Info Entrada'!K234)/$A$8</f>
        <v>0</v>
      </c>
      <c r="I96" s="2798">
        <f>('Info Entrada'!L230+'Info Entrada'!L232+'Info Entrada'!L234)/$A$8</f>
        <v>0</v>
      </c>
      <c r="J96" s="2798">
        <f>('Info Entrada'!M230+'Info Entrada'!M232+'Info Entrada'!M234)/$A$8</f>
        <v>0</v>
      </c>
      <c r="K96" s="2798">
        <f>('Info Entrada'!N230+'Info Entrada'!N232+'Info Entrada'!N234)/$A$8</f>
        <v>0</v>
      </c>
      <c r="L96" s="2798">
        <f>('Info Entrada'!O230+'Info Entrada'!O232+'Info Entrada'!O234)/$A$8</f>
        <v>0</v>
      </c>
      <c r="M96" s="2798">
        <f>('Info Entrada'!P230+'Info Entrada'!P232+'Info Entrada'!P234)/$A$8</f>
        <v>0</v>
      </c>
      <c r="N96" s="2798">
        <f>('Info Entrada'!Q230+'Info Entrada'!Q232+'Info Entrada'!Q234)/$A$8</f>
        <v>0</v>
      </c>
      <c r="O96" s="2798">
        <f>('Info Entrada'!R230+'Info Entrada'!R232+'Info Entrada'!R234)/$A$8</f>
        <v>0</v>
      </c>
      <c r="P96" s="2798">
        <f>('Info Entrada'!S230+'Info Entrada'!S232+'Info Entrada'!S234)/$A$8</f>
        <v>0</v>
      </c>
      <c r="Q96" s="2798">
        <f>('Info Entrada'!T230+'Info Entrada'!T232+'Info Entrada'!T234)/$A$8</f>
        <v>0</v>
      </c>
      <c r="R96" s="2798">
        <f>('Info Entrada'!U230+'Info Entrada'!U232+'Info Entrada'!U234)/$A$8</f>
        <v>0</v>
      </c>
      <c r="S96" s="2798">
        <f>('Info Entrada'!V230+'Info Entrada'!V232+'Info Entrada'!V234)/$A$8</f>
        <v>0</v>
      </c>
      <c r="T96" s="2798">
        <f>('Info Entrada'!W230+'Info Entrada'!W232+'Info Entrada'!W234)/$A$8</f>
        <v>0</v>
      </c>
      <c r="U96" s="2796">
        <f>('Info Entrada'!F230+'Info Entrada'!F232+'Info Entrada'!F234)/$A$8</f>
        <v>0</v>
      </c>
      <c r="V96" s="2796">
        <f>('Info Entrada'!G230+'Info Entrada'!G232+'Info Entrada'!G234)/$A$8</f>
        <v>0</v>
      </c>
    </row>
    <row r="97" spans="1:22" ht="9.75" thickBot="1" x14ac:dyDescent="0.2">
      <c r="A97" s="2807" t="s">
        <v>1112</v>
      </c>
      <c r="B97" s="2808">
        <f>'Info Entrada'!C233/$A$8</f>
        <v>0</v>
      </c>
      <c r="C97" s="2808">
        <f>'Info Entrada'!D233/$A$8</f>
        <v>0</v>
      </c>
      <c r="D97" s="2809">
        <f>'Info Entrada'!E233/$A$8</f>
        <v>0</v>
      </c>
      <c r="E97" s="2808">
        <f>'Info Entrada'!H233/$A$8</f>
        <v>0</v>
      </c>
      <c r="F97" s="2810">
        <f>'Info Entrada'!I233/$A$8</f>
        <v>0</v>
      </c>
      <c r="G97" s="2810">
        <f>'Info Entrada'!J233/$A$8</f>
        <v>0</v>
      </c>
      <c r="H97" s="2810">
        <f>'Info Entrada'!K233/$A$8</f>
        <v>0</v>
      </c>
      <c r="I97" s="2810">
        <f>'Info Entrada'!L233/$A$8</f>
        <v>0</v>
      </c>
      <c r="J97" s="2810">
        <f>'Info Entrada'!M233/$A$8</f>
        <v>0</v>
      </c>
      <c r="K97" s="2810">
        <f>'Info Entrada'!N233/$A$8</f>
        <v>0</v>
      </c>
      <c r="L97" s="2810">
        <f>'Info Entrada'!O233/$A$8</f>
        <v>0</v>
      </c>
      <c r="M97" s="2810">
        <f>'Info Entrada'!P233/$A$8</f>
        <v>0</v>
      </c>
      <c r="N97" s="2810">
        <f>'Info Entrada'!Q233/$A$8</f>
        <v>0</v>
      </c>
      <c r="O97" s="2810">
        <f>'Info Entrada'!R233/$A$8</f>
        <v>0</v>
      </c>
      <c r="P97" s="2810">
        <f>'Info Entrada'!S233/$A$8</f>
        <v>0</v>
      </c>
      <c r="Q97" s="2810">
        <f>'Info Entrada'!T233/$A$8</f>
        <v>0</v>
      </c>
      <c r="R97" s="2810">
        <f>'Info Entrada'!U233/$A$8</f>
        <v>0</v>
      </c>
      <c r="S97" s="2810">
        <f>'Info Entrada'!V233/$A$8</f>
        <v>0</v>
      </c>
      <c r="T97" s="2810">
        <f>'Info Entrada'!W233/$A$8</f>
        <v>0</v>
      </c>
      <c r="U97" s="2808">
        <f>'Info Entrada'!F233/$A$8</f>
        <v>0</v>
      </c>
      <c r="V97" s="2808">
        <f>'Info Entrada'!G233/$A$8</f>
        <v>0</v>
      </c>
    </row>
    <row r="98" spans="1:22" ht="9.75" thickBot="1" x14ac:dyDescent="0.2">
      <c r="A98" s="2799" t="s">
        <v>1191</v>
      </c>
      <c r="B98" s="2835">
        <f>SUM(B94:B97)</f>
        <v>0</v>
      </c>
      <c r="C98" s="2835">
        <f>SUM(C94:C97)</f>
        <v>0</v>
      </c>
      <c r="D98" s="2836">
        <f>SUM(D94:D97)</f>
        <v>0</v>
      </c>
      <c r="E98" s="2835">
        <f t="shared" ref="E98:T98" ca="1" si="43">SUM(E94:E97)</f>
        <v>0</v>
      </c>
      <c r="F98" s="2838">
        <f t="shared" ca="1" si="43"/>
        <v>0</v>
      </c>
      <c r="G98" s="2838">
        <f t="shared" ca="1" si="43"/>
        <v>0</v>
      </c>
      <c r="H98" s="2838">
        <f t="shared" ca="1" si="43"/>
        <v>0</v>
      </c>
      <c r="I98" s="2838">
        <f t="shared" ca="1" si="43"/>
        <v>0</v>
      </c>
      <c r="J98" s="2838">
        <f t="shared" ca="1" si="43"/>
        <v>0</v>
      </c>
      <c r="K98" s="2838">
        <f t="shared" ca="1" si="43"/>
        <v>0</v>
      </c>
      <c r="L98" s="2838">
        <f t="shared" ca="1" si="43"/>
        <v>0</v>
      </c>
      <c r="M98" s="2838">
        <f t="shared" ca="1" si="43"/>
        <v>0</v>
      </c>
      <c r="N98" s="2838">
        <f t="shared" ca="1" si="43"/>
        <v>0</v>
      </c>
      <c r="O98" s="2838">
        <f t="shared" ca="1" si="43"/>
        <v>0</v>
      </c>
      <c r="P98" s="2838">
        <f t="shared" ca="1" si="43"/>
        <v>0</v>
      </c>
      <c r="Q98" s="2838">
        <f t="shared" ca="1" si="43"/>
        <v>0</v>
      </c>
      <c r="R98" s="2838">
        <f t="shared" ca="1" si="43"/>
        <v>0</v>
      </c>
      <c r="S98" s="2838">
        <f t="shared" ca="1" si="43"/>
        <v>0</v>
      </c>
      <c r="T98" s="2838">
        <f t="shared" ca="1" si="43"/>
        <v>0</v>
      </c>
      <c r="U98" s="2835">
        <f>SUM(U94:U97)</f>
        <v>0</v>
      </c>
      <c r="V98" s="2835">
        <f>SUM(V94:V97)</f>
        <v>0</v>
      </c>
    </row>
    <row r="99" spans="1:22" x14ac:dyDescent="0.15">
      <c r="A99" s="2803" t="s">
        <v>1113</v>
      </c>
      <c r="B99" s="2804">
        <f>SUM('Info Entrada'!C241:C244)/$A$8</f>
        <v>0</v>
      </c>
      <c r="C99" s="2804">
        <f>SUM('Info Entrada'!D241:D244)/$A$8</f>
        <v>0</v>
      </c>
      <c r="D99" s="2805">
        <f>SUM('Info Entrada'!E241:E244)/$A$8</f>
        <v>0</v>
      </c>
      <c r="E99" s="2804">
        <f ca="1">SUM('Info Entrada'!H241:H244)/$A$8</f>
        <v>0</v>
      </c>
      <c r="F99" s="2806">
        <f ca="1">SUM('Info Entrada'!I241:I244)/$A$8</f>
        <v>0</v>
      </c>
      <c r="G99" s="2806">
        <f ca="1">SUM('Info Entrada'!J241:J244)/$A$8</f>
        <v>0</v>
      </c>
      <c r="H99" s="2806">
        <f ca="1">SUM('Info Entrada'!K241:K244)/$A$8</f>
        <v>0</v>
      </c>
      <c r="I99" s="2806">
        <f ca="1">SUM('Info Entrada'!L241:L244)/$A$8</f>
        <v>0</v>
      </c>
      <c r="J99" s="2806">
        <f ca="1">SUM('Info Entrada'!M241:M244)/$A$8</f>
        <v>0</v>
      </c>
      <c r="K99" s="2806">
        <f ca="1">SUM('Info Entrada'!N241:N244)/$A$8</f>
        <v>0</v>
      </c>
      <c r="L99" s="2806">
        <f ca="1">SUM('Info Entrada'!O241:O244)/$A$8</f>
        <v>0</v>
      </c>
      <c r="M99" s="2806">
        <f ca="1">SUM('Info Entrada'!P241:P244)/$A$8</f>
        <v>0</v>
      </c>
      <c r="N99" s="2806">
        <f ca="1">SUM('Info Entrada'!Q241:Q244)/$A$8</f>
        <v>0</v>
      </c>
      <c r="O99" s="2806">
        <f ca="1">SUM('Info Entrada'!R241:R244)/$A$8</f>
        <v>0</v>
      </c>
      <c r="P99" s="2806">
        <f ca="1">SUM('Info Entrada'!S241:S244)/$A$8</f>
        <v>0</v>
      </c>
      <c r="Q99" s="2806">
        <f ca="1">SUM('Info Entrada'!T241:T244)/$A$8</f>
        <v>0</v>
      </c>
      <c r="R99" s="2806">
        <f ca="1">SUM('Info Entrada'!U241:U244)/$A$8</f>
        <v>0</v>
      </c>
      <c r="S99" s="2806">
        <f ca="1">SUM('Info Entrada'!V241:V244)/$A$8</f>
        <v>0</v>
      </c>
      <c r="T99" s="2806">
        <f ca="1">SUM('Info Entrada'!W241:W244)/$A$8</f>
        <v>0</v>
      </c>
      <c r="U99" s="2804">
        <f>SUM('Info Entrada'!F241:F244)/$A$8</f>
        <v>0</v>
      </c>
      <c r="V99" s="2804">
        <f>SUM('Info Entrada'!G241:G244)/$A$8</f>
        <v>0</v>
      </c>
    </row>
    <row r="100" spans="1:22" x14ac:dyDescent="0.15">
      <c r="A100" s="2795" t="s">
        <v>1114</v>
      </c>
      <c r="B100" s="2796">
        <f>SUM('Info Entrada'!C245:C250)/$A$8</f>
        <v>0</v>
      </c>
      <c r="C100" s="2796">
        <f>SUM('Info Entrada'!D245:D250)/$A$8</f>
        <v>0</v>
      </c>
      <c r="D100" s="2797">
        <f>SUM('Info Entrada'!E245:E250)/$A$8</f>
        <v>0</v>
      </c>
      <c r="E100" s="2796">
        <f ca="1">SUM('Info Entrada'!H245:H250)/$A$8</f>
        <v>0</v>
      </c>
      <c r="F100" s="2798">
        <f ca="1">SUM('Info Entrada'!I245:I250)/$A$8</f>
        <v>0</v>
      </c>
      <c r="G100" s="2798">
        <f ca="1">SUM('Info Entrada'!J245:J250)/$A$8</f>
        <v>0</v>
      </c>
      <c r="H100" s="2798">
        <f ca="1">SUM('Info Entrada'!K245:K250)/$A$8</f>
        <v>0</v>
      </c>
      <c r="I100" s="2798">
        <f ca="1">SUM('Info Entrada'!L245:L250)/$A$8</f>
        <v>0</v>
      </c>
      <c r="J100" s="2798">
        <f ca="1">SUM('Info Entrada'!M245:M250)/$A$8</f>
        <v>0</v>
      </c>
      <c r="K100" s="2798">
        <f ca="1">SUM('Info Entrada'!N245:N250)/$A$8</f>
        <v>0</v>
      </c>
      <c r="L100" s="2798">
        <f ca="1">SUM('Info Entrada'!O245:O250)/$A$8</f>
        <v>0</v>
      </c>
      <c r="M100" s="2798">
        <f ca="1">SUM('Info Entrada'!P245:P250)/$A$8</f>
        <v>0</v>
      </c>
      <c r="N100" s="2798">
        <f ca="1">SUM('Info Entrada'!Q245:Q250)/$A$8</f>
        <v>0</v>
      </c>
      <c r="O100" s="2798">
        <f ca="1">SUM('Info Entrada'!R245:R250)/$A$8</f>
        <v>0</v>
      </c>
      <c r="P100" s="2798">
        <f ca="1">SUM('Info Entrada'!S245:S250)/$A$8</f>
        <v>0</v>
      </c>
      <c r="Q100" s="2798">
        <f ca="1">SUM('Info Entrada'!T245:T250)/$A$8</f>
        <v>0</v>
      </c>
      <c r="R100" s="2798">
        <f ca="1">SUM('Info Entrada'!U245:U250)/$A$8</f>
        <v>0</v>
      </c>
      <c r="S100" s="2798">
        <f ca="1">SUM('Info Entrada'!V245:V250)/$A$8</f>
        <v>0</v>
      </c>
      <c r="T100" s="2798">
        <f ca="1">SUM('Info Entrada'!W245:W250)/$A$8</f>
        <v>0</v>
      </c>
      <c r="U100" s="2796">
        <f>SUM('Info Entrada'!F245:F250)/$A$8</f>
        <v>0</v>
      </c>
      <c r="V100" s="2796">
        <f>SUM('Info Entrada'!G245:G250)/$A$8</f>
        <v>0</v>
      </c>
    </row>
    <row r="101" spans="1:22" ht="9.75" thickBot="1" x14ac:dyDescent="0.2">
      <c r="A101" s="2781" t="s">
        <v>1115</v>
      </c>
      <c r="B101" s="2832">
        <v>0</v>
      </c>
      <c r="C101" s="2832">
        <v>0</v>
      </c>
      <c r="D101" s="2833">
        <v>0</v>
      </c>
      <c r="E101" s="2832">
        <v>0</v>
      </c>
      <c r="F101" s="2834">
        <v>0</v>
      </c>
      <c r="G101" s="2834">
        <v>0</v>
      </c>
      <c r="H101" s="2834">
        <v>0</v>
      </c>
      <c r="I101" s="2834">
        <v>0</v>
      </c>
      <c r="J101" s="2834">
        <v>0</v>
      </c>
      <c r="K101" s="2834">
        <v>0</v>
      </c>
      <c r="L101" s="2834">
        <v>0</v>
      </c>
      <c r="M101" s="2834">
        <v>0</v>
      </c>
      <c r="N101" s="2834">
        <v>0</v>
      </c>
      <c r="O101" s="2834">
        <v>0</v>
      </c>
      <c r="P101" s="2834">
        <v>0</v>
      </c>
      <c r="Q101" s="2834">
        <v>0</v>
      </c>
      <c r="R101" s="2834">
        <v>0</v>
      </c>
      <c r="S101" s="2834">
        <v>0</v>
      </c>
      <c r="T101" s="2834">
        <v>0</v>
      </c>
      <c r="U101" s="2832">
        <v>0</v>
      </c>
      <c r="V101" s="2832">
        <v>0</v>
      </c>
    </row>
    <row r="102" spans="1:22" ht="9.75" thickBot="1" x14ac:dyDescent="0.2">
      <c r="A102" s="2811" t="s">
        <v>464</v>
      </c>
      <c r="B102" s="2812">
        <f>SUM(B99:B101)</f>
        <v>0</v>
      </c>
      <c r="C102" s="2812">
        <f>SUM(C99:C101)</f>
        <v>0</v>
      </c>
      <c r="D102" s="2813">
        <f>SUM(D99:D101)</f>
        <v>0</v>
      </c>
      <c r="E102" s="2812">
        <f t="shared" ref="E102:T102" ca="1" si="44">SUM(E99:E101)</f>
        <v>0</v>
      </c>
      <c r="F102" s="2814">
        <f t="shared" ca="1" si="44"/>
        <v>0</v>
      </c>
      <c r="G102" s="2814">
        <f t="shared" ca="1" si="44"/>
        <v>0</v>
      </c>
      <c r="H102" s="2814">
        <f t="shared" ca="1" si="44"/>
        <v>0</v>
      </c>
      <c r="I102" s="2814">
        <f t="shared" ca="1" si="44"/>
        <v>0</v>
      </c>
      <c r="J102" s="2814">
        <f t="shared" ca="1" si="44"/>
        <v>0</v>
      </c>
      <c r="K102" s="2814">
        <f t="shared" ca="1" si="44"/>
        <v>0</v>
      </c>
      <c r="L102" s="2814">
        <f t="shared" ca="1" si="44"/>
        <v>0</v>
      </c>
      <c r="M102" s="2814">
        <f t="shared" ca="1" si="44"/>
        <v>0</v>
      </c>
      <c r="N102" s="2814">
        <f t="shared" ca="1" si="44"/>
        <v>0</v>
      </c>
      <c r="O102" s="2814">
        <f t="shared" ca="1" si="44"/>
        <v>0</v>
      </c>
      <c r="P102" s="2814">
        <f t="shared" ca="1" si="44"/>
        <v>0</v>
      </c>
      <c r="Q102" s="2814">
        <f t="shared" ca="1" si="44"/>
        <v>0</v>
      </c>
      <c r="R102" s="2814">
        <f t="shared" ca="1" si="44"/>
        <v>0</v>
      </c>
      <c r="S102" s="2814">
        <f t="shared" ca="1" si="44"/>
        <v>0</v>
      </c>
      <c r="T102" s="2814">
        <f t="shared" ca="1" si="44"/>
        <v>0</v>
      </c>
      <c r="U102" s="2812">
        <f>SUM(U99:U101)</f>
        <v>0</v>
      </c>
      <c r="V102" s="2812">
        <f>SUM(V99:V101)</f>
        <v>0</v>
      </c>
    </row>
    <row r="103" spans="1:22" ht="9.75" thickBot="1" x14ac:dyDescent="0.2">
      <c r="A103" s="2799" t="s">
        <v>1192</v>
      </c>
      <c r="B103" s="2835">
        <f>B93+B98</f>
        <v>0</v>
      </c>
      <c r="C103" s="2835">
        <f>C93+C98</f>
        <v>0</v>
      </c>
      <c r="D103" s="2836">
        <f>D93+D98</f>
        <v>0</v>
      </c>
      <c r="E103" s="2835">
        <f t="shared" ref="E103:T103" ca="1" si="45">E93+E98</f>
        <v>0</v>
      </c>
      <c r="F103" s="2838">
        <f t="shared" ca="1" si="45"/>
        <v>0</v>
      </c>
      <c r="G103" s="2838">
        <f t="shared" ca="1" si="45"/>
        <v>0</v>
      </c>
      <c r="H103" s="2838">
        <f t="shared" ca="1" si="45"/>
        <v>0</v>
      </c>
      <c r="I103" s="2838">
        <f t="shared" ca="1" si="45"/>
        <v>0</v>
      </c>
      <c r="J103" s="2838">
        <f t="shared" ca="1" si="45"/>
        <v>0</v>
      </c>
      <c r="K103" s="2838">
        <f t="shared" ca="1" si="45"/>
        <v>0</v>
      </c>
      <c r="L103" s="2838">
        <f t="shared" ca="1" si="45"/>
        <v>0</v>
      </c>
      <c r="M103" s="2838">
        <f t="shared" ca="1" si="45"/>
        <v>0</v>
      </c>
      <c r="N103" s="2838">
        <f t="shared" ca="1" si="45"/>
        <v>0</v>
      </c>
      <c r="O103" s="2838">
        <f t="shared" ca="1" si="45"/>
        <v>0</v>
      </c>
      <c r="P103" s="2838">
        <f t="shared" ca="1" si="45"/>
        <v>0</v>
      </c>
      <c r="Q103" s="2838">
        <f t="shared" ca="1" si="45"/>
        <v>0</v>
      </c>
      <c r="R103" s="2838">
        <f t="shared" ca="1" si="45"/>
        <v>0</v>
      </c>
      <c r="S103" s="2838">
        <f t="shared" ca="1" si="45"/>
        <v>0</v>
      </c>
      <c r="T103" s="2838">
        <f t="shared" ca="1" si="45"/>
        <v>0</v>
      </c>
      <c r="U103" s="2835">
        <f>U93+U98</f>
        <v>0</v>
      </c>
      <c r="V103" s="2835">
        <f>V93+V98</f>
        <v>0</v>
      </c>
    </row>
    <row r="104" spans="1:22" ht="9.75" thickBot="1" x14ac:dyDescent="0.2">
      <c r="A104" s="2799" t="s">
        <v>1193</v>
      </c>
      <c r="B104" s="2835">
        <f>B102+B103</f>
        <v>0</v>
      </c>
      <c r="C104" s="2835">
        <f>C102+C103</f>
        <v>0</v>
      </c>
      <c r="D104" s="2836">
        <f>D102+D103</f>
        <v>0</v>
      </c>
      <c r="E104" s="2835">
        <f t="shared" ref="E104:T104" ca="1" si="46">E102+E103</f>
        <v>0</v>
      </c>
      <c r="F104" s="2838">
        <f t="shared" ca="1" si="46"/>
        <v>0</v>
      </c>
      <c r="G104" s="2838">
        <f t="shared" ca="1" si="46"/>
        <v>0</v>
      </c>
      <c r="H104" s="2838">
        <f t="shared" ca="1" si="46"/>
        <v>0</v>
      </c>
      <c r="I104" s="2838">
        <f t="shared" ca="1" si="46"/>
        <v>0</v>
      </c>
      <c r="J104" s="2838">
        <f t="shared" ca="1" si="46"/>
        <v>0</v>
      </c>
      <c r="K104" s="2838">
        <f t="shared" ca="1" si="46"/>
        <v>0</v>
      </c>
      <c r="L104" s="2838">
        <f t="shared" ca="1" si="46"/>
        <v>0</v>
      </c>
      <c r="M104" s="2838">
        <f t="shared" ca="1" si="46"/>
        <v>0</v>
      </c>
      <c r="N104" s="2838">
        <f t="shared" ca="1" si="46"/>
        <v>0</v>
      </c>
      <c r="O104" s="2838">
        <f t="shared" ca="1" si="46"/>
        <v>0</v>
      </c>
      <c r="P104" s="2838">
        <f t="shared" ca="1" si="46"/>
        <v>0</v>
      </c>
      <c r="Q104" s="2838">
        <f t="shared" ca="1" si="46"/>
        <v>0</v>
      </c>
      <c r="R104" s="2838">
        <f t="shared" ca="1" si="46"/>
        <v>0</v>
      </c>
      <c r="S104" s="2838">
        <f t="shared" ca="1" si="46"/>
        <v>0</v>
      </c>
      <c r="T104" s="2838">
        <f t="shared" ca="1" si="46"/>
        <v>0</v>
      </c>
      <c r="U104" s="2835">
        <f>U102+U103</f>
        <v>0</v>
      </c>
      <c r="V104" s="2835">
        <f>V102+V103</f>
        <v>0</v>
      </c>
    </row>
    <row r="105" spans="1:22" ht="9.75" thickBot="1" x14ac:dyDescent="0.2">
      <c r="A105" s="2849" t="s">
        <v>1117</v>
      </c>
      <c r="B105" s="2850">
        <f>'Info Entrada'!C254/$A$8</f>
        <v>0</v>
      </c>
      <c r="C105" s="2850">
        <f>'Info Entrada'!D254/$A$8</f>
        <v>0</v>
      </c>
      <c r="D105" s="2851">
        <f>'Info Entrada'!E254/$A$8</f>
        <v>0</v>
      </c>
      <c r="E105" s="2852">
        <f>'Info Entrada'!H254/$A$8</f>
        <v>0</v>
      </c>
      <c r="F105" s="2852">
        <f>'Info Entrada'!I254/$A$8</f>
        <v>0</v>
      </c>
      <c r="G105" s="2852">
        <f>'Info Entrada'!J254/$A$8</f>
        <v>0</v>
      </c>
      <c r="H105" s="2852">
        <f>'Info Entrada'!K254/$A$8</f>
        <v>0</v>
      </c>
      <c r="I105" s="2852">
        <f>'Info Entrada'!L254/$A$8</f>
        <v>0</v>
      </c>
      <c r="J105" s="2852">
        <f>'Info Entrada'!M254/$A$8</f>
        <v>0</v>
      </c>
      <c r="K105" s="2852">
        <f>'Info Entrada'!N254/$A$8</f>
        <v>0</v>
      </c>
      <c r="L105" s="2852">
        <f>'Info Entrada'!O254/$A$8</f>
        <v>0</v>
      </c>
      <c r="M105" s="2852">
        <f>'Info Entrada'!P254/$A$8</f>
        <v>0</v>
      </c>
      <c r="N105" s="2852">
        <f>'Info Entrada'!Q254/$A$8</f>
        <v>0</v>
      </c>
      <c r="O105" s="2852">
        <f>'Info Entrada'!R254/$A$8</f>
        <v>0</v>
      </c>
      <c r="P105" s="2852">
        <f>'Info Entrada'!S254/$A$8</f>
        <v>0</v>
      </c>
      <c r="Q105" s="2852">
        <f>'Info Entrada'!T254/$A$8</f>
        <v>0</v>
      </c>
      <c r="R105" s="2852">
        <f>'Info Entrada'!U254/$A$8</f>
        <v>0</v>
      </c>
      <c r="S105" s="2852">
        <f>'Info Entrada'!V254/$A$8</f>
        <v>0</v>
      </c>
      <c r="T105" s="2852">
        <f>'Info Entrada'!W254/$A$8</f>
        <v>0</v>
      </c>
      <c r="U105" s="2850">
        <f>'Info Entrada'!F254/$A$8</f>
        <v>0</v>
      </c>
      <c r="V105" s="2850">
        <f>'Info Entrada'!G254/$A$8</f>
        <v>0</v>
      </c>
    </row>
    <row r="106" spans="1:22" ht="9.75" thickBot="1" x14ac:dyDescent="0.2">
      <c r="A106" s="2853" t="s">
        <v>1849</v>
      </c>
      <c r="B106" s="2787">
        <f t="shared" ref="B106:V106" si="47">B74</f>
        <v>42735</v>
      </c>
      <c r="C106" s="2787">
        <f t="shared" si="47"/>
        <v>43100</v>
      </c>
      <c r="D106" s="2788">
        <f t="shared" si="47"/>
        <v>43465</v>
      </c>
      <c r="E106" s="2789">
        <f t="shared" si="47"/>
        <v>43830</v>
      </c>
      <c r="F106" s="2789">
        <f t="shared" si="47"/>
        <v>44196</v>
      </c>
      <c r="G106" s="2789">
        <f t="shared" si="47"/>
        <v>44561</v>
      </c>
      <c r="H106" s="2789">
        <f t="shared" si="47"/>
        <v>44926</v>
      </c>
      <c r="I106" s="2789">
        <f t="shared" si="47"/>
        <v>45291</v>
      </c>
      <c r="J106" s="2789">
        <f t="shared" si="47"/>
        <v>45657</v>
      </c>
      <c r="K106" s="2789">
        <f t="shared" si="47"/>
        <v>46022</v>
      </c>
      <c r="L106" s="2789">
        <f t="shared" si="47"/>
        <v>46387</v>
      </c>
      <c r="M106" s="2789">
        <f t="shared" si="47"/>
        <v>46752</v>
      </c>
      <c r="N106" s="2789">
        <f t="shared" si="47"/>
        <v>47118</v>
      </c>
      <c r="O106" s="2789">
        <f t="shared" si="47"/>
        <v>47483</v>
      </c>
      <c r="P106" s="2789">
        <f t="shared" si="47"/>
        <v>47848</v>
      </c>
      <c r="Q106" s="2789">
        <f t="shared" si="47"/>
        <v>48213</v>
      </c>
      <c r="R106" s="2789">
        <f t="shared" si="47"/>
        <v>48579</v>
      </c>
      <c r="S106" s="2789">
        <f t="shared" si="47"/>
        <v>48944</v>
      </c>
      <c r="T106" s="2789">
        <f t="shared" si="47"/>
        <v>49309</v>
      </c>
      <c r="U106" s="2788">
        <f t="shared" si="47"/>
        <v>43281</v>
      </c>
      <c r="V106" s="2790">
        <f t="shared" si="47"/>
        <v>43646</v>
      </c>
    </row>
    <row r="107" spans="1:22" x14ac:dyDescent="0.15">
      <c r="A107" s="2803" t="s">
        <v>1134</v>
      </c>
      <c r="B107" s="2854">
        <f t="shared" ref="B107:V107" si="48">B88+B94</f>
        <v>0</v>
      </c>
      <c r="C107" s="2854">
        <f t="shared" si="48"/>
        <v>0</v>
      </c>
      <c r="D107" s="2855">
        <f t="shared" si="48"/>
        <v>0</v>
      </c>
      <c r="E107" s="2854">
        <f t="shared" ca="1" si="48"/>
        <v>0</v>
      </c>
      <c r="F107" s="2854">
        <f t="shared" ca="1" si="48"/>
        <v>0</v>
      </c>
      <c r="G107" s="2854">
        <f t="shared" ca="1" si="48"/>
        <v>0</v>
      </c>
      <c r="H107" s="2854">
        <f t="shared" ca="1" si="48"/>
        <v>0</v>
      </c>
      <c r="I107" s="2854">
        <f t="shared" ca="1" si="48"/>
        <v>0</v>
      </c>
      <c r="J107" s="2854">
        <f t="shared" ca="1" si="48"/>
        <v>0</v>
      </c>
      <c r="K107" s="2854">
        <f t="shared" ca="1" si="48"/>
        <v>0</v>
      </c>
      <c r="L107" s="2854">
        <f t="shared" ca="1" si="48"/>
        <v>0</v>
      </c>
      <c r="M107" s="2854">
        <f t="shared" ca="1" si="48"/>
        <v>0</v>
      </c>
      <c r="N107" s="2854">
        <f t="shared" ca="1" si="48"/>
        <v>0</v>
      </c>
      <c r="O107" s="2854">
        <f t="shared" ca="1" si="48"/>
        <v>0</v>
      </c>
      <c r="P107" s="2854">
        <f t="shared" ca="1" si="48"/>
        <v>0</v>
      </c>
      <c r="Q107" s="2854">
        <f t="shared" ca="1" si="48"/>
        <v>0</v>
      </c>
      <c r="R107" s="2854">
        <f t="shared" ca="1" si="48"/>
        <v>0</v>
      </c>
      <c r="S107" s="2854">
        <f t="shared" ca="1" si="48"/>
        <v>0</v>
      </c>
      <c r="T107" s="2854">
        <f t="shared" ca="1" si="48"/>
        <v>0</v>
      </c>
      <c r="U107" s="2854">
        <f t="shared" si="48"/>
        <v>0</v>
      </c>
      <c r="V107" s="2854">
        <f t="shared" si="48"/>
        <v>0</v>
      </c>
    </row>
    <row r="108" spans="1:22" x14ac:dyDescent="0.15">
      <c r="A108" s="2795" t="s">
        <v>1135</v>
      </c>
      <c r="B108" s="2796">
        <f t="shared" ref="B108:V108" si="49">B107-B75</f>
        <v>0</v>
      </c>
      <c r="C108" s="2796">
        <f t="shared" si="49"/>
        <v>0</v>
      </c>
      <c r="D108" s="2797">
        <f t="shared" si="49"/>
        <v>0</v>
      </c>
      <c r="E108" s="2796">
        <f t="shared" ca="1" si="49"/>
        <v>0</v>
      </c>
      <c r="F108" s="2796">
        <f t="shared" ca="1" si="49"/>
        <v>0</v>
      </c>
      <c r="G108" s="2796">
        <f t="shared" ca="1" si="49"/>
        <v>0</v>
      </c>
      <c r="H108" s="2796">
        <f t="shared" ca="1" si="49"/>
        <v>0</v>
      </c>
      <c r="I108" s="2796">
        <f t="shared" ca="1" si="49"/>
        <v>0</v>
      </c>
      <c r="J108" s="2796">
        <f t="shared" ca="1" si="49"/>
        <v>0</v>
      </c>
      <c r="K108" s="2796">
        <f t="shared" ca="1" si="49"/>
        <v>0</v>
      </c>
      <c r="L108" s="2796">
        <f t="shared" ca="1" si="49"/>
        <v>0</v>
      </c>
      <c r="M108" s="2796">
        <f t="shared" ca="1" si="49"/>
        <v>0</v>
      </c>
      <c r="N108" s="2796">
        <f t="shared" ca="1" si="49"/>
        <v>0</v>
      </c>
      <c r="O108" s="2796">
        <f t="shared" ca="1" si="49"/>
        <v>0</v>
      </c>
      <c r="P108" s="2796">
        <f t="shared" ca="1" si="49"/>
        <v>0</v>
      </c>
      <c r="Q108" s="2796">
        <f t="shared" ca="1" si="49"/>
        <v>0</v>
      </c>
      <c r="R108" s="2796">
        <f t="shared" ca="1" si="49"/>
        <v>0</v>
      </c>
      <c r="S108" s="2796">
        <f t="shared" ca="1" si="49"/>
        <v>0</v>
      </c>
      <c r="T108" s="2796">
        <f t="shared" ca="1" si="49"/>
        <v>0</v>
      </c>
      <c r="U108" s="2796">
        <f t="shared" si="49"/>
        <v>0</v>
      </c>
      <c r="V108" s="2796">
        <f t="shared" si="49"/>
        <v>0</v>
      </c>
    </row>
    <row r="109" spans="1:22" x14ac:dyDescent="0.15">
      <c r="A109" s="2795" t="s">
        <v>1136</v>
      </c>
      <c r="B109" s="2856">
        <f>IF(B102&lt;&gt;0,ROUND(B102/B104,2),0)</f>
        <v>0</v>
      </c>
      <c r="C109" s="2856">
        <f t="shared" ref="C109:V109" si="50">IF(C102&lt;&gt;0,ROUND(C102/C104,2),0)</f>
        <v>0</v>
      </c>
      <c r="D109" s="2857">
        <f t="shared" si="50"/>
        <v>0</v>
      </c>
      <c r="E109" s="2856">
        <f t="shared" ca="1" si="50"/>
        <v>0</v>
      </c>
      <c r="F109" s="2856">
        <f t="shared" ca="1" si="50"/>
        <v>0</v>
      </c>
      <c r="G109" s="2856">
        <f t="shared" ca="1" si="50"/>
        <v>0</v>
      </c>
      <c r="H109" s="2856">
        <f t="shared" ca="1" si="50"/>
        <v>0</v>
      </c>
      <c r="I109" s="2856">
        <f t="shared" ca="1" si="50"/>
        <v>0</v>
      </c>
      <c r="J109" s="2856">
        <f t="shared" ca="1" si="50"/>
        <v>0</v>
      </c>
      <c r="K109" s="2856">
        <f t="shared" ca="1" si="50"/>
        <v>0</v>
      </c>
      <c r="L109" s="2856">
        <f t="shared" ca="1" si="50"/>
        <v>0</v>
      </c>
      <c r="M109" s="2856">
        <f t="shared" ca="1" si="50"/>
        <v>0</v>
      </c>
      <c r="N109" s="2856">
        <f t="shared" ca="1" si="50"/>
        <v>0</v>
      </c>
      <c r="O109" s="2856">
        <f t="shared" ca="1" si="50"/>
        <v>0</v>
      </c>
      <c r="P109" s="2856">
        <f t="shared" ca="1" si="50"/>
        <v>0</v>
      </c>
      <c r="Q109" s="2856">
        <f t="shared" ca="1" si="50"/>
        <v>0</v>
      </c>
      <c r="R109" s="2856">
        <f t="shared" ca="1" si="50"/>
        <v>0</v>
      </c>
      <c r="S109" s="2856">
        <f t="shared" ca="1" si="50"/>
        <v>0</v>
      </c>
      <c r="T109" s="2856">
        <f t="shared" ca="1" si="50"/>
        <v>0</v>
      </c>
      <c r="U109" s="2856">
        <f t="shared" si="50"/>
        <v>0</v>
      </c>
      <c r="V109" s="2856">
        <f t="shared" si="50"/>
        <v>0</v>
      </c>
    </row>
    <row r="110" spans="1:22" x14ac:dyDescent="0.15">
      <c r="A110" s="2795" t="s">
        <v>454</v>
      </c>
      <c r="B110" s="2858">
        <f>IF(B102&lt;&gt;0,ROUND(B103/B102,2),0)</f>
        <v>0</v>
      </c>
      <c r="C110" s="2858">
        <f t="shared" ref="C110:V110" si="51">IF(C102&lt;&gt;0,ROUND(C103/C102,2),0)</f>
        <v>0</v>
      </c>
      <c r="D110" s="2859">
        <f t="shared" si="51"/>
        <v>0</v>
      </c>
      <c r="E110" s="2858">
        <f t="shared" ca="1" si="51"/>
        <v>0</v>
      </c>
      <c r="F110" s="2858">
        <f t="shared" ca="1" si="51"/>
        <v>0</v>
      </c>
      <c r="G110" s="2858">
        <f t="shared" ca="1" si="51"/>
        <v>0</v>
      </c>
      <c r="H110" s="2858">
        <f t="shared" ca="1" si="51"/>
        <v>0</v>
      </c>
      <c r="I110" s="2858">
        <f t="shared" ca="1" si="51"/>
        <v>0</v>
      </c>
      <c r="J110" s="2858">
        <f t="shared" ca="1" si="51"/>
        <v>0</v>
      </c>
      <c r="K110" s="2858">
        <f t="shared" ca="1" si="51"/>
        <v>0</v>
      </c>
      <c r="L110" s="2858">
        <f t="shared" ca="1" si="51"/>
        <v>0</v>
      </c>
      <c r="M110" s="2858">
        <f t="shared" ca="1" si="51"/>
        <v>0</v>
      </c>
      <c r="N110" s="2858">
        <f t="shared" ca="1" si="51"/>
        <v>0</v>
      </c>
      <c r="O110" s="2858">
        <f t="shared" ca="1" si="51"/>
        <v>0</v>
      </c>
      <c r="P110" s="2858">
        <f t="shared" ca="1" si="51"/>
        <v>0</v>
      </c>
      <c r="Q110" s="2858">
        <f t="shared" ca="1" si="51"/>
        <v>0</v>
      </c>
      <c r="R110" s="2858">
        <f t="shared" ca="1" si="51"/>
        <v>0</v>
      </c>
      <c r="S110" s="2858">
        <f t="shared" ca="1" si="51"/>
        <v>0</v>
      </c>
      <c r="T110" s="2858">
        <f t="shared" ca="1" si="51"/>
        <v>0</v>
      </c>
      <c r="U110" s="2858">
        <f t="shared" si="51"/>
        <v>0</v>
      </c>
      <c r="V110" s="2858">
        <f t="shared" si="51"/>
        <v>0</v>
      </c>
    </row>
    <row r="111" spans="1:22" x14ac:dyDescent="0.15">
      <c r="A111" s="2795" t="s">
        <v>1137</v>
      </c>
      <c r="B111" s="2858">
        <f>IFERROR(IF(B102&lt;&gt;0,ROUND(B108/B102,2),0),0)</f>
        <v>0</v>
      </c>
      <c r="C111" s="2858">
        <f t="shared" ref="C111:V111" si="52">IFERROR(IF(C102&lt;&gt;0,ROUND(C108/C102,2),0),0)</f>
        <v>0</v>
      </c>
      <c r="D111" s="2859">
        <f t="shared" si="52"/>
        <v>0</v>
      </c>
      <c r="E111" s="2858">
        <f t="shared" ca="1" si="52"/>
        <v>0</v>
      </c>
      <c r="F111" s="2858">
        <f t="shared" ca="1" si="52"/>
        <v>0</v>
      </c>
      <c r="G111" s="2858">
        <f t="shared" ca="1" si="52"/>
        <v>0</v>
      </c>
      <c r="H111" s="2858">
        <f t="shared" ca="1" si="52"/>
        <v>0</v>
      </c>
      <c r="I111" s="2858">
        <f t="shared" ca="1" si="52"/>
        <v>0</v>
      </c>
      <c r="J111" s="2858">
        <f t="shared" ca="1" si="52"/>
        <v>0</v>
      </c>
      <c r="K111" s="2858">
        <f t="shared" ca="1" si="52"/>
        <v>0</v>
      </c>
      <c r="L111" s="2858">
        <f t="shared" ca="1" si="52"/>
        <v>0</v>
      </c>
      <c r="M111" s="2858">
        <f t="shared" ca="1" si="52"/>
        <v>0</v>
      </c>
      <c r="N111" s="2858">
        <f t="shared" ca="1" si="52"/>
        <v>0</v>
      </c>
      <c r="O111" s="2858">
        <f t="shared" ca="1" si="52"/>
        <v>0</v>
      </c>
      <c r="P111" s="2858">
        <f t="shared" ca="1" si="52"/>
        <v>0</v>
      </c>
      <c r="Q111" s="2858">
        <f t="shared" ca="1" si="52"/>
        <v>0</v>
      </c>
      <c r="R111" s="2858">
        <f t="shared" ca="1" si="52"/>
        <v>0</v>
      </c>
      <c r="S111" s="2858">
        <f t="shared" ca="1" si="52"/>
        <v>0</v>
      </c>
      <c r="T111" s="2858">
        <f t="shared" ca="1" si="52"/>
        <v>0</v>
      </c>
      <c r="U111" s="2858">
        <f t="shared" si="52"/>
        <v>0</v>
      </c>
      <c r="V111" s="2858">
        <f t="shared" si="52"/>
        <v>0</v>
      </c>
    </row>
    <row r="112" spans="1:22" x14ac:dyDescent="0.15">
      <c r="A112" s="2795" t="s">
        <v>1860</v>
      </c>
      <c r="B112" s="2860">
        <f>IF(B107&lt;&gt;0,ROUND(B107/(B19/B141*12),2),0)</f>
        <v>0</v>
      </c>
      <c r="C112" s="2860">
        <f t="shared" ref="C112:V112" si="53">IF(C107&lt;&gt;0,ROUND(C107/(C19/C141*12),2),0)</f>
        <v>0</v>
      </c>
      <c r="D112" s="2861">
        <f t="shared" si="53"/>
        <v>0</v>
      </c>
      <c r="E112" s="2860">
        <f t="shared" ca="1" si="53"/>
        <v>0</v>
      </c>
      <c r="F112" s="2860">
        <f t="shared" ca="1" si="53"/>
        <v>0</v>
      </c>
      <c r="G112" s="2860">
        <f t="shared" ca="1" si="53"/>
        <v>0</v>
      </c>
      <c r="H112" s="2860">
        <f t="shared" ca="1" si="53"/>
        <v>0</v>
      </c>
      <c r="I112" s="2860">
        <f t="shared" ca="1" si="53"/>
        <v>0</v>
      </c>
      <c r="J112" s="2860">
        <f t="shared" ca="1" si="53"/>
        <v>0</v>
      </c>
      <c r="K112" s="2860">
        <f t="shared" ca="1" si="53"/>
        <v>0</v>
      </c>
      <c r="L112" s="2860">
        <f t="shared" ca="1" si="53"/>
        <v>0</v>
      </c>
      <c r="M112" s="2860">
        <f t="shared" ca="1" si="53"/>
        <v>0</v>
      </c>
      <c r="N112" s="2860">
        <f t="shared" ca="1" si="53"/>
        <v>0</v>
      </c>
      <c r="O112" s="2860">
        <f t="shared" ca="1" si="53"/>
        <v>0</v>
      </c>
      <c r="P112" s="2860">
        <f t="shared" ca="1" si="53"/>
        <v>0</v>
      </c>
      <c r="Q112" s="2860">
        <f t="shared" ca="1" si="53"/>
        <v>0</v>
      </c>
      <c r="R112" s="2860">
        <f t="shared" ca="1" si="53"/>
        <v>0</v>
      </c>
      <c r="S112" s="2860">
        <f t="shared" ca="1" si="53"/>
        <v>0</v>
      </c>
      <c r="T112" s="2860">
        <f t="shared" ca="1" si="53"/>
        <v>0</v>
      </c>
      <c r="U112" s="2860">
        <f t="shared" si="53"/>
        <v>0</v>
      </c>
      <c r="V112" s="2860">
        <f t="shared" si="53"/>
        <v>0</v>
      </c>
    </row>
    <row r="113" spans="1:22" x14ac:dyDescent="0.15">
      <c r="A113" s="2795" t="s">
        <v>1094</v>
      </c>
      <c r="B113" s="2858">
        <f>IF(B108&lt;&gt;0,ROUND(B108/(B19/B141*12),2),0)</f>
        <v>0</v>
      </c>
      <c r="C113" s="2858">
        <f t="shared" ref="C113:V113" si="54">IF(C108&lt;&gt;0,ROUND(C108/(C19/C141*12),2),0)</f>
        <v>0</v>
      </c>
      <c r="D113" s="2859">
        <f t="shared" si="54"/>
        <v>0</v>
      </c>
      <c r="E113" s="2858">
        <f t="shared" ca="1" si="54"/>
        <v>0</v>
      </c>
      <c r="F113" s="2858">
        <f t="shared" ca="1" si="54"/>
        <v>0</v>
      </c>
      <c r="G113" s="2858">
        <f t="shared" ca="1" si="54"/>
        <v>0</v>
      </c>
      <c r="H113" s="2858">
        <f t="shared" ca="1" si="54"/>
        <v>0</v>
      </c>
      <c r="I113" s="2858">
        <f t="shared" ca="1" si="54"/>
        <v>0</v>
      </c>
      <c r="J113" s="2858">
        <f t="shared" ca="1" si="54"/>
        <v>0</v>
      </c>
      <c r="K113" s="2858">
        <f t="shared" ca="1" si="54"/>
        <v>0</v>
      </c>
      <c r="L113" s="2858">
        <f t="shared" ca="1" si="54"/>
        <v>0</v>
      </c>
      <c r="M113" s="2858">
        <f t="shared" ca="1" si="54"/>
        <v>0</v>
      </c>
      <c r="N113" s="2858">
        <f t="shared" ca="1" si="54"/>
        <v>0</v>
      </c>
      <c r="O113" s="2858">
        <f t="shared" ca="1" si="54"/>
        <v>0</v>
      </c>
      <c r="P113" s="2858">
        <f t="shared" ca="1" si="54"/>
        <v>0</v>
      </c>
      <c r="Q113" s="2858">
        <f t="shared" ca="1" si="54"/>
        <v>0</v>
      </c>
      <c r="R113" s="2858">
        <f t="shared" ca="1" si="54"/>
        <v>0</v>
      </c>
      <c r="S113" s="2858">
        <f t="shared" ca="1" si="54"/>
        <v>0</v>
      </c>
      <c r="T113" s="2858">
        <f t="shared" ca="1" si="54"/>
        <v>0</v>
      </c>
      <c r="U113" s="2858">
        <f t="shared" si="54"/>
        <v>0</v>
      </c>
      <c r="V113" s="2858">
        <f t="shared" si="54"/>
        <v>0</v>
      </c>
    </row>
    <row r="114" spans="1:22" ht="11.25" x14ac:dyDescent="0.2">
      <c r="A114" s="2862" t="s">
        <v>1138</v>
      </c>
      <c r="B114" s="2938" t="s">
        <v>1087</v>
      </c>
      <c r="C114" s="2938" t="str">
        <f>IFERROR(IF(C56=0,"n.d.",REDONDEA(C108/C56,2)),0)</f>
        <v>n.d.</v>
      </c>
      <c r="D114" s="2859" t="str">
        <f>IFERROR(IF(D56=0,"n.d.",REDONDEA(D108/D56,2)),0)</f>
        <v>n.d.</v>
      </c>
      <c r="E114" s="2858" t="str">
        <f ca="1">IFERROR(IF(E56=0,"n.d.",REDONDEA(E108/E56,2)),0)</f>
        <v>n.d.</v>
      </c>
      <c r="F114" s="2858" t="str">
        <f ca="1">IFERROR(IF(F56=0,"n.d.",REDONDEA(F108/F56,2)),0)</f>
        <v>n.d.</v>
      </c>
      <c r="G114" s="2858" t="str">
        <f ca="1">IFERROR(IF(G56=0,"n.d.",REDONDEA(G108/G56,2)),0)</f>
        <v>n.d.</v>
      </c>
      <c r="H114" s="2858" t="str">
        <f ca="1">IFERROR(IF(H56=0,"n.d.",REDONDEA(H108/H56,2)),0)</f>
        <v>n.d.</v>
      </c>
      <c r="I114" s="2858" t="str">
        <f ca="1">IFERROR(IF(I56=0,"n.d.",REDONDEA(I108/I56,2)),0)</f>
        <v>n.d.</v>
      </c>
      <c r="J114" s="2858" t="str">
        <f ca="1">IFERROR(IF(J56=0,"n.d.",REDONDEA(J108/J56,2)),0)</f>
        <v>n.d.</v>
      </c>
      <c r="K114" s="2858" t="str">
        <f ca="1">IFERROR(IF(K56=0,"n.d.",REDONDEA(K108/K56,2)),0)</f>
        <v>n.d.</v>
      </c>
      <c r="L114" s="2858" t="str">
        <f ca="1">IFERROR(IF(L56=0,"n.d.",REDONDEA(L108/L56,2)),0)</f>
        <v>n.d.</v>
      </c>
      <c r="M114" s="2858" t="str">
        <f ca="1">IFERROR(IF(M56=0,"n.d.",REDONDEA(M108/M56,2)),0)</f>
        <v>n.d.</v>
      </c>
      <c r="N114" s="2858" t="str">
        <f ca="1">IFERROR(IF(N56=0,"n.d.",REDONDEA(N108/N56,2)),0)</f>
        <v>n.d.</v>
      </c>
      <c r="O114" s="2858" t="str">
        <f ca="1">IFERROR(IF(O56=0,"n.d.",REDONDEA(O108/O56,2)),0)</f>
        <v>n.d.</v>
      </c>
      <c r="P114" s="2858" t="str">
        <f ca="1">IFERROR(IF(P56=0,"n.d.",REDONDEA(P108/P56,2)),0)</f>
        <v>n.d.</v>
      </c>
      <c r="Q114" s="2858" t="str">
        <f ca="1">IFERROR(IF(Q56=0,"n.d.",REDONDEA(Q108/Q56,2)),0)</f>
        <v>n.d.</v>
      </c>
      <c r="R114" s="2858" t="str">
        <f ca="1">IFERROR(IF(R56=0,"n.d.",REDONDEA(R108/R56,2)),0)</f>
        <v>n.d.</v>
      </c>
      <c r="S114" s="2858" t="str">
        <f ca="1">IFERROR(IF(S56=0,"n.d.",REDONDEA(S108/S56,2)),0)</f>
        <v>n.d.</v>
      </c>
      <c r="T114" s="2858" t="str">
        <f ca="1">IFERROR(IF(T56=0,"n.d.",REDONDEA(T108/T56,2)),0)</f>
        <v>n.d.</v>
      </c>
      <c r="U114" s="2858" t="str">
        <f>IFERROR(IF(U56=0,"n.d.",REDONDEA(U108/U56,2)),0)</f>
        <v>n.d.</v>
      </c>
      <c r="V114" s="2858" t="str">
        <f>IFERROR(IF(V56=0,"n.d.",REDONDEA(V108/V56,2)),0)</f>
        <v>n.d.</v>
      </c>
    </row>
    <row r="115" spans="1:22" x14ac:dyDescent="0.15">
      <c r="A115" s="2795" t="s">
        <v>397</v>
      </c>
      <c r="B115" s="2858">
        <f>IF(B80&lt;&gt;0,ROUND(B80/B93,2),0)</f>
        <v>0</v>
      </c>
      <c r="C115" s="2858">
        <f t="shared" ref="C115:V115" si="55">IF(C80&lt;&gt;0,ROUND(C80/C93,2),0)</f>
        <v>0</v>
      </c>
      <c r="D115" s="2859">
        <f t="shared" si="55"/>
        <v>0</v>
      </c>
      <c r="E115" s="2858">
        <f t="shared" ca="1" si="55"/>
        <v>0</v>
      </c>
      <c r="F115" s="2858">
        <f t="shared" ca="1" si="55"/>
        <v>0</v>
      </c>
      <c r="G115" s="2858">
        <f t="shared" ca="1" si="55"/>
        <v>0</v>
      </c>
      <c r="H115" s="2858">
        <f t="shared" ca="1" si="55"/>
        <v>0</v>
      </c>
      <c r="I115" s="2858">
        <f t="shared" ca="1" si="55"/>
        <v>0</v>
      </c>
      <c r="J115" s="2858">
        <f t="shared" ca="1" si="55"/>
        <v>0</v>
      </c>
      <c r="K115" s="2858">
        <f t="shared" ca="1" si="55"/>
        <v>0</v>
      </c>
      <c r="L115" s="2858">
        <f t="shared" ca="1" si="55"/>
        <v>0</v>
      </c>
      <c r="M115" s="2858">
        <f t="shared" ca="1" si="55"/>
        <v>0</v>
      </c>
      <c r="N115" s="2858">
        <f t="shared" ca="1" si="55"/>
        <v>0</v>
      </c>
      <c r="O115" s="2858">
        <f t="shared" ca="1" si="55"/>
        <v>0</v>
      </c>
      <c r="P115" s="2858">
        <f t="shared" ca="1" si="55"/>
        <v>0</v>
      </c>
      <c r="Q115" s="2858">
        <f t="shared" ca="1" si="55"/>
        <v>0</v>
      </c>
      <c r="R115" s="2858">
        <f t="shared" ca="1" si="55"/>
        <v>0</v>
      </c>
      <c r="S115" s="2858">
        <f t="shared" ca="1" si="55"/>
        <v>0</v>
      </c>
      <c r="T115" s="2858">
        <f t="shared" ca="1" si="55"/>
        <v>0</v>
      </c>
      <c r="U115" s="2858">
        <f t="shared" si="55"/>
        <v>0</v>
      </c>
      <c r="V115" s="2858">
        <f t="shared" si="55"/>
        <v>0</v>
      </c>
    </row>
    <row r="116" spans="1:22" x14ac:dyDescent="0.15">
      <c r="A116" s="2795" t="s">
        <v>1139</v>
      </c>
      <c r="B116" s="2858">
        <f>IF(B93&lt;&gt;0,ROUND((B75+B76)/B93,2),0)</f>
        <v>0</v>
      </c>
      <c r="C116" s="2858">
        <f t="shared" ref="C116:V116" si="56">IF(C93&lt;&gt;0,ROUND((C75+C76)/C93,2),0)</f>
        <v>0</v>
      </c>
      <c r="D116" s="2859">
        <f t="shared" si="56"/>
        <v>0</v>
      </c>
      <c r="E116" s="2858">
        <f t="shared" ca="1" si="56"/>
        <v>0</v>
      </c>
      <c r="F116" s="2858">
        <f t="shared" ca="1" si="56"/>
        <v>0</v>
      </c>
      <c r="G116" s="2858">
        <f t="shared" ca="1" si="56"/>
        <v>0</v>
      </c>
      <c r="H116" s="2858">
        <f t="shared" ca="1" si="56"/>
        <v>0</v>
      </c>
      <c r="I116" s="2858">
        <f t="shared" ca="1" si="56"/>
        <v>0</v>
      </c>
      <c r="J116" s="2858">
        <f t="shared" ca="1" si="56"/>
        <v>0</v>
      </c>
      <c r="K116" s="2858">
        <f t="shared" ca="1" si="56"/>
        <v>0</v>
      </c>
      <c r="L116" s="2858">
        <f t="shared" ca="1" si="56"/>
        <v>0</v>
      </c>
      <c r="M116" s="2858">
        <f t="shared" ca="1" si="56"/>
        <v>0</v>
      </c>
      <c r="N116" s="2858">
        <f t="shared" ca="1" si="56"/>
        <v>0</v>
      </c>
      <c r="O116" s="2858">
        <f t="shared" ca="1" si="56"/>
        <v>0</v>
      </c>
      <c r="P116" s="2858">
        <f t="shared" ca="1" si="56"/>
        <v>0</v>
      </c>
      <c r="Q116" s="2858">
        <f t="shared" ca="1" si="56"/>
        <v>0</v>
      </c>
      <c r="R116" s="2858">
        <f t="shared" ca="1" si="56"/>
        <v>0</v>
      </c>
      <c r="S116" s="2858">
        <f t="shared" ca="1" si="56"/>
        <v>0</v>
      </c>
      <c r="T116" s="2858">
        <f t="shared" ca="1" si="56"/>
        <v>0</v>
      </c>
      <c r="U116" s="2858">
        <f t="shared" si="56"/>
        <v>0</v>
      </c>
      <c r="V116" s="2858">
        <f t="shared" si="56"/>
        <v>0</v>
      </c>
    </row>
    <row r="117" spans="1:22" x14ac:dyDescent="0.15">
      <c r="A117" s="2786" t="s">
        <v>1194</v>
      </c>
      <c r="B117" s="2863">
        <f t="shared" ref="B117" si="57">B106</f>
        <v>42735</v>
      </c>
      <c r="C117" s="2863">
        <f t="shared" ref="C117:T117" si="58">C106</f>
        <v>43100</v>
      </c>
      <c r="D117" s="2864">
        <f t="shared" si="58"/>
        <v>43465</v>
      </c>
      <c r="E117" s="2865">
        <f t="shared" si="58"/>
        <v>43830</v>
      </c>
      <c r="F117" s="2865">
        <f t="shared" si="58"/>
        <v>44196</v>
      </c>
      <c r="G117" s="2865">
        <f t="shared" si="58"/>
        <v>44561</v>
      </c>
      <c r="H117" s="2865">
        <f t="shared" si="58"/>
        <v>44926</v>
      </c>
      <c r="I117" s="2865">
        <f t="shared" si="58"/>
        <v>45291</v>
      </c>
      <c r="J117" s="2865">
        <f t="shared" si="58"/>
        <v>45657</v>
      </c>
      <c r="K117" s="2865">
        <f t="shared" si="58"/>
        <v>46022</v>
      </c>
      <c r="L117" s="2865">
        <f t="shared" si="58"/>
        <v>46387</v>
      </c>
      <c r="M117" s="2865">
        <f t="shared" si="58"/>
        <v>46752</v>
      </c>
      <c r="N117" s="2865">
        <f t="shared" si="58"/>
        <v>47118</v>
      </c>
      <c r="O117" s="2865">
        <f t="shared" si="58"/>
        <v>47483</v>
      </c>
      <c r="P117" s="2865">
        <f t="shared" si="58"/>
        <v>47848</v>
      </c>
      <c r="Q117" s="2865">
        <f t="shared" si="58"/>
        <v>48213</v>
      </c>
      <c r="R117" s="2865">
        <f t="shared" si="58"/>
        <v>48579</v>
      </c>
      <c r="S117" s="2865">
        <f t="shared" si="58"/>
        <v>48944</v>
      </c>
      <c r="T117" s="2865">
        <f t="shared" si="58"/>
        <v>49309</v>
      </c>
      <c r="U117" s="2864">
        <f>U106</f>
        <v>43281</v>
      </c>
      <c r="V117" s="2864">
        <f>V106</f>
        <v>43646</v>
      </c>
    </row>
    <row r="118" spans="1:22" x14ac:dyDescent="0.15">
      <c r="A118" s="2795" t="s">
        <v>1197</v>
      </c>
      <c r="B118" s="2866">
        <f>IF(B35&lt;&gt;0,ROUND(B35/B102,2),0)</f>
        <v>0</v>
      </c>
      <c r="C118" s="2866">
        <f t="shared" ref="C118:V118" si="59">IF(C35&lt;&gt;0,ROUND(C35/C102,2),0)</f>
        <v>0</v>
      </c>
      <c r="D118" s="2867">
        <f t="shared" si="59"/>
        <v>0</v>
      </c>
      <c r="E118" s="2866">
        <f t="shared" ca="1" si="59"/>
        <v>0</v>
      </c>
      <c r="F118" s="2866">
        <f t="shared" ca="1" si="59"/>
        <v>0</v>
      </c>
      <c r="G118" s="2866">
        <f t="shared" ca="1" si="59"/>
        <v>0</v>
      </c>
      <c r="H118" s="2866">
        <f t="shared" ca="1" si="59"/>
        <v>0</v>
      </c>
      <c r="I118" s="2866">
        <f t="shared" ca="1" si="59"/>
        <v>0</v>
      </c>
      <c r="J118" s="2866">
        <f t="shared" ca="1" si="59"/>
        <v>0</v>
      </c>
      <c r="K118" s="2866">
        <f t="shared" ca="1" si="59"/>
        <v>0</v>
      </c>
      <c r="L118" s="2866">
        <f t="shared" ca="1" si="59"/>
        <v>0</v>
      </c>
      <c r="M118" s="2866">
        <f t="shared" ca="1" si="59"/>
        <v>0</v>
      </c>
      <c r="N118" s="2866">
        <f t="shared" ca="1" si="59"/>
        <v>0</v>
      </c>
      <c r="O118" s="2866">
        <f t="shared" ca="1" si="59"/>
        <v>0</v>
      </c>
      <c r="P118" s="2866">
        <f t="shared" ca="1" si="59"/>
        <v>0</v>
      </c>
      <c r="Q118" s="2866">
        <f t="shared" ca="1" si="59"/>
        <v>0</v>
      </c>
      <c r="R118" s="2866">
        <f t="shared" ca="1" si="59"/>
        <v>0</v>
      </c>
      <c r="S118" s="2866">
        <f t="shared" ca="1" si="59"/>
        <v>0</v>
      </c>
      <c r="T118" s="2866">
        <f t="shared" ca="1" si="59"/>
        <v>0</v>
      </c>
      <c r="U118" s="2866">
        <f t="shared" si="59"/>
        <v>0</v>
      </c>
      <c r="V118" s="2866">
        <f t="shared" si="59"/>
        <v>0</v>
      </c>
    </row>
    <row r="119" spans="1:22" x14ac:dyDescent="0.15">
      <c r="A119" s="2795" t="s">
        <v>1198</v>
      </c>
      <c r="B119" s="2866">
        <f>IF(AND(B35&lt;&gt;0,B86&lt;&gt;0),ROUND(B35/B86,2),0)</f>
        <v>0</v>
      </c>
      <c r="C119" s="2866">
        <f t="shared" ref="C119:V119" si="60">IF(AND(C35&lt;&gt;0,C86&lt;&gt;0),ROUND(C35/C86,2),0)</f>
        <v>0</v>
      </c>
      <c r="D119" s="2866">
        <f t="shared" si="60"/>
        <v>0</v>
      </c>
      <c r="E119" s="2866">
        <f t="shared" ca="1" si="60"/>
        <v>0</v>
      </c>
      <c r="F119" s="2866">
        <f t="shared" ca="1" si="60"/>
        <v>0</v>
      </c>
      <c r="G119" s="2866">
        <f t="shared" ca="1" si="60"/>
        <v>0</v>
      </c>
      <c r="H119" s="2866">
        <f t="shared" ca="1" si="60"/>
        <v>0</v>
      </c>
      <c r="I119" s="2866">
        <f t="shared" ca="1" si="60"/>
        <v>0</v>
      </c>
      <c r="J119" s="2866">
        <f t="shared" ca="1" si="60"/>
        <v>0</v>
      </c>
      <c r="K119" s="2866">
        <f t="shared" ca="1" si="60"/>
        <v>0</v>
      </c>
      <c r="L119" s="2866">
        <f t="shared" ca="1" si="60"/>
        <v>0</v>
      </c>
      <c r="M119" s="2866">
        <f t="shared" ca="1" si="60"/>
        <v>0</v>
      </c>
      <c r="N119" s="2866">
        <f t="shared" ca="1" si="60"/>
        <v>0</v>
      </c>
      <c r="O119" s="2866">
        <f t="shared" ca="1" si="60"/>
        <v>0</v>
      </c>
      <c r="P119" s="2866">
        <f t="shared" ca="1" si="60"/>
        <v>0</v>
      </c>
      <c r="Q119" s="2866">
        <f t="shared" ca="1" si="60"/>
        <v>0</v>
      </c>
      <c r="R119" s="2866">
        <f t="shared" ca="1" si="60"/>
        <v>0</v>
      </c>
      <c r="S119" s="2866">
        <f t="shared" ca="1" si="60"/>
        <v>0</v>
      </c>
      <c r="T119" s="2866">
        <f t="shared" ca="1" si="60"/>
        <v>0</v>
      </c>
      <c r="U119" s="2866">
        <f t="shared" si="60"/>
        <v>0</v>
      </c>
      <c r="V119" s="2866">
        <f t="shared" si="60"/>
        <v>0</v>
      </c>
    </row>
    <row r="120" spans="1:22" x14ac:dyDescent="0.15">
      <c r="A120" s="2795" t="s">
        <v>1140</v>
      </c>
      <c r="B120" s="2860">
        <f>IF(B26&lt;&gt;0,ROUND(B19/-B26,2),0)</f>
        <v>0</v>
      </c>
      <c r="C120" s="2860">
        <f t="shared" ref="C120:V120" si="61">IF(C26&lt;&gt;0,ROUND(C19/-C26,2),0)</f>
        <v>0</v>
      </c>
      <c r="D120" s="2861">
        <f t="shared" si="61"/>
        <v>0</v>
      </c>
      <c r="E120" s="2860">
        <f t="shared" ca="1" si="61"/>
        <v>0</v>
      </c>
      <c r="F120" s="2860">
        <f t="shared" ca="1" si="61"/>
        <v>0</v>
      </c>
      <c r="G120" s="2860">
        <f t="shared" ca="1" si="61"/>
        <v>0</v>
      </c>
      <c r="H120" s="2860">
        <f t="shared" ca="1" si="61"/>
        <v>0</v>
      </c>
      <c r="I120" s="2860">
        <f t="shared" ca="1" si="61"/>
        <v>0</v>
      </c>
      <c r="J120" s="2860">
        <f t="shared" ca="1" si="61"/>
        <v>0</v>
      </c>
      <c r="K120" s="2860">
        <f t="shared" ca="1" si="61"/>
        <v>0</v>
      </c>
      <c r="L120" s="2860">
        <f t="shared" ca="1" si="61"/>
        <v>0</v>
      </c>
      <c r="M120" s="2860">
        <f t="shared" ca="1" si="61"/>
        <v>0</v>
      </c>
      <c r="N120" s="2860">
        <f t="shared" ca="1" si="61"/>
        <v>0</v>
      </c>
      <c r="O120" s="2860">
        <f t="shared" ca="1" si="61"/>
        <v>0</v>
      </c>
      <c r="P120" s="2860">
        <f t="shared" ca="1" si="61"/>
        <v>0</v>
      </c>
      <c r="Q120" s="2860">
        <f t="shared" ca="1" si="61"/>
        <v>0</v>
      </c>
      <c r="R120" s="2860">
        <f t="shared" ca="1" si="61"/>
        <v>0</v>
      </c>
      <c r="S120" s="2860">
        <f t="shared" ca="1" si="61"/>
        <v>0</v>
      </c>
      <c r="T120" s="2860">
        <f t="shared" ca="1" si="61"/>
        <v>0</v>
      </c>
      <c r="U120" s="2860">
        <f t="shared" si="61"/>
        <v>0</v>
      </c>
      <c r="V120" s="2860">
        <f t="shared" si="61"/>
        <v>0</v>
      </c>
    </row>
    <row r="121" spans="1:22" x14ac:dyDescent="0.15">
      <c r="A121" s="2862" t="s">
        <v>1141</v>
      </c>
      <c r="B121" s="2858" t="str">
        <f>IF(B51=0,"n.d.",ROUND(B51/B26,2))</f>
        <v>n.d.</v>
      </c>
      <c r="C121" s="2858" t="str">
        <f t="shared" ref="C121:V121" ca="1" si="62">IF(C51=0,"n.d.",ROUND(C51/C26,2))</f>
        <v>n.d.</v>
      </c>
      <c r="D121" s="2861" t="str">
        <f t="shared" ca="1" si="62"/>
        <v>n.d.</v>
      </c>
      <c r="E121" s="2858" t="str">
        <f t="shared" ca="1" si="62"/>
        <v>n.d.</v>
      </c>
      <c r="F121" s="2858" t="str">
        <f t="shared" ca="1" si="62"/>
        <v>n.d.</v>
      </c>
      <c r="G121" s="2858" t="str">
        <f t="shared" ca="1" si="62"/>
        <v>n.d.</v>
      </c>
      <c r="H121" s="2858" t="str">
        <f t="shared" ca="1" si="62"/>
        <v>n.d.</v>
      </c>
      <c r="I121" s="2858" t="str">
        <f t="shared" ca="1" si="62"/>
        <v>n.d.</v>
      </c>
      <c r="J121" s="2858" t="str">
        <f t="shared" ca="1" si="62"/>
        <v>n.d.</v>
      </c>
      <c r="K121" s="2858" t="str">
        <f t="shared" ca="1" si="62"/>
        <v>n.d.</v>
      </c>
      <c r="L121" s="2858" t="str">
        <f t="shared" ca="1" si="62"/>
        <v>n.d.</v>
      </c>
      <c r="M121" s="2858" t="str">
        <f t="shared" ca="1" si="62"/>
        <v>n.d.</v>
      </c>
      <c r="N121" s="2858" t="str">
        <f t="shared" ca="1" si="62"/>
        <v>n.d.</v>
      </c>
      <c r="O121" s="2858" t="str">
        <f t="shared" ca="1" si="62"/>
        <v>n.d.</v>
      </c>
      <c r="P121" s="2858" t="str">
        <f t="shared" ca="1" si="62"/>
        <v>n.d.</v>
      </c>
      <c r="Q121" s="2858" t="str">
        <f t="shared" ca="1" si="62"/>
        <v>n.d.</v>
      </c>
      <c r="R121" s="2858" t="str">
        <f t="shared" ca="1" si="62"/>
        <v>n.d.</v>
      </c>
      <c r="S121" s="2858" t="str">
        <f t="shared" ca="1" si="62"/>
        <v>n.d.</v>
      </c>
      <c r="T121" s="2858" t="str">
        <f t="shared" ca="1" si="62"/>
        <v>n.d.</v>
      </c>
      <c r="U121" s="2858" t="str">
        <f t="shared" si="62"/>
        <v>n.d.</v>
      </c>
      <c r="V121" s="2858" t="str">
        <f t="shared" ca="1" si="62"/>
        <v>n.d.</v>
      </c>
    </row>
    <row r="122" spans="1:22" x14ac:dyDescent="0.15">
      <c r="A122" s="2786" t="s">
        <v>117</v>
      </c>
      <c r="B122" s="2863">
        <f t="shared" ref="B122:V122" si="63">B12</f>
        <v>42735</v>
      </c>
      <c r="C122" s="2863">
        <f t="shared" si="63"/>
        <v>43100</v>
      </c>
      <c r="D122" s="2864">
        <f t="shared" si="63"/>
        <v>43465</v>
      </c>
      <c r="E122" s="2865">
        <f t="shared" si="63"/>
        <v>43830</v>
      </c>
      <c r="F122" s="2865">
        <f t="shared" si="63"/>
        <v>44196</v>
      </c>
      <c r="G122" s="2865">
        <f t="shared" si="63"/>
        <v>44561</v>
      </c>
      <c r="H122" s="2865">
        <f t="shared" si="63"/>
        <v>44926</v>
      </c>
      <c r="I122" s="2865">
        <f t="shared" si="63"/>
        <v>45291</v>
      </c>
      <c r="J122" s="2865">
        <f t="shared" si="63"/>
        <v>45657</v>
      </c>
      <c r="K122" s="2865">
        <f t="shared" si="63"/>
        <v>46022</v>
      </c>
      <c r="L122" s="2865">
        <f t="shared" si="63"/>
        <v>46387</v>
      </c>
      <c r="M122" s="2865">
        <f t="shared" si="63"/>
        <v>46752</v>
      </c>
      <c r="N122" s="2865">
        <f t="shared" si="63"/>
        <v>47118</v>
      </c>
      <c r="O122" s="2865">
        <f t="shared" si="63"/>
        <v>47483</v>
      </c>
      <c r="P122" s="2865">
        <f t="shared" si="63"/>
        <v>47848</v>
      </c>
      <c r="Q122" s="2865">
        <f t="shared" si="63"/>
        <v>48213</v>
      </c>
      <c r="R122" s="2865">
        <f t="shared" si="63"/>
        <v>48579</v>
      </c>
      <c r="S122" s="2865">
        <f t="shared" si="63"/>
        <v>48944</v>
      </c>
      <c r="T122" s="2865">
        <f t="shared" si="63"/>
        <v>49309</v>
      </c>
      <c r="U122" s="2864">
        <f t="shared" si="63"/>
        <v>43281</v>
      </c>
      <c r="V122" s="2864">
        <f t="shared" si="63"/>
        <v>43646</v>
      </c>
    </row>
    <row r="123" spans="1:22" x14ac:dyDescent="0.15">
      <c r="A123" s="2786" t="s">
        <v>119</v>
      </c>
      <c r="B123" s="2796">
        <f t="shared" ref="B123" si="64">B80-B93</f>
        <v>0</v>
      </c>
      <c r="C123" s="2796">
        <f t="shared" ref="C123:T123" si="65">C80-C93</f>
        <v>0</v>
      </c>
      <c r="D123" s="2797">
        <f t="shared" si="65"/>
        <v>0</v>
      </c>
      <c r="E123" s="2796">
        <f t="shared" ca="1" si="65"/>
        <v>0</v>
      </c>
      <c r="F123" s="2796">
        <f t="shared" ca="1" si="65"/>
        <v>0</v>
      </c>
      <c r="G123" s="2796">
        <f t="shared" ca="1" si="65"/>
        <v>0</v>
      </c>
      <c r="H123" s="2796">
        <f t="shared" ca="1" si="65"/>
        <v>0</v>
      </c>
      <c r="I123" s="2796">
        <f t="shared" ca="1" si="65"/>
        <v>0</v>
      </c>
      <c r="J123" s="2796">
        <f t="shared" ca="1" si="65"/>
        <v>0</v>
      </c>
      <c r="K123" s="2796">
        <f t="shared" ca="1" si="65"/>
        <v>0</v>
      </c>
      <c r="L123" s="2796">
        <f t="shared" ca="1" si="65"/>
        <v>0</v>
      </c>
      <c r="M123" s="2796">
        <f t="shared" ca="1" si="65"/>
        <v>0</v>
      </c>
      <c r="N123" s="2796">
        <f t="shared" ca="1" si="65"/>
        <v>0</v>
      </c>
      <c r="O123" s="2796">
        <f t="shared" ca="1" si="65"/>
        <v>0</v>
      </c>
      <c r="P123" s="2796">
        <f t="shared" ca="1" si="65"/>
        <v>0</v>
      </c>
      <c r="Q123" s="2796">
        <f t="shared" ca="1" si="65"/>
        <v>0</v>
      </c>
      <c r="R123" s="2796">
        <f t="shared" ca="1" si="65"/>
        <v>0</v>
      </c>
      <c r="S123" s="2796">
        <f t="shared" ca="1" si="65"/>
        <v>0</v>
      </c>
      <c r="T123" s="2796">
        <f t="shared" ca="1" si="65"/>
        <v>0</v>
      </c>
      <c r="U123" s="2796">
        <f>U80-U93</f>
        <v>0</v>
      </c>
      <c r="V123" s="2796">
        <f>V80-V93</f>
        <v>0</v>
      </c>
    </row>
    <row r="124" spans="1:22" x14ac:dyDescent="0.15">
      <c r="A124" s="2786" t="s">
        <v>120</v>
      </c>
      <c r="B124" s="2830">
        <f t="shared" ref="B124:V124" si="66">IF(B123&lt;&gt;0,B123/B13,0)</f>
        <v>0</v>
      </c>
      <c r="C124" s="2830">
        <f t="shared" si="66"/>
        <v>0</v>
      </c>
      <c r="D124" s="2868">
        <f t="shared" si="66"/>
        <v>0</v>
      </c>
      <c r="E124" s="2830">
        <f t="shared" ca="1" si="66"/>
        <v>0</v>
      </c>
      <c r="F124" s="2830">
        <f t="shared" ca="1" si="66"/>
        <v>0</v>
      </c>
      <c r="G124" s="2830">
        <f t="shared" ca="1" si="66"/>
        <v>0</v>
      </c>
      <c r="H124" s="2830">
        <f t="shared" ca="1" si="66"/>
        <v>0</v>
      </c>
      <c r="I124" s="2830">
        <f t="shared" ca="1" si="66"/>
        <v>0</v>
      </c>
      <c r="J124" s="2830">
        <f t="shared" ca="1" si="66"/>
        <v>0</v>
      </c>
      <c r="K124" s="2830">
        <f t="shared" ca="1" si="66"/>
        <v>0</v>
      </c>
      <c r="L124" s="2830">
        <f t="shared" ca="1" si="66"/>
        <v>0</v>
      </c>
      <c r="M124" s="2830">
        <f t="shared" ca="1" si="66"/>
        <v>0</v>
      </c>
      <c r="N124" s="2830">
        <f t="shared" ca="1" si="66"/>
        <v>0</v>
      </c>
      <c r="O124" s="2830">
        <f t="shared" ca="1" si="66"/>
        <v>0</v>
      </c>
      <c r="P124" s="2830">
        <f t="shared" ca="1" si="66"/>
        <v>0</v>
      </c>
      <c r="Q124" s="2830">
        <f t="shared" ca="1" si="66"/>
        <v>0</v>
      </c>
      <c r="R124" s="2830">
        <f t="shared" ca="1" si="66"/>
        <v>0</v>
      </c>
      <c r="S124" s="2830">
        <f t="shared" ca="1" si="66"/>
        <v>0</v>
      </c>
      <c r="T124" s="2830">
        <f t="shared" ca="1" si="66"/>
        <v>0</v>
      </c>
      <c r="U124" s="2830">
        <f t="shared" si="66"/>
        <v>0</v>
      </c>
      <c r="V124" s="2830">
        <f t="shared" si="66"/>
        <v>0</v>
      </c>
    </row>
    <row r="125" spans="1:22" x14ac:dyDescent="0.15">
      <c r="A125" s="2786" t="s">
        <v>121</v>
      </c>
      <c r="B125" s="2796">
        <f>('Info Entrada'!C180+'Info Entrada'!C185+'Info Entrada'!C188-'Info Entrada'!C218-'Info Entrada'!C219-'Info Entrada'!C226)/$A$8</f>
        <v>0</v>
      </c>
      <c r="C125" s="2796">
        <f>('Info Entrada'!D180+'Info Entrada'!D185+'Info Entrada'!D188-'Info Entrada'!D218-'Info Entrada'!D219-'Info Entrada'!D226)/$A$8</f>
        <v>0</v>
      </c>
      <c r="D125" s="2797">
        <f>('Info Entrada'!E180+'Info Entrada'!E185+'Info Entrada'!E188-'Info Entrada'!E218-'Info Entrada'!E219-'Info Entrada'!E226)/$A$8</f>
        <v>0</v>
      </c>
      <c r="E125" s="2796">
        <f>('Info Entrada'!H180+'Info Entrada'!H185+'Info Entrada'!H188-'Info Entrada'!H218-'Info Entrada'!H219-'Info Entrada'!H226)/$A$8</f>
        <v>0</v>
      </c>
      <c r="F125" s="2796">
        <f>('Info Entrada'!I180+'Info Entrada'!I185+'Info Entrada'!I188-'Info Entrada'!I218-'Info Entrada'!I219-'Info Entrada'!I226)/$A$8</f>
        <v>0</v>
      </c>
      <c r="G125" s="2796">
        <f>('Info Entrada'!J180+'Info Entrada'!J185+'Info Entrada'!J188-'Info Entrada'!J218-'Info Entrada'!J219-'Info Entrada'!J226)/$A$8</f>
        <v>0</v>
      </c>
      <c r="H125" s="2796">
        <f>('Info Entrada'!K180+'Info Entrada'!K185+'Info Entrada'!K188-'Info Entrada'!K218-'Info Entrada'!K219-'Info Entrada'!K226)/$A$8</f>
        <v>0</v>
      </c>
      <c r="I125" s="2796">
        <f>('Info Entrada'!L180+'Info Entrada'!L185+'Info Entrada'!L188-'Info Entrada'!L218-'Info Entrada'!L219-'Info Entrada'!L226)/$A$8</f>
        <v>0</v>
      </c>
      <c r="J125" s="2796">
        <f>('Info Entrada'!M180+'Info Entrada'!M185+'Info Entrada'!M188-'Info Entrada'!M218-'Info Entrada'!M219-'Info Entrada'!M226)/$A$8</f>
        <v>0</v>
      </c>
      <c r="K125" s="2796">
        <f>('Info Entrada'!N180+'Info Entrada'!N185+'Info Entrada'!N188-'Info Entrada'!N218-'Info Entrada'!N219-'Info Entrada'!N226)/$A$8</f>
        <v>0</v>
      </c>
      <c r="L125" s="2796">
        <f>('Info Entrada'!O180+'Info Entrada'!O185+'Info Entrada'!O188-'Info Entrada'!O218-'Info Entrada'!O219-'Info Entrada'!O226)/$A$8</f>
        <v>0</v>
      </c>
      <c r="M125" s="2796">
        <f>('Info Entrada'!P180+'Info Entrada'!P185+'Info Entrada'!P188-'Info Entrada'!P218-'Info Entrada'!P219-'Info Entrada'!P226)/$A$8</f>
        <v>0</v>
      </c>
      <c r="N125" s="2796">
        <f>('Info Entrada'!Q180+'Info Entrada'!Q185+'Info Entrada'!Q188-'Info Entrada'!Q218-'Info Entrada'!Q219-'Info Entrada'!Q226)/$A$8</f>
        <v>0</v>
      </c>
      <c r="O125" s="2796">
        <f>('Info Entrada'!R180+'Info Entrada'!R185+'Info Entrada'!R188-'Info Entrada'!R218-'Info Entrada'!R219-'Info Entrada'!R226)/$A$8</f>
        <v>0</v>
      </c>
      <c r="P125" s="2796">
        <f>('Info Entrada'!S180+'Info Entrada'!S185+'Info Entrada'!S188-'Info Entrada'!S218-'Info Entrada'!S219-'Info Entrada'!S226)/$A$8</f>
        <v>0</v>
      </c>
      <c r="Q125" s="2796">
        <f>('Info Entrada'!T180+'Info Entrada'!T185+'Info Entrada'!T188-'Info Entrada'!T218-'Info Entrada'!T219-'Info Entrada'!T226)/$A$8</f>
        <v>0</v>
      </c>
      <c r="R125" s="2796">
        <f>('Info Entrada'!U180+'Info Entrada'!U185+'Info Entrada'!U188-'Info Entrada'!U218-'Info Entrada'!U219-'Info Entrada'!U226)/$A$8</f>
        <v>0</v>
      </c>
      <c r="S125" s="2796">
        <f>('Info Entrada'!V180+'Info Entrada'!V185+'Info Entrada'!V188-'Info Entrada'!V218-'Info Entrada'!V219-'Info Entrada'!V226)/$A$8</f>
        <v>0</v>
      </c>
      <c r="T125" s="2796">
        <f>('Info Entrada'!W180+'Info Entrada'!W185+'Info Entrada'!W188-'Info Entrada'!W218-'Info Entrada'!W219-'Info Entrada'!W226)/$A$8</f>
        <v>0</v>
      </c>
      <c r="U125" s="2796">
        <f>('Info Entrada'!F180+'Info Entrada'!F185+'Info Entrada'!F188-'Info Entrada'!F218-'Info Entrada'!F219-'Info Entrada'!F226)/$A$8</f>
        <v>0</v>
      </c>
      <c r="V125" s="2796">
        <f>('Info Entrada'!G180+'Info Entrada'!G185+'Info Entrada'!G188-'Info Entrada'!G218-'Info Entrada'!G219-'Info Entrada'!G226)/$A$8</f>
        <v>0</v>
      </c>
    </row>
    <row r="126" spans="1:22" x14ac:dyDescent="0.15">
      <c r="A126" s="2786" t="s">
        <v>122</v>
      </c>
      <c r="B126" s="2830">
        <f t="shared" ref="B126:V126" si="67">IF(B125&lt;&gt;0,B125/B13,0)</f>
        <v>0</v>
      </c>
      <c r="C126" s="2830">
        <f t="shared" si="67"/>
        <v>0</v>
      </c>
      <c r="D126" s="2868">
        <f t="shared" si="67"/>
        <v>0</v>
      </c>
      <c r="E126" s="2830">
        <f t="shared" si="67"/>
        <v>0</v>
      </c>
      <c r="F126" s="2830">
        <f t="shared" si="67"/>
        <v>0</v>
      </c>
      <c r="G126" s="2830">
        <f t="shared" si="67"/>
        <v>0</v>
      </c>
      <c r="H126" s="2830">
        <f t="shared" si="67"/>
        <v>0</v>
      </c>
      <c r="I126" s="2830">
        <f t="shared" si="67"/>
        <v>0</v>
      </c>
      <c r="J126" s="2830">
        <f t="shared" si="67"/>
        <v>0</v>
      </c>
      <c r="K126" s="2830">
        <f t="shared" si="67"/>
        <v>0</v>
      </c>
      <c r="L126" s="2830">
        <f t="shared" si="67"/>
        <v>0</v>
      </c>
      <c r="M126" s="2830">
        <f t="shared" si="67"/>
        <v>0</v>
      </c>
      <c r="N126" s="2830">
        <f t="shared" si="67"/>
        <v>0</v>
      </c>
      <c r="O126" s="2830">
        <f t="shared" si="67"/>
        <v>0</v>
      </c>
      <c r="P126" s="2830">
        <f t="shared" si="67"/>
        <v>0</v>
      </c>
      <c r="Q126" s="2830">
        <f t="shared" si="67"/>
        <v>0</v>
      </c>
      <c r="R126" s="2830">
        <f t="shared" si="67"/>
        <v>0</v>
      </c>
      <c r="S126" s="2830">
        <f t="shared" si="67"/>
        <v>0</v>
      </c>
      <c r="T126" s="2830">
        <f t="shared" si="67"/>
        <v>0</v>
      </c>
      <c r="U126" s="2830">
        <f t="shared" si="67"/>
        <v>0</v>
      </c>
      <c r="V126" s="2830">
        <f t="shared" si="67"/>
        <v>0</v>
      </c>
    </row>
    <row r="127" spans="1:22" x14ac:dyDescent="0.15">
      <c r="A127" s="2786" t="s">
        <v>384</v>
      </c>
      <c r="B127" s="2869">
        <f>IFERROR(('Info Entrada'!C180/'Info Entrada'!C77)*((360/12)*MONTH(B106)),0)</f>
        <v>0</v>
      </c>
      <c r="C127" s="2869">
        <f>IFERROR(('Info Entrada'!D180/'Info Entrada'!D77)*((360/12)*MONTH(C106)),0)</f>
        <v>0</v>
      </c>
      <c r="D127" s="2870">
        <f>IFERROR(('Info Entrada'!E180/'Info Entrada'!E77)*((360/12)*MONTH(D106)),0)</f>
        <v>0</v>
      </c>
      <c r="E127" s="2869">
        <f>IFERROR(('Info Entrada'!H180/'Info Entrada'!H77)*360,0)</f>
        <v>0</v>
      </c>
      <c r="F127" s="2869">
        <f>IFERROR(('Info Entrada'!I180/'Info Entrada'!I77)*360,0)</f>
        <v>0</v>
      </c>
      <c r="G127" s="2869">
        <f>IFERROR(('Info Entrada'!J180/'Info Entrada'!J77)*360,0)</f>
        <v>0</v>
      </c>
      <c r="H127" s="2869">
        <f>IFERROR(('Info Entrada'!K180/'Info Entrada'!K77)*360,0)</f>
        <v>0</v>
      </c>
      <c r="I127" s="2869">
        <f>IFERROR(('Info Entrada'!L180/'Info Entrada'!L77)*360,0)</f>
        <v>0</v>
      </c>
      <c r="J127" s="2869">
        <f>IFERROR(('Info Entrada'!M180/'Info Entrada'!M77)*360,0)</f>
        <v>0</v>
      </c>
      <c r="K127" s="2869">
        <f>IFERROR(('Info Entrada'!N180/'Info Entrada'!N77)*360,0)</f>
        <v>0</v>
      </c>
      <c r="L127" s="2869">
        <f>IFERROR(('Info Entrada'!O180/'Info Entrada'!O77)*360,0)</f>
        <v>0</v>
      </c>
      <c r="M127" s="2869">
        <f>IFERROR(('Info Entrada'!P180/'Info Entrada'!P77)*360,0)</f>
        <v>0</v>
      </c>
      <c r="N127" s="2869">
        <f>IFERROR(('Info Entrada'!Q180/'Info Entrada'!Q77)*360,0)</f>
        <v>0</v>
      </c>
      <c r="O127" s="2869">
        <f>IFERROR(('Info Entrada'!R180/'Info Entrada'!R77)*360,0)</f>
        <v>0</v>
      </c>
      <c r="P127" s="2869">
        <f>IFERROR(('Info Entrada'!S180/'Info Entrada'!S77)*360,0)</f>
        <v>0</v>
      </c>
      <c r="Q127" s="2869">
        <f>IFERROR(('Info Entrada'!T180/'Info Entrada'!T77)*360,0)</f>
        <v>0</v>
      </c>
      <c r="R127" s="2869">
        <f>IFERROR(('Info Entrada'!U180/'Info Entrada'!U77)*360,0)</f>
        <v>0</v>
      </c>
      <c r="S127" s="2869">
        <f>IFERROR(('Info Entrada'!V180/'Info Entrada'!V77)*360,0)</f>
        <v>0</v>
      </c>
      <c r="T127" s="2869">
        <f>IFERROR(('Info Entrada'!W180/'Info Entrada'!W77)*360,0)</f>
        <v>0</v>
      </c>
      <c r="U127" s="2869">
        <f>IFERROR(('Info Entrada'!F180/'Info Entrada'!F77)*((360/12)*MONTH(U106)),0)</f>
        <v>0</v>
      </c>
      <c r="V127" s="2869">
        <f>IFERROR(('Info Entrada'!G180/'Info Entrada'!G77)*((360/12)*MONTH(V106)),0)</f>
        <v>0</v>
      </c>
    </row>
    <row r="128" spans="1:22" x14ac:dyDescent="0.15">
      <c r="A128" s="2786" t="s">
        <v>123</v>
      </c>
      <c r="B128" s="2796">
        <f>IFERROR(IF('Info Entrada'!C84=0,0,('Info Entrada'!C185/'Info Entrada'!C89)*((360/12)*MONTH(B106))),0)</f>
        <v>0</v>
      </c>
      <c r="C128" s="2796">
        <f>IFERROR(IF('Info Entrada'!D84=0,0,('Info Entrada'!D185/'Info Entrada'!D89)*((360/12)*MONTH(C106))),0)</f>
        <v>0</v>
      </c>
      <c r="D128" s="2797">
        <f>IFERROR(IF('Info Entrada'!E84=0,0,('Info Entrada'!E185/'Info Entrada'!E89)*((360/12)*MONTH(D106))),0)</f>
        <v>0</v>
      </c>
      <c r="E128" s="2796">
        <f>IFERROR(IF('Info Entrada'!H84=0,0,('Info Entrada'!H185/'Info Entrada'!H89)*360),0)</f>
        <v>0</v>
      </c>
      <c r="F128" s="2796">
        <f>IFERROR(IF('Info Entrada'!I84=0,0,('Info Entrada'!I185/'Info Entrada'!I89)*360),0)</f>
        <v>0</v>
      </c>
      <c r="G128" s="2796">
        <f>IFERROR(IF('Info Entrada'!J84=0,0,('Info Entrada'!J185/'Info Entrada'!J89)*360),0)</f>
        <v>0</v>
      </c>
      <c r="H128" s="2796">
        <f>IFERROR(IF('Info Entrada'!K84=0,0,('Info Entrada'!K185/'Info Entrada'!K89)*360),0)</f>
        <v>0</v>
      </c>
      <c r="I128" s="2796">
        <f>IFERROR(IF('Info Entrada'!L84=0,0,('Info Entrada'!L185/'Info Entrada'!L89)*360),0)</f>
        <v>0</v>
      </c>
      <c r="J128" s="2796">
        <f>IFERROR(IF('Info Entrada'!M84=0,0,('Info Entrada'!M185/'Info Entrada'!M89)*360),0)</f>
        <v>0</v>
      </c>
      <c r="K128" s="2796">
        <f>IFERROR(IF('Info Entrada'!N84=0,0,('Info Entrada'!N185/'Info Entrada'!N89)*360),0)</f>
        <v>0</v>
      </c>
      <c r="L128" s="2796">
        <f>IFERROR(IF('Info Entrada'!O84=0,0,('Info Entrada'!O185/'Info Entrada'!O89)*360),0)</f>
        <v>0</v>
      </c>
      <c r="M128" s="2796">
        <f>IFERROR(IF('Info Entrada'!P84=0,0,('Info Entrada'!P185/'Info Entrada'!P89)*360),0)</f>
        <v>0</v>
      </c>
      <c r="N128" s="2796">
        <f>IFERROR(IF('Info Entrada'!Q84=0,0,('Info Entrada'!Q185/'Info Entrada'!Q89)*360),0)</f>
        <v>0</v>
      </c>
      <c r="O128" s="2796">
        <f>IFERROR(IF('Info Entrada'!R84=0,0,('Info Entrada'!R185/'Info Entrada'!R89)*360),0)</f>
        <v>0</v>
      </c>
      <c r="P128" s="2796">
        <f>IFERROR(IF('Info Entrada'!S84=0,0,('Info Entrada'!S185/'Info Entrada'!S89)*360),0)</f>
        <v>0</v>
      </c>
      <c r="Q128" s="2796">
        <f>IFERROR(IF('Info Entrada'!T84=0,0,('Info Entrada'!T185/'Info Entrada'!T89)*360),0)</f>
        <v>0</v>
      </c>
      <c r="R128" s="2796">
        <f>IFERROR(IF('Info Entrada'!U84=0,0,('Info Entrada'!U185/'Info Entrada'!U89)*360),0)</f>
        <v>0</v>
      </c>
      <c r="S128" s="2796">
        <f>IFERROR(IF('Info Entrada'!V84=0,0,('Info Entrada'!V185/'Info Entrada'!V89)*360),0)</f>
        <v>0</v>
      </c>
      <c r="T128" s="2796">
        <f>IFERROR(IF('Info Entrada'!W84=0,0,('Info Entrada'!W185/'Info Entrada'!W89)*360),0)</f>
        <v>0</v>
      </c>
      <c r="U128" s="2796">
        <f>IFERROR(IF('Info Entrada'!F84=0,0,('Info Entrada'!F185/'Info Entrada'!F89)*((360/12)*MONTH(U106))),0)</f>
        <v>0</v>
      </c>
      <c r="V128" s="2796">
        <f>IFERROR(IF('Info Entrada'!G84=0,0,('Info Entrada'!G185/'Info Entrada'!G89)*((360/12)*MONTH(V106))),0)</f>
        <v>0</v>
      </c>
    </row>
    <row r="129" spans="1:22" ht="9.75" thickBot="1" x14ac:dyDescent="0.2">
      <c r="A129" s="2871" t="s">
        <v>386</v>
      </c>
      <c r="B129" s="2872">
        <f>IFERROR((('Info Entrada'!C218+'Info Entrada'!C219)/('Info Entrada'!C89))*((360/12)*MONTH(B106)),0)</f>
        <v>0</v>
      </c>
      <c r="C129" s="2872">
        <f>IFERROR((('Info Entrada'!D218+'Info Entrada'!D219)/('Info Entrada'!D89))*((360/12)*MONTH(C106)),0)</f>
        <v>0</v>
      </c>
      <c r="D129" s="2873">
        <f>IFERROR((('Info Entrada'!E218+'Info Entrada'!E219)/('Info Entrada'!E89))*((360/12)*MONTH(D106)),0)</f>
        <v>0</v>
      </c>
      <c r="E129" s="2872">
        <f>IFERROR(IF('Info Entrada'!H84=0,0,(('Info Entrada'!H218+'Info Entrada'!H219)/('Info Entrada'!H89))*360),0)</f>
        <v>0</v>
      </c>
      <c r="F129" s="2872">
        <f>IFERROR(IF('Info Entrada'!I84=0,0,(('Info Entrada'!I218+'Info Entrada'!I219)/('Info Entrada'!I89))*360),0)</f>
        <v>0</v>
      </c>
      <c r="G129" s="2872">
        <f>IFERROR(IF('Info Entrada'!J84=0,0,(('Info Entrada'!J218+'Info Entrada'!J219)/('Info Entrada'!J89))*360),0)</f>
        <v>0</v>
      </c>
      <c r="H129" s="2872">
        <f>IFERROR(IF('Info Entrada'!K84=0,0,(('Info Entrada'!K218+'Info Entrada'!K219)/('Info Entrada'!K89))*360),0)</f>
        <v>0</v>
      </c>
      <c r="I129" s="2872">
        <f>IFERROR(IF('Info Entrada'!L84=0,0,(('Info Entrada'!L218+'Info Entrada'!L219)/('Info Entrada'!L89))*360),0)</f>
        <v>0</v>
      </c>
      <c r="J129" s="2872">
        <f>IFERROR(IF('Info Entrada'!M84=0,0,(('Info Entrada'!M218+'Info Entrada'!M219)/('Info Entrada'!M89))*360),0)</f>
        <v>0</v>
      </c>
      <c r="K129" s="2872">
        <f>IFERROR(IF('Info Entrada'!N84=0,0,(('Info Entrada'!N218+'Info Entrada'!N219)/('Info Entrada'!N89))*360),0)</f>
        <v>0</v>
      </c>
      <c r="L129" s="2872">
        <f>IFERROR(IF('Info Entrada'!O84=0,0,(('Info Entrada'!O218+'Info Entrada'!O219)/('Info Entrada'!O89))*360),0)</f>
        <v>0</v>
      </c>
      <c r="M129" s="2872">
        <f>IFERROR(IF('Info Entrada'!P84=0,0,(('Info Entrada'!P218+'Info Entrada'!P219)/('Info Entrada'!P89))*360),0)</f>
        <v>0</v>
      </c>
      <c r="N129" s="2872">
        <f>IFERROR(IF('Info Entrada'!Q84=0,0,(('Info Entrada'!Q218+'Info Entrada'!Q219)/('Info Entrada'!Q89))*360),0)</f>
        <v>0</v>
      </c>
      <c r="O129" s="2872">
        <f>IFERROR(IF('Info Entrada'!R84=0,0,(('Info Entrada'!R218+'Info Entrada'!R219)/('Info Entrada'!R89))*360),0)</f>
        <v>0</v>
      </c>
      <c r="P129" s="2872">
        <f>IFERROR(IF('Info Entrada'!S84=0,0,(('Info Entrada'!S218+'Info Entrada'!S219)/('Info Entrada'!S89))*360),0)</f>
        <v>0</v>
      </c>
      <c r="Q129" s="2872">
        <f>IFERROR(IF('Info Entrada'!T84=0,0,(('Info Entrada'!T218+'Info Entrada'!T219)/('Info Entrada'!T89))*360),0)</f>
        <v>0</v>
      </c>
      <c r="R129" s="2872">
        <f>IFERROR(IF('Info Entrada'!U84=0,0,(('Info Entrada'!U218+'Info Entrada'!U219)/('Info Entrada'!U89))*360),0)</f>
        <v>0</v>
      </c>
      <c r="S129" s="2872">
        <f>IFERROR(IF('Info Entrada'!V84=0,0,(('Info Entrada'!V218+'Info Entrada'!V219)/('Info Entrada'!V89))*360),0)</f>
        <v>0</v>
      </c>
      <c r="T129" s="2872">
        <f>IFERROR(IF('Info Entrada'!W84=0,0,(('Info Entrada'!W218+'Info Entrada'!W219)/('Info Entrada'!W89))*360),0)</f>
        <v>0</v>
      </c>
      <c r="U129" s="2872">
        <f>IFERROR((('Info Entrada'!F218+'Info Entrada'!F219)/('Info Entrada'!F89))*((360/12)*MONTH(U106)),0)</f>
        <v>0</v>
      </c>
      <c r="V129" s="2872">
        <f>IFERROR((('Info Entrada'!G218+'Info Entrada'!G219)/('Info Entrada'!G89))*((360/12)*MONTH(V106)),0)</f>
        <v>0</v>
      </c>
    </row>
    <row r="131" spans="1:22" x14ac:dyDescent="0.15">
      <c r="D131" s="2935"/>
    </row>
    <row r="134" spans="1:22" x14ac:dyDescent="0.15">
      <c r="A134" s="2778" t="s">
        <v>103</v>
      </c>
    </row>
    <row r="135" spans="1:22" x14ac:dyDescent="0.15">
      <c r="A135" s="2778" t="s">
        <v>104</v>
      </c>
    </row>
    <row r="141" spans="1:22" x14ac:dyDescent="0.15">
      <c r="B141" s="2874">
        <f t="shared" ref="B141:T141" si="68">MONTH(B12)</f>
        <v>12</v>
      </c>
      <c r="C141" s="2874">
        <f t="shared" si="68"/>
        <v>12</v>
      </c>
      <c r="D141" s="2874">
        <f t="shared" si="68"/>
        <v>12</v>
      </c>
      <c r="E141" s="2780">
        <f t="shared" si="68"/>
        <v>12</v>
      </c>
      <c r="F141" s="2874">
        <f t="shared" si="68"/>
        <v>12</v>
      </c>
      <c r="G141" s="2874">
        <f t="shared" si="68"/>
        <v>12</v>
      </c>
      <c r="H141" s="2874">
        <f t="shared" si="68"/>
        <v>12</v>
      </c>
      <c r="I141" s="2874">
        <f t="shared" si="68"/>
        <v>12</v>
      </c>
      <c r="J141" s="2874">
        <f t="shared" si="68"/>
        <v>12</v>
      </c>
      <c r="K141" s="2874">
        <f t="shared" si="68"/>
        <v>12</v>
      </c>
      <c r="L141" s="2874">
        <f t="shared" si="68"/>
        <v>12</v>
      </c>
      <c r="M141" s="2874">
        <f t="shared" si="68"/>
        <v>12</v>
      </c>
      <c r="N141" s="2874">
        <f t="shared" si="68"/>
        <v>12</v>
      </c>
      <c r="O141" s="2874">
        <f t="shared" si="68"/>
        <v>12</v>
      </c>
      <c r="P141" s="2874">
        <f t="shared" si="68"/>
        <v>12</v>
      </c>
      <c r="Q141" s="2874">
        <f t="shared" si="68"/>
        <v>12</v>
      </c>
      <c r="R141" s="2874">
        <f t="shared" si="68"/>
        <v>12</v>
      </c>
      <c r="S141" s="2874">
        <f t="shared" si="68"/>
        <v>12</v>
      </c>
      <c r="T141" s="2874">
        <f t="shared" si="68"/>
        <v>12</v>
      </c>
      <c r="U141" s="2874">
        <f>MONTH(U12)</f>
        <v>6</v>
      </c>
      <c r="V141" s="2874">
        <f>MONTH(V12)</f>
        <v>6</v>
      </c>
    </row>
  </sheetData>
  <phoneticPr fontId="0" type="noConversion"/>
  <conditionalFormatting sqref="F62:T63">
    <cfRule type="cellIs" dxfId="2" priority="4" operator="greaterThan">
      <formula>0</formula>
    </cfRule>
  </conditionalFormatting>
  <conditionalFormatting sqref="V62:V63">
    <cfRule type="cellIs" dxfId="1" priority="3" operator="greaterThan">
      <formula>0</formula>
    </cfRule>
  </conditionalFormatting>
  <conditionalFormatting sqref="E62:E63">
    <cfRule type="cellIs" dxfId="0" priority="2" operator="greaterThan">
      <formula>0</formula>
    </cfRule>
  </conditionalFormatting>
  <dataValidations disablePrompts="1" count="1">
    <dataValidation type="list" allowBlank="1" showInputMessage="1" showErrorMessage="1" sqref="F10">
      <formula1>Proyeccion</formula1>
    </dataValidation>
  </dataValidations>
  <printOptions horizontalCentered="1"/>
  <pageMargins left="0.11811023622047245" right="0.11811023622047245" top="0.11811023622047245" bottom="0.11811023622047245" header="0" footer="0"/>
  <pageSetup scale="90" orientation="portrait" r:id="rId1"/>
  <headerFooter alignWithMargins="0"/>
  <ignoredErrors>
    <ignoredError sqref="B34:V34 B4 B71:E71 B2" formula="1"/>
  </ignoredError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dimension ref="A1:M51"/>
  <sheetViews>
    <sheetView topLeftCell="A13" zoomScaleNormal="100" workbookViewId="0">
      <selection activeCell="D49" sqref="D49"/>
    </sheetView>
  </sheetViews>
  <sheetFormatPr baseColWidth="10" defaultRowHeight="11.25" x14ac:dyDescent="0.2"/>
  <cols>
    <col min="1" max="1" width="7" style="987" customWidth="1"/>
    <col min="2" max="2" width="11.42578125" style="987"/>
    <col min="3" max="3" width="12.28515625" style="987" customWidth="1"/>
    <col min="4" max="4" width="15.42578125" style="987" customWidth="1"/>
    <col min="5" max="5" width="12.5703125" style="987" customWidth="1"/>
    <col min="6" max="6" width="6.85546875" style="987" customWidth="1"/>
    <col min="7" max="7" width="6" style="987" customWidth="1"/>
    <col min="8" max="8" width="10.7109375" style="987" customWidth="1"/>
    <col min="9" max="16384" width="11.42578125" style="987"/>
  </cols>
  <sheetData>
    <row r="1" spans="1:13" ht="8.25" customHeight="1" x14ac:dyDescent="0.2"/>
    <row r="2" spans="1:13" ht="26.25" x14ac:dyDescent="0.4">
      <c r="A2" s="1045" t="s">
        <v>1475</v>
      </c>
      <c r="B2" s="1046"/>
      <c r="C2" s="1045"/>
      <c r="D2" s="1045"/>
      <c r="E2" s="1045"/>
      <c r="F2" s="1045"/>
      <c r="G2" s="3577">
        <f>+General!D6</f>
        <v>0</v>
      </c>
      <c r="H2" s="3577"/>
      <c r="I2" s="3577"/>
      <c r="J2" s="3577"/>
      <c r="K2" s="3577"/>
      <c r="L2" s="1045"/>
      <c r="M2" s="1047">
        <f>+AR!M78</f>
        <v>3.9000000000000004</v>
      </c>
    </row>
    <row r="3" spans="1:13" ht="21" customHeight="1" x14ac:dyDescent="0.2">
      <c r="M3" s="1048" t="s">
        <v>1476</v>
      </c>
    </row>
    <row r="4" spans="1:13" x14ac:dyDescent="0.2">
      <c r="A4" s="1049" t="s">
        <v>1477</v>
      </c>
      <c r="H4" s="1049" t="s">
        <v>1478</v>
      </c>
    </row>
    <row r="5" spans="1:13" s="1050" customFormat="1" x14ac:dyDescent="0.2">
      <c r="A5" s="987"/>
      <c r="B5" s="987"/>
      <c r="C5" s="987"/>
      <c r="D5" s="987"/>
      <c r="E5" s="987"/>
      <c r="F5" s="987"/>
      <c r="G5" s="987"/>
      <c r="H5" s="987"/>
      <c r="I5" s="987"/>
      <c r="J5" s="987"/>
      <c r="K5" s="987"/>
    </row>
    <row r="7" spans="1:13" x14ac:dyDescent="0.2">
      <c r="B7" s="1051">
        <f>+E49</f>
        <v>0</v>
      </c>
      <c r="D7" s="1052">
        <f>+E50</f>
        <v>0</v>
      </c>
      <c r="E7" s="1051">
        <f>+E51</f>
        <v>0</v>
      </c>
      <c r="G7" s="1053"/>
    </row>
    <row r="21" spans="3:13" ht="12" customHeight="1" x14ac:dyDescent="0.2">
      <c r="C21" s="3578" t="s">
        <v>1479</v>
      </c>
      <c r="D21" s="3578"/>
      <c r="E21" s="1054" t="e">
        <f>+E50/E49</f>
        <v>#DIV/0!</v>
      </c>
      <c r="F21" s="1054"/>
    </row>
    <row r="23" spans="3:13" x14ac:dyDescent="0.2">
      <c r="H23" s="1049" t="str">
        <f>+CONCATENATE("CIFIN (Deuda Global a ",TEXT(Cuadros!C2,"dd-mmm-yyyy"))</f>
        <v>CIFIN (Deuda Global a 31-dic-2011</v>
      </c>
    </row>
    <row r="25" spans="3:13" ht="12" customHeight="1" x14ac:dyDescent="0.2">
      <c r="G25" s="3579" t="s">
        <v>195</v>
      </c>
      <c r="H25" s="3579"/>
      <c r="I25" s="1055" t="s">
        <v>421</v>
      </c>
      <c r="J25" s="1055" t="s">
        <v>1465</v>
      </c>
      <c r="K25" s="1055" t="s">
        <v>536</v>
      </c>
      <c r="L25" s="1056" t="s">
        <v>1480</v>
      </c>
      <c r="M25" s="1092" t="s">
        <v>262</v>
      </c>
    </row>
    <row r="26" spans="3:13" ht="12" customHeight="1" x14ac:dyDescent="0.2">
      <c r="G26" s="3576">
        <f>+Cuadros!B4</f>
        <v>0</v>
      </c>
      <c r="H26" s="3576"/>
      <c r="I26" s="1020">
        <f>+Cuadros!C4</f>
        <v>0</v>
      </c>
      <c r="J26" s="1020">
        <f>+Cuadros!G4</f>
        <v>0</v>
      </c>
      <c r="K26" s="1071">
        <f>+Cuadros!I4</f>
        <v>0</v>
      </c>
      <c r="L26" s="1057">
        <f>+Cuadros!J4</f>
        <v>0</v>
      </c>
      <c r="M26" s="1089" t="e">
        <f>+J26/$J$37</f>
        <v>#DIV/0!</v>
      </c>
    </row>
    <row r="27" spans="3:13" ht="12" customHeight="1" x14ac:dyDescent="0.2">
      <c r="G27" s="3576">
        <f>+Cuadros!B5</f>
        <v>0</v>
      </c>
      <c r="H27" s="3576"/>
      <c r="I27" s="1020">
        <f>+Cuadros!C5</f>
        <v>0</v>
      </c>
      <c r="J27" s="1020">
        <f>+Cuadros!G5</f>
        <v>0</v>
      </c>
      <c r="K27" s="1071">
        <f>+Cuadros!I5</f>
        <v>0</v>
      </c>
      <c r="L27" s="1057">
        <f>+Cuadros!J5</f>
        <v>0</v>
      </c>
      <c r="M27" s="1089" t="e">
        <f t="shared" ref="M27:M37" si="0">+J27/$J$37</f>
        <v>#DIV/0!</v>
      </c>
    </row>
    <row r="28" spans="3:13" x14ac:dyDescent="0.2">
      <c r="G28" s="3576">
        <f>+Cuadros!B6</f>
        <v>0</v>
      </c>
      <c r="H28" s="3576"/>
      <c r="I28" s="1020">
        <f>+Cuadros!C6</f>
        <v>0</v>
      </c>
      <c r="J28" s="1020">
        <f>+Cuadros!G6</f>
        <v>0</v>
      </c>
      <c r="K28" s="1071">
        <f>+Cuadros!I6</f>
        <v>0</v>
      </c>
      <c r="L28" s="1057">
        <f>+Cuadros!J6</f>
        <v>0</v>
      </c>
      <c r="M28" s="1089" t="e">
        <f t="shared" si="0"/>
        <v>#DIV/0!</v>
      </c>
    </row>
    <row r="29" spans="3:13" x14ac:dyDescent="0.2">
      <c r="G29" s="3576">
        <f>+Cuadros!B7</f>
        <v>0</v>
      </c>
      <c r="H29" s="3576"/>
      <c r="I29" s="1020">
        <f>+Cuadros!C7</f>
        <v>0</v>
      </c>
      <c r="J29" s="1020">
        <f>+Cuadros!G7</f>
        <v>0</v>
      </c>
      <c r="K29" s="1071">
        <f>+Cuadros!I7</f>
        <v>0</v>
      </c>
      <c r="L29" s="1057">
        <f>+Cuadros!J7</f>
        <v>0</v>
      </c>
      <c r="M29" s="1089" t="e">
        <f t="shared" si="0"/>
        <v>#DIV/0!</v>
      </c>
    </row>
    <row r="30" spans="3:13" x14ac:dyDescent="0.2">
      <c r="G30" s="3576">
        <f>+Cuadros!B8</f>
        <v>0</v>
      </c>
      <c r="H30" s="3576"/>
      <c r="I30" s="1020">
        <f>+Cuadros!C8</f>
        <v>0</v>
      </c>
      <c r="J30" s="1020">
        <f>+Cuadros!G8</f>
        <v>0</v>
      </c>
      <c r="K30" s="1071">
        <f>+Cuadros!I8</f>
        <v>0</v>
      </c>
      <c r="L30" s="1057">
        <f>+Cuadros!J8</f>
        <v>0</v>
      </c>
      <c r="M30" s="1089" t="e">
        <f t="shared" si="0"/>
        <v>#DIV/0!</v>
      </c>
    </row>
    <row r="31" spans="3:13" x14ac:dyDescent="0.2">
      <c r="G31" s="3576">
        <f>+Cuadros!B9</f>
        <v>0</v>
      </c>
      <c r="H31" s="3576"/>
      <c r="I31" s="1020">
        <f>+Cuadros!C9</f>
        <v>0</v>
      </c>
      <c r="J31" s="1020">
        <f>+Cuadros!G9</f>
        <v>0</v>
      </c>
      <c r="K31" s="1071">
        <f>+Cuadros!I9</f>
        <v>0</v>
      </c>
      <c r="L31" s="1057">
        <f>+Cuadros!J9</f>
        <v>0</v>
      </c>
      <c r="M31" s="1089" t="e">
        <f t="shared" si="0"/>
        <v>#DIV/0!</v>
      </c>
    </row>
    <row r="32" spans="3:13" x14ac:dyDescent="0.2">
      <c r="G32" s="3576">
        <f>+Cuadros!B10</f>
        <v>0</v>
      </c>
      <c r="H32" s="3576"/>
      <c r="I32" s="1020">
        <f>+Cuadros!C10</f>
        <v>0</v>
      </c>
      <c r="J32" s="1020">
        <f>+Cuadros!G10</f>
        <v>0</v>
      </c>
      <c r="K32" s="1071">
        <f>+Cuadros!I10</f>
        <v>0</v>
      </c>
      <c r="L32" s="1057">
        <f>+Cuadros!J10</f>
        <v>0</v>
      </c>
      <c r="M32" s="1089" t="e">
        <f t="shared" si="0"/>
        <v>#DIV/0!</v>
      </c>
    </row>
    <row r="33" spans="1:13" x14ac:dyDescent="0.2">
      <c r="G33" s="3576">
        <f>+Cuadros!B11</f>
        <v>0</v>
      </c>
      <c r="H33" s="3576"/>
      <c r="I33" s="1020">
        <f>+Cuadros!C11</f>
        <v>0</v>
      </c>
      <c r="J33" s="1020">
        <f>+Cuadros!G11</f>
        <v>0</v>
      </c>
      <c r="K33" s="1071">
        <f>+Cuadros!I11</f>
        <v>0</v>
      </c>
      <c r="L33" s="1057">
        <f>+Cuadros!J11</f>
        <v>0</v>
      </c>
      <c r="M33" s="1089" t="e">
        <f t="shared" si="0"/>
        <v>#DIV/0!</v>
      </c>
    </row>
    <row r="34" spans="1:13" x14ac:dyDescent="0.2">
      <c r="G34" s="3576">
        <f>+Cuadros!B12</f>
        <v>0</v>
      </c>
      <c r="H34" s="3576"/>
      <c r="I34" s="1020">
        <f>+Cuadros!C12</f>
        <v>0</v>
      </c>
      <c r="J34" s="1020">
        <f>+Cuadros!G12</f>
        <v>0</v>
      </c>
      <c r="K34" s="1071">
        <f>+Cuadros!I12</f>
        <v>0</v>
      </c>
      <c r="L34" s="1057">
        <f>+Cuadros!J12</f>
        <v>0</v>
      </c>
      <c r="M34" s="1089" t="e">
        <f t="shared" si="0"/>
        <v>#DIV/0!</v>
      </c>
    </row>
    <row r="35" spans="1:13" x14ac:dyDescent="0.2">
      <c r="G35" s="3576">
        <f>+Cuadros!B13</f>
        <v>0</v>
      </c>
      <c r="H35" s="3576"/>
      <c r="I35" s="1020">
        <f>+Cuadros!C13</f>
        <v>0</v>
      </c>
      <c r="J35" s="1020">
        <f>+Cuadros!G13</f>
        <v>0</v>
      </c>
      <c r="K35" s="1071">
        <f>+Cuadros!I13</f>
        <v>0</v>
      </c>
      <c r="L35" s="1057">
        <f>+Cuadros!J13</f>
        <v>0</v>
      </c>
      <c r="M35" s="1089" t="e">
        <f t="shared" si="0"/>
        <v>#DIV/0!</v>
      </c>
    </row>
    <row r="36" spans="1:13" x14ac:dyDescent="0.2">
      <c r="G36" s="3580">
        <f>+Cuadros!B14</f>
        <v>0</v>
      </c>
      <c r="H36" s="3580"/>
      <c r="I36" s="1058">
        <f>+Cuadros!C14</f>
        <v>0</v>
      </c>
      <c r="J36" s="1058">
        <f>+Cuadros!G14</f>
        <v>0</v>
      </c>
      <c r="K36" s="1088">
        <f>+Cuadros!I14</f>
        <v>0</v>
      </c>
      <c r="L36" s="1059">
        <f>+Cuadros!J14</f>
        <v>0</v>
      </c>
      <c r="M36" s="1090" t="e">
        <f t="shared" si="0"/>
        <v>#DIV/0!</v>
      </c>
    </row>
    <row r="37" spans="1:13" x14ac:dyDescent="0.2">
      <c r="G37" s="3581" t="s">
        <v>203</v>
      </c>
      <c r="H37" s="3582"/>
      <c r="I37" s="1060">
        <f>SUM(I26:I36)</f>
        <v>0</v>
      </c>
      <c r="J37" s="1060">
        <f>SUM(J26:J36)</f>
        <v>0</v>
      </c>
      <c r="K37" s="1060"/>
      <c r="L37" s="1060"/>
      <c r="M37" s="1091" t="e">
        <f t="shared" si="0"/>
        <v>#DIV/0!</v>
      </c>
    </row>
    <row r="39" spans="1:13" ht="6.75" customHeight="1" x14ac:dyDescent="0.2">
      <c r="A39" s="1061"/>
      <c r="B39" s="1061"/>
      <c r="C39" s="1061"/>
      <c r="D39" s="1061"/>
      <c r="E39" s="1061"/>
      <c r="F39" s="1061"/>
      <c r="G39" s="1061"/>
      <c r="H39" s="1061"/>
      <c r="I39" s="1061"/>
      <c r="J39" s="1061"/>
      <c r="K39" s="1061"/>
      <c r="L39" s="1061"/>
      <c r="M39" s="1061"/>
    </row>
    <row r="41" spans="1:13" x14ac:dyDescent="0.2">
      <c r="B41" s="1049"/>
    </row>
    <row r="47" spans="1:13" x14ac:dyDescent="0.2">
      <c r="L47" s="1013"/>
    </row>
    <row r="48" spans="1:13" ht="22.5" x14ac:dyDescent="0.2">
      <c r="B48" s="1062"/>
      <c r="C48" s="1063" t="s">
        <v>1481</v>
      </c>
      <c r="D48" s="1063" t="s">
        <v>1482</v>
      </c>
      <c r="E48" s="1063" t="s">
        <v>1483</v>
      </c>
      <c r="F48" s="1064"/>
      <c r="I48" s="1062" t="s">
        <v>1478</v>
      </c>
      <c r="J48" s="1065" t="s">
        <v>1521</v>
      </c>
      <c r="K48" s="1065" t="s">
        <v>1484</v>
      </c>
      <c r="L48" s="1066"/>
    </row>
    <row r="49" spans="2:12" x14ac:dyDescent="0.2">
      <c r="B49" s="1100" t="str">
        <f>+AR!G27</f>
        <v>2011E</v>
      </c>
      <c r="C49" s="1068">
        <f>+AR!G28+AR!G30+AR!G31+AR!G32</f>
        <v>0</v>
      </c>
      <c r="D49" s="1068">
        <f>+AR!G29</f>
        <v>0</v>
      </c>
      <c r="E49" s="1068">
        <f>+D49+C49</f>
        <v>0</v>
      </c>
      <c r="F49" s="1069"/>
      <c r="I49" s="1067" t="s">
        <v>1485</v>
      </c>
      <c r="J49" s="1070">
        <f>+AR!M157</f>
        <v>0</v>
      </c>
      <c r="K49" s="1070">
        <f>+AR!M158</f>
        <v>0</v>
      </c>
      <c r="L49" s="1069"/>
    </row>
    <row r="50" spans="2:12" x14ac:dyDescent="0.2">
      <c r="B50" s="1100" t="str">
        <f>+AR!H27</f>
        <v>2011R</v>
      </c>
      <c r="C50" s="1068">
        <f>+AR!H28+AR!H30+AR!H31+AR!H32</f>
        <v>0</v>
      </c>
      <c r="D50" s="1068">
        <f>+AR!H29</f>
        <v>0</v>
      </c>
      <c r="E50" s="1068">
        <f>+D50+C50</f>
        <v>0</v>
      </c>
      <c r="F50" s="1069"/>
      <c r="I50" s="1067" t="s">
        <v>1486</v>
      </c>
      <c r="J50" s="1070">
        <f>+AR!M155</f>
        <v>0</v>
      </c>
      <c r="K50" s="1070">
        <f>+AR!M156</f>
        <v>0</v>
      </c>
      <c r="L50" s="1069"/>
    </row>
    <row r="51" spans="2:12" x14ac:dyDescent="0.2">
      <c r="B51" s="1071" t="str">
        <f>+AR!J27</f>
        <v>2012E</v>
      </c>
      <c r="C51" s="1068">
        <f>+AR!J28+AR!J30+AR!J31+AR!J32</f>
        <v>0</v>
      </c>
      <c r="D51" s="1068">
        <f>+AR!J29</f>
        <v>0</v>
      </c>
      <c r="E51" s="1068">
        <f>+D51+C51</f>
        <v>0</v>
      </c>
      <c r="F51" s="1069"/>
    </row>
  </sheetData>
  <mergeCells count="15">
    <mergeCell ref="G35:H35"/>
    <mergeCell ref="G36:H36"/>
    <mergeCell ref="G37:H37"/>
    <mergeCell ref="G29:H29"/>
    <mergeCell ref="G30:H30"/>
    <mergeCell ref="G31:H31"/>
    <mergeCell ref="G32:H32"/>
    <mergeCell ref="G33:H33"/>
    <mergeCell ref="G34:H34"/>
    <mergeCell ref="G28:H28"/>
    <mergeCell ref="G2:K2"/>
    <mergeCell ref="C21:D21"/>
    <mergeCell ref="G25:H25"/>
    <mergeCell ref="G26:H26"/>
    <mergeCell ref="G27:H27"/>
  </mergeCells>
  <pageMargins left="0.70866141732283472" right="0.70866141732283472" top="0.74803149606299213" bottom="0.74803149606299213" header="0.31496062992125984" footer="0.31496062992125984"/>
  <pageSetup orientation="landscape"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dimension ref="B2:L38"/>
  <sheetViews>
    <sheetView workbookViewId="0">
      <selection activeCell="J7" sqref="J7"/>
    </sheetView>
  </sheetViews>
  <sheetFormatPr baseColWidth="10" defaultRowHeight="11.25" x14ac:dyDescent="0.2"/>
  <cols>
    <col min="1" max="1" width="3.28515625" style="987" customWidth="1"/>
    <col min="2" max="2" width="3.7109375" style="987" customWidth="1"/>
    <col min="3" max="3" width="19.7109375" style="987" customWidth="1"/>
    <col min="4" max="5" width="9.85546875" style="987" customWidth="1"/>
    <col min="6" max="6" width="8.5703125" style="987" customWidth="1"/>
    <col min="7" max="7" width="19.85546875" style="987" customWidth="1"/>
    <col min="8" max="10" width="11.42578125" style="987"/>
    <col min="11" max="11" width="9" style="987" customWidth="1"/>
    <col min="12" max="16384" width="11.42578125" style="987"/>
  </cols>
  <sheetData>
    <row r="2" spans="2:12" ht="18" x14ac:dyDescent="0.25">
      <c r="B2" s="995" t="s">
        <v>1461</v>
      </c>
      <c r="C2" s="995"/>
      <c r="G2" s="3145">
        <f>+Rating!I2</f>
        <v>0</v>
      </c>
      <c r="H2" s="3145"/>
      <c r="I2" s="3145"/>
      <c r="J2" s="3145"/>
      <c r="L2" s="1021">
        <f>+Rating!N2</f>
        <v>3.9000000000000004</v>
      </c>
    </row>
    <row r="3" spans="2:12" ht="19.5" customHeight="1" x14ac:dyDescent="0.2">
      <c r="L3" s="985" t="s">
        <v>1435</v>
      </c>
    </row>
    <row r="4" spans="2:12" x14ac:dyDescent="0.2">
      <c r="D4" s="3585" t="s">
        <v>1462</v>
      </c>
      <c r="E4" s="3587" t="s">
        <v>1463</v>
      </c>
      <c r="F4" s="3587" t="s">
        <v>1464</v>
      </c>
      <c r="G4" s="3589" t="s">
        <v>1465</v>
      </c>
      <c r="H4" s="3590"/>
      <c r="I4" s="3590"/>
      <c r="J4" s="3590"/>
      <c r="K4" s="3587" t="s">
        <v>1466</v>
      </c>
    </row>
    <row r="5" spans="2:12" x14ac:dyDescent="0.2">
      <c r="B5" s="3591" t="s">
        <v>543</v>
      </c>
      <c r="C5" s="3591"/>
      <c r="D5" s="3586"/>
      <c r="E5" s="3588"/>
      <c r="F5" s="3588"/>
      <c r="G5" s="996" t="s">
        <v>1432</v>
      </c>
      <c r="H5" s="997" t="s">
        <v>1340</v>
      </c>
      <c r="I5" s="997" t="s">
        <v>1467</v>
      </c>
      <c r="J5" s="997" t="s">
        <v>1468</v>
      </c>
      <c r="K5" s="3588"/>
    </row>
    <row r="6" spans="2:12" x14ac:dyDescent="0.2">
      <c r="D6" s="998"/>
      <c r="E6" s="999"/>
      <c r="F6" s="999"/>
      <c r="G6" s="1000"/>
      <c r="H6" s="999"/>
      <c r="I6" s="1001"/>
      <c r="J6" s="1001"/>
      <c r="K6" s="1001"/>
    </row>
    <row r="7" spans="2:12" x14ac:dyDescent="0.2">
      <c r="B7" s="987">
        <f>+Posiciones!A10</f>
        <v>0</v>
      </c>
      <c r="D7" s="998"/>
      <c r="E7" s="999"/>
      <c r="F7" s="999">
        <f>+E7-D7</f>
        <v>0</v>
      </c>
      <c r="G7" s="1002" t="s">
        <v>1473</v>
      </c>
      <c r="H7" s="999"/>
      <c r="I7" s="1001"/>
      <c r="J7" s="1001"/>
      <c r="K7" s="1001"/>
    </row>
    <row r="8" spans="2:12" x14ac:dyDescent="0.2">
      <c r="D8" s="998"/>
      <c r="E8" s="999"/>
      <c r="F8" s="999"/>
      <c r="G8" s="1002" t="s">
        <v>412</v>
      </c>
      <c r="H8" s="999"/>
      <c r="I8" s="1001"/>
      <c r="J8" s="1001"/>
      <c r="K8" s="1001"/>
    </row>
    <row r="9" spans="2:12" x14ac:dyDescent="0.2">
      <c r="D9" s="998"/>
      <c r="E9" s="999"/>
      <c r="F9" s="999"/>
      <c r="G9" s="1002" t="s">
        <v>1474</v>
      </c>
      <c r="H9" s="999"/>
      <c r="I9" s="1001"/>
      <c r="J9" s="1001"/>
      <c r="K9" s="1001"/>
    </row>
    <row r="10" spans="2:12" s="988" customFormat="1" x14ac:dyDescent="0.2">
      <c r="B10" s="989" t="s">
        <v>203</v>
      </c>
      <c r="C10" s="989"/>
      <c r="D10" s="1003">
        <f>+D7</f>
        <v>0</v>
      </c>
      <c r="E10" s="1004">
        <f>+E7</f>
        <v>0</v>
      </c>
      <c r="F10" s="1004">
        <f>+E10-D10</f>
        <v>0</v>
      </c>
      <c r="G10" s="1005"/>
      <c r="H10" s="1004">
        <f>SUM(H7:H9)</f>
        <v>0</v>
      </c>
      <c r="I10" s="1006"/>
      <c r="J10" s="1006"/>
      <c r="K10" s="1007" t="e">
        <f>+H10/D10</f>
        <v>#DIV/0!</v>
      </c>
    </row>
    <row r="11" spans="2:12" x14ac:dyDescent="0.2">
      <c r="D11" s="998"/>
      <c r="E11" s="999"/>
      <c r="F11" s="999"/>
      <c r="G11" s="1002"/>
      <c r="H11" s="999"/>
      <c r="I11" s="1001"/>
      <c r="J11" s="1001"/>
      <c r="K11" s="1008"/>
    </row>
    <row r="12" spans="2:12" x14ac:dyDescent="0.2">
      <c r="B12" s="987" t="str">
        <f>+Posiciones!A20</f>
        <v>xxxx</v>
      </c>
      <c r="D12" s="998"/>
      <c r="E12" s="999"/>
      <c r="F12" s="999">
        <f>+E12-D12</f>
        <v>0</v>
      </c>
      <c r="G12" s="1002" t="s">
        <v>1473</v>
      </c>
      <c r="H12" s="999"/>
      <c r="I12" s="1001"/>
      <c r="J12" s="1001"/>
      <c r="K12" s="1008"/>
    </row>
    <row r="13" spans="2:12" x14ac:dyDescent="0.2">
      <c r="D13" s="998"/>
      <c r="E13" s="999"/>
      <c r="F13" s="999"/>
      <c r="G13" s="1002" t="s">
        <v>412</v>
      </c>
      <c r="H13" s="999"/>
      <c r="I13" s="1001"/>
      <c r="J13" s="1001"/>
      <c r="K13" s="1008"/>
    </row>
    <row r="14" spans="2:12" x14ac:dyDescent="0.2">
      <c r="D14" s="998"/>
      <c r="E14" s="999"/>
      <c r="F14" s="999"/>
      <c r="G14" s="1002" t="s">
        <v>1474</v>
      </c>
      <c r="H14" s="999"/>
      <c r="I14" s="1001"/>
      <c r="J14" s="1001"/>
      <c r="K14" s="1008"/>
    </row>
    <row r="15" spans="2:12" s="988" customFormat="1" x14ac:dyDescent="0.2">
      <c r="B15" s="989" t="s">
        <v>203</v>
      </c>
      <c r="C15" s="989"/>
      <c r="D15" s="1003">
        <f>+D12</f>
        <v>0</v>
      </c>
      <c r="E15" s="1004">
        <f>+E12</f>
        <v>0</v>
      </c>
      <c r="F15" s="1004">
        <f>+E15-D15</f>
        <v>0</v>
      </c>
      <c r="G15" s="1005"/>
      <c r="H15" s="1004">
        <f>SUM(H12:H14)</f>
        <v>0</v>
      </c>
      <c r="I15" s="1006"/>
      <c r="J15" s="1006"/>
      <c r="K15" s="1007" t="e">
        <f>+H15/D15</f>
        <v>#DIV/0!</v>
      </c>
    </row>
    <row r="16" spans="2:12" x14ac:dyDescent="0.2">
      <c r="D16" s="998"/>
      <c r="E16" s="999"/>
      <c r="F16" s="999"/>
      <c r="G16" s="1002"/>
      <c r="H16" s="999"/>
      <c r="I16" s="1001"/>
      <c r="J16" s="1001"/>
      <c r="K16" s="1008"/>
    </row>
    <row r="17" spans="2:11" x14ac:dyDescent="0.2">
      <c r="B17" s="987" t="str">
        <f>+Posiciones!A27</f>
        <v>xxxx</v>
      </c>
      <c r="D17" s="998"/>
      <c r="E17" s="999"/>
      <c r="F17" s="999">
        <f>+E17-D17</f>
        <v>0</v>
      </c>
      <c r="G17" s="1002" t="s">
        <v>1473</v>
      </c>
      <c r="H17" s="999"/>
      <c r="I17" s="1001"/>
      <c r="J17" s="1001"/>
      <c r="K17" s="1008"/>
    </row>
    <row r="18" spans="2:11" x14ac:dyDescent="0.2">
      <c r="D18" s="998"/>
      <c r="E18" s="999"/>
      <c r="F18" s="999"/>
      <c r="G18" s="1002" t="s">
        <v>412</v>
      </c>
      <c r="H18" s="999"/>
      <c r="I18" s="1001"/>
      <c r="J18" s="1001"/>
      <c r="K18" s="1008"/>
    </row>
    <row r="19" spans="2:11" x14ac:dyDescent="0.2">
      <c r="D19" s="998"/>
      <c r="E19" s="999"/>
      <c r="F19" s="999"/>
      <c r="G19" s="1002" t="s">
        <v>1474</v>
      </c>
      <c r="H19" s="999"/>
      <c r="I19" s="1001"/>
      <c r="J19" s="1001"/>
      <c r="K19" s="1008"/>
    </row>
    <row r="20" spans="2:11" s="988" customFormat="1" x14ac:dyDescent="0.2">
      <c r="B20" s="989" t="s">
        <v>203</v>
      </c>
      <c r="C20" s="989"/>
      <c r="D20" s="1003">
        <f>+D17</f>
        <v>0</v>
      </c>
      <c r="E20" s="1004">
        <f>+E17</f>
        <v>0</v>
      </c>
      <c r="F20" s="1004">
        <f>+E20-D20</f>
        <v>0</v>
      </c>
      <c r="G20" s="1005"/>
      <c r="H20" s="1004">
        <f>SUM(H17:H19)</f>
        <v>0</v>
      </c>
      <c r="I20" s="1006"/>
      <c r="J20" s="1006"/>
      <c r="K20" s="1007" t="e">
        <f>+H20/D20</f>
        <v>#DIV/0!</v>
      </c>
    </row>
    <row r="21" spans="2:11" s="988" customFormat="1" x14ac:dyDescent="0.2">
      <c r="D21" s="1009"/>
      <c r="E21" s="1010"/>
      <c r="F21" s="1010"/>
      <c r="G21" s="1011"/>
      <c r="H21" s="1010"/>
      <c r="I21" s="1012"/>
      <c r="J21" s="1012"/>
      <c r="K21" s="1008"/>
    </row>
    <row r="22" spans="2:11" x14ac:dyDescent="0.2">
      <c r="B22" s="987" t="str">
        <f>+Posiciones!A33</f>
        <v>xxxx</v>
      </c>
      <c r="D22" s="998"/>
      <c r="E22" s="999"/>
      <c r="F22" s="999">
        <f>+E22-D22</f>
        <v>0</v>
      </c>
      <c r="G22" s="1002" t="s">
        <v>1473</v>
      </c>
      <c r="H22" s="999"/>
      <c r="I22" s="1001"/>
      <c r="J22" s="1001"/>
      <c r="K22" s="1008"/>
    </row>
    <row r="23" spans="2:11" x14ac:dyDescent="0.2">
      <c r="D23" s="998"/>
      <c r="E23" s="999"/>
      <c r="F23" s="999"/>
      <c r="G23" s="1002" t="s">
        <v>412</v>
      </c>
      <c r="H23" s="999"/>
      <c r="I23" s="1001"/>
      <c r="J23" s="1001"/>
      <c r="K23" s="1008"/>
    </row>
    <row r="24" spans="2:11" x14ac:dyDescent="0.2">
      <c r="D24" s="998"/>
      <c r="E24" s="999"/>
      <c r="F24" s="999"/>
      <c r="G24" s="1002" t="s">
        <v>1474</v>
      </c>
      <c r="H24" s="999"/>
      <c r="I24" s="1001"/>
      <c r="J24" s="1001"/>
      <c r="K24" s="1008"/>
    </row>
    <row r="25" spans="2:11" s="988" customFormat="1" x14ac:dyDescent="0.2">
      <c r="B25" s="989" t="s">
        <v>203</v>
      </c>
      <c r="C25" s="989"/>
      <c r="D25" s="1003">
        <f>+D22</f>
        <v>0</v>
      </c>
      <c r="E25" s="1004">
        <f>+E22</f>
        <v>0</v>
      </c>
      <c r="F25" s="1004">
        <f>+E25-D25</f>
        <v>0</v>
      </c>
      <c r="G25" s="1005"/>
      <c r="H25" s="1004">
        <f>SUM(H22:H24)</f>
        <v>0</v>
      </c>
      <c r="I25" s="1006"/>
      <c r="J25" s="1006"/>
      <c r="K25" s="1007" t="e">
        <f>+H25/D25</f>
        <v>#DIV/0!</v>
      </c>
    </row>
    <row r="26" spans="2:11" s="988" customFormat="1" x14ac:dyDescent="0.2">
      <c r="D26" s="1009"/>
      <c r="E26" s="1010"/>
      <c r="F26" s="1010"/>
      <c r="G26" s="1011"/>
      <c r="H26" s="1010"/>
      <c r="I26" s="1012"/>
      <c r="J26" s="1012"/>
      <c r="K26" s="1008"/>
    </row>
    <row r="27" spans="2:11" x14ac:dyDescent="0.2">
      <c r="B27" s="987" t="str">
        <f>+Posiciones!A39</f>
        <v>xxxx</v>
      </c>
      <c r="D27" s="998"/>
      <c r="E27" s="999"/>
      <c r="F27" s="999">
        <f>+E27-D27</f>
        <v>0</v>
      </c>
      <c r="G27" s="1002" t="s">
        <v>1473</v>
      </c>
      <c r="H27" s="999"/>
      <c r="I27" s="1001"/>
      <c r="J27" s="1001"/>
      <c r="K27" s="1008"/>
    </row>
    <row r="28" spans="2:11" x14ac:dyDescent="0.2">
      <c r="D28" s="998"/>
      <c r="E28" s="999"/>
      <c r="F28" s="999"/>
      <c r="G28" s="1002" t="s">
        <v>412</v>
      </c>
      <c r="H28" s="999"/>
      <c r="I28" s="1001"/>
      <c r="J28" s="1001"/>
      <c r="K28" s="1008"/>
    </row>
    <row r="29" spans="2:11" x14ac:dyDescent="0.2">
      <c r="D29" s="998"/>
      <c r="E29" s="999"/>
      <c r="F29" s="999"/>
      <c r="G29" s="1002" t="s">
        <v>1474</v>
      </c>
      <c r="H29" s="999"/>
      <c r="I29" s="1001"/>
      <c r="J29" s="1001"/>
      <c r="K29" s="1008"/>
    </row>
    <row r="30" spans="2:11" s="988" customFormat="1" x14ac:dyDescent="0.2">
      <c r="B30" s="989" t="s">
        <v>203</v>
      </c>
      <c r="C30" s="989"/>
      <c r="D30" s="1003">
        <f>+D27</f>
        <v>0</v>
      </c>
      <c r="E30" s="1004">
        <f>+E27</f>
        <v>0</v>
      </c>
      <c r="F30" s="1004">
        <f>+E30-D30</f>
        <v>0</v>
      </c>
      <c r="G30" s="1005"/>
      <c r="H30" s="1004">
        <f>SUM(H27:H29)</f>
        <v>0</v>
      </c>
      <c r="I30" s="1006"/>
      <c r="J30" s="1006"/>
      <c r="K30" s="1007" t="e">
        <f>+H30/D30</f>
        <v>#DIV/0!</v>
      </c>
    </row>
    <row r="31" spans="2:11" ht="6" customHeight="1" x14ac:dyDescent="0.2">
      <c r="C31" s="1013"/>
      <c r="D31" s="1014"/>
      <c r="E31" s="1014"/>
      <c r="F31" s="1014"/>
      <c r="G31" s="1013"/>
      <c r="H31" s="1014"/>
      <c r="I31" s="1013"/>
      <c r="J31" s="1013"/>
      <c r="K31" s="1015"/>
    </row>
    <row r="32" spans="2:11" x14ac:dyDescent="0.2">
      <c r="B32" s="989" t="s">
        <v>1469</v>
      </c>
      <c r="C32" s="989" t="s">
        <v>1469</v>
      </c>
      <c r="D32" s="1016">
        <f>+D10+D15+D20+D25+D30</f>
        <v>0</v>
      </c>
      <c r="E32" s="1016">
        <f>+E10+E15+E20+E25+E30</f>
        <v>0</v>
      </c>
      <c r="F32" s="1016">
        <f>+F10+F15+F20+F25+F30</f>
        <v>0</v>
      </c>
      <c r="G32" s="1016"/>
      <c r="H32" s="1016">
        <f>+H10+H15+H20+H25+H30</f>
        <v>0</v>
      </c>
      <c r="I32" s="990"/>
      <c r="J32" s="990"/>
      <c r="K32" s="990"/>
    </row>
    <row r="34" spans="2:11" ht="12.75" x14ac:dyDescent="0.2">
      <c r="B34" s="1017" t="s">
        <v>1470</v>
      </c>
      <c r="C34" s="1017"/>
    </row>
    <row r="36" spans="2:11" x14ac:dyDescent="0.2">
      <c r="B36" s="994" t="s">
        <v>1458</v>
      </c>
      <c r="C36" s="3583"/>
      <c r="D36" s="3583"/>
      <c r="E36" s="3583"/>
      <c r="F36" s="3583"/>
      <c r="G36" s="3583"/>
      <c r="H36" s="3583"/>
      <c r="I36" s="3583"/>
      <c r="J36" s="3583"/>
      <c r="K36" s="3583"/>
    </row>
    <row r="37" spans="2:11" x14ac:dyDescent="0.2">
      <c r="B37" s="994" t="s">
        <v>1458</v>
      </c>
      <c r="C37" s="3584"/>
      <c r="D37" s="3584"/>
      <c r="E37" s="3584"/>
      <c r="F37" s="3584"/>
      <c r="G37" s="3584"/>
      <c r="H37" s="3584"/>
      <c r="I37" s="3584"/>
      <c r="J37" s="3584"/>
      <c r="K37" s="3584"/>
    </row>
    <row r="38" spans="2:11" x14ac:dyDescent="0.2">
      <c r="B38" s="994" t="s">
        <v>1458</v>
      </c>
      <c r="C38" s="3584"/>
      <c r="D38" s="3584"/>
      <c r="E38" s="3584"/>
      <c r="F38" s="3584"/>
      <c r="G38" s="3584"/>
      <c r="H38" s="3584"/>
      <c r="I38" s="3584"/>
      <c r="J38" s="3584"/>
      <c r="K38" s="3584"/>
    </row>
  </sheetData>
  <mergeCells count="10">
    <mergeCell ref="C36:K36"/>
    <mergeCell ref="C37:K37"/>
    <mergeCell ref="C38:K38"/>
    <mergeCell ref="G2:J2"/>
    <mergeCell ref="D4:D5"/>
    <mergeCell ref="E4:E5"/>
    <mergeCell ref="F4:F5"/>
    <mergeCell ref="G4:J4"/>
    <mergeCell ref="K4:K5"/>
    <mergeCell ref="B5:C5"/>
  </mergeCells>
  <pageMargins left="0.70866141732283472" right="0.70866141732283472" top="0.74803149606299213" bottom="0.74803149606299213" header="0.31496062992125984" footer="0.31496062992125984"/>
  <pageSetup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BE106"/>
  <sheetViews>
    <sheetView zoomScale="75" workbookViewId="0">
      <selection activeCell="H15" sqref="H15"/>
    </sheetView>
  </sheetViews>
  <sheetFormatPr baseColWidth="10" defaultColWidth="14.85546875" defaultRowHeight="15.75" x14ac:dyDescent="0.25"/>
  <cols>
    <col min="1" max="1" width="30.140625" style="439" customWidth="1"/>
    <col min="2" max="2" width="7.28515625" style="439" customWidth="1"/>
    <col min="3" max="3" width="12.7109375" style="439" customWidth="1"/>
    <col min="4" max="4" width="11.140625" style="439" customWidth="1"/>
    <col min="5" max="5" width="13.140625" style="439" customWidth="1"/>
    <col min="6" max="6" width="11.140625" style="439" customWidth="1"/>
    <col min="7" max="7" width="14.42578125" style="439" customWidth="1"/>
    <col min="8" max="8" width="11.140625" style="439" customWidth="1"/>
    <col min="9" max="9" width="13.7109375" style="439" bestFit="1" customWidth="1"/>
    <col min="10" max="10" width="11.140625" style="439" customWidth="1"/>
    <col min="11" max="11" width="13.7109375" style="439" bestFit="1" customWidth="1"/>
    <col min="12" max="12" width="11.140625" style="439" customWidth="1"/>
    <col min="13" max="13" width="13.7109375" style="439" bestFit="1" customWidth="1"/>
    <col min="14" max="14" width="11.140625" style="439" customWidth="1"/>
    <col min="15" max="15" width="10.42578125" style="439" customWidth="1"/>
    <col min="16" max="16" width="16.7109375" style="439" customWidth="1"/>
    <col min="17" max="17" width="12.5703125" style="439" customWidth="1"/>
    <col min="18" max="18" width="16.7109375" style="439" customWidth="1"/>
    <col min="19" max="19" width="12.5703125" style="439" customWidth="1"/>
    <col min="20" max="20" width="2.28515625" style="439" customWidth="1"/>
    <col min="21" max="21" width="14.42578125" style="439" customWidth="1"/>
    <col min="22" max="22" width="13.28515625" style="439" customWidth="1"/>
    <col min="23" max="16384" width="14.85546875" style="439"/>
  </cols>
  <sheetData>
    <row r="1" spans="1:22" ht="15.75" customHeight="1" thickTop="1" x14ac:dyDescent="0.25">
      <c r="A1" s="434" t="s">
        <v>404</v>
      </c>
      <c r="B1" s="435" t="e">
        <f>+#REF!</f>
        <v>#REF!</v>
      </c>
      <c r="C1" s="436"/>
      <c r="D1" s="437" t="s">
        <v>853</v>
      </c>
      <c r="E1" s="436" t="e">
        <f>+#REF!</f>
        <v>#REF!</v>
      </c>
      <c r="F1" s="436"/>
      <c r="G1" s="434" t="s">
        <v>854</v>
      </c>
      <c r="H1" s="434"/>
      <c r="I1" s="438"/>
      <c r="J1" s="438"/>
      <c r="K1" s="438"/>
      <c r="L1" s="438"/>
      <c r="M1" s="438"/>
      <c r="N1" s="438"/>
      <c r="O1" s="438"/>
      <c r="P1" s="438"/>
      <c r="Q1" s="438"/>
      <c r="R1" s="438"/>
      <c r="S1" s="438"/>
      <c r="T1" s="436"/>
      <c r="U1" s="436" t="s">
        <v>855</v>
      </c>
      <c r="V1" s="436"/>
    </row>
    <row r="2" spans="1:22" ht="15.75" customHeight="1" x14ac:dyDescent="0.25">
      <c r="A2" s="440" t="s">
        <v>106</v>
      </c>
      <c r="B2" s="441" t="e">
        <f>+#REF!</f>
        <v>#REF!</v>
      </c>
      <c r="C2" s="442"/>
      <c r="D2" s="443" t="s">
        <v>856</v>
      </c>
      <c r="E2" s="442" t="e">
        <f>+#REF!</f>
        <v>#REF!</v>
      </c>
      <c r="F2" s="442"/>
      <c r="G2" s="440" t="s">
        <v>857</v>
      </c>
      <c r="H2" s="440" t="e">
        <f>+#REF!</f>
        <v>#REF!</v>
      </c>
      <c r="I2" s="444"/>
      <c r="J2" s="444"/>
      <c r="K2" s="444"/>
      <c r="L2" s="444"/>
      <c r="M2" s="444"/>
      <c r="N2" s="444"/>
      <c r="O2" s="444"/>
      <c r="P2" s="444"/>
      <c r="Q2" s="444"/>
      <c r="R2" s="444"/>
      <c r="S2" s="444"/>
      <c r="T2" s="445"/>
      <c r="U2" s="442">
        <f>+General!D21</f>
        <v>0</v>
      </c>
      <c r="V2" s="444"/>
    </row>
    <row r="3" spans="1:22" ht="15.75" customHeight="1" thickBot="1" x14ac:dyDescent="0.3">
      <c r="A3" s="446" t="s">
        <v>858</v>
      </c>
      <c r="B3" s="447" t="e">
        <f>+#REF!</f>
        <v>#REF!</v>
      </c>
      <c r="C3" s="448"/>
      <c r="D3" s="448" t="s">
        <v>859</v>
      </c>
      <c r="E3" s="448"/>
      <c r="F3" s="448"/>
      <c r="G3" s="449" t="s">
        <v>860</v>
      </c>
      <c r="H3" s="449" t="e">
        <f>+#REF!</f>
        <v>#REF!</v>
      </c>
      <c r="I3" s="450"/>
      <c r="J3" s="450"/>
      <c r="K3" s="450"/>
      <c r="L3" s="450"/>
      <c r="M3" s="450"/>
      <c r="N3" s="450"/>
      <c r="O3" s="450"/>
      <c r="P3" s="450"/>
      <c r="Q3" s="450"/>
      <c r="R3" s="450"/>
      <c r="S3" s="450"/>
      <c r="T3" s="448"/>
      <c r="U3" s="451" t="s">
        <v>861</v>
      </c>
      <c r="V3" s="451" t="e">
        <f>+#REF!</f>
        <v>#REF!</v>
      </c>
    </row>
    <row r="4" spans="1:22" ht="15.75" customHeight="1" thickTop="1" x14ac:dyDescent="0.25">
      <c r="A4" s="452"/>
      <c r="B4" s="452"/>
      <c r="C4" s="452"/>
      <c r="D4" s="452"/>
      <c r="E4" s="452"/>
      <c r="F4" s="452"/>
      <c r="G4" s="452"/>
      <c r="H4" s="452"/>
      <c r="I4" s="453"/>
      <c r="J4" s="453"/>
      <c r="K4" s="453"/>
      <c r="L4" s="453"/>
      <c r="M4" s="453"/>
      <c r="N4" s="453"/>
      <c r="O4" s="453"/>
      <c r="P4" s="453"/>
      <c r="Q4" s="453"/>
      <c r="R4" s="453"/>
      <c r="S4" s="453"/>
      <c r="T4" s="454"/>
      <c r="U4" s="454"/>
      <c r="V4" s="454"/>
    </row>
    <row r="5" spans="1:22" ht="15.75" customHeight="1" x14ac:dyDescent="0.25">
      <c r="A5" s="455" t="s">
        <v>303</v>
      </c>
      <c r="B5" s="456"/>
      <c r="C5" s="457">
        <f>+'Resumen EEFF'!B12</f>
        <v>42735</v>
      </c>
      <c r="D5" s="457" t="s">
        <v>262</v>
      </c>
      <c r="E5" s="457">
        <f>+'Resumen EEFF'!C12</f>
        <v>43100</v>
      </c>
      <c r="F5" s="457" t="s">
        <v>262</v>
      </c>
      <c r="G5" s="457">
        <f>+'Resumen EEFF'!D12</f>
        <v>43465</v>
      </c>
      <c r="H5" s="594" t="s">
        <v>262</v>
      </c>
      <c r="I5" s="599">
        <f>IF('Resumen EEFF'!$F$10="SI",'Resumen EEFF'!E12,0)</f>
        <v>43830</v>
      </c>
      <c r="J5" s="598" t="s">
        <v>262</v>
      </c>
      <c r="K5" s="599">
        <f>IF('Resumen EEFF'!$F$10="SI",'Resumen EEFF'!F12,0)</f>
        <v>44196</v>
      </c>
      <c r="L5" s="595" t="s">
        <v>262</v>
      </c>
      <c r="M5" s="599">
        <f>IF('Resumen EEFF'!$F$10="SI",'Resumen EEFF'!G12,0)</f>
        <v>44561</v>
      </c>
      <c r="N5" s="457" t="s">
        <v>262</v>
      </c>
      <c r="O5" s="458"/>
      <c r="P5" s="457">
        <f>+'Resumen EEFF'!U12</f>
        <v>43281</v>
      </c>
      <c r="Q5" s="457" t="s">
        <v>262</v>
      </c>
      <c r="R5" s="457">
        <f>+'Resumen EEFF'!V12</f>
        <v>43646</v>
      </c>
      <c r="S5" s="457" t="s">
        <v>262</v>
      </c>
      <c r="T5" s="459"/>
      <c r="U5" s="460" t="s">
        <v>888</v>
      </c>
      <c r="V5" s="460" t="s">
        <v>889</v>
      </c>
    </row>
    <row r="6" spans="1:22" ht="15.75" customHeight="1" x14ac:dyDescent="0.25">
      <c r="A6" s="461" t="s">
        <v>1099</v>
      </c>
      <c r="B6" s="462"/>
      <c r="C6" s="500">
        <f>+'Resumen EEFF'!B75</f>
        <v>0</v>
      </c>
      <c r="D6" s="463" t="e">
        <f t="shared" ref="D6:D16" si="0">+(C6/$C$17)*100</f>
        <v>#DIV/0!</v>
      </c>
      <c r="E6" s="500">
        <f>+'Resumen EEFF'!C75</f>
        <v>0</v>
      </c>
      <c r="F6" s="463" t="e">
        <f t="shared" ref="F6:F16" si="1">+(E6/$E$17)*100</f>
        <v>#DIV/0!</v>
      </c>
      <c r="G6" s="500">
        <f>+'Resumen EEFF'!D75</f>
        <v>0</v>
      </c>
      <c r="H6" s="463" t="e">
        <f t="shared" ref="H6:H16" si="2">+(G6/$G$17)*100</f>
        <v>#DIV/0!</v>
      </c>
      <c r="I6" s="596">
        <f ca="1">IF('Resumen EEFF'!$F$10="SI",'Resumen EEFF'!E75,0)</f>
        <v>0</v>
      </c>
      <c r="J6" s="463" t="e">
        <f t="shared" ref="J6:J17" ca="1" si="3">+(I6/$I$17)*100</f>
        <v>#DIV/0!</v>
      </c>
      <c r="K6" s="596">
        <f ca="1">IF('Resumen EEFF'!$F$10="SI",'Resumen EEFF'!F75,0)</f>
        <v>0</v>
      </c>
      <c r="L6" s="463" t="e">
        <f ca="1">+(K6/$K$17)*100</f>
        <v>#DIV/0!</v>
      </c>
      <c r="M6" s="596">
        <f ca="1">IF('Resumen EEFF'!$F$10="SI",'Resumen EEFF'!G75,0)</f>
        <v>0</v>
      </c>
      <c r="N6" s="463" t="e">
        <f ca="1">+(M6/$M$17)*100</f>
        <v>#DIV/0!</v>
      </c>
      <c r="O6" s="464"/>
      <c r="P6" s="500">
        <f>+'Resumen EEFF'!U75</f>
        <v>0</v>
      </c>
      <c r="Q6" s="463" t="e">
        <f t="shared" ref="Q6:Q16" si="4">+(P6/$P$17)*100</f>
        <v>#DIV/0!</v>
      </c>
      <c r="R6" s="500">
        <f>+'Resumen EEFF'!V75</f>
        <v>0</v>
      </c>
      <c r="S6" s="463" t="e">
        <f t="shared" ref="S6:S16" si="5">+(R6/$R$17)*100</f>
        <v>#DIV/0!</v>
      </c>
      <c r="T6" s="465"/>
      <c r="U6" s="463" t="e">
        <f>+(E6-C6)/C6</f>
        <v>#DIV/0!</v>
      </c>
      <c r="V6" s="463" t="e">
        <f>+(G6-E6)/E6</f>
        <v>#DIV/0!</v>
      </c>
    </row>
    <row r="7" spans="1:22" ht="15.75" customHeight="1" x14ac:dyDescent="0.25">
      <c r="A7" s="461" t="s">
        <v>1100</v>
      </c>
      <c r="B7" s="462"/>
      <c r="C7" s="500">
        <f>+'Resumen EEFF'!B76</f>
        <v>0</v>
      </c>
      <c r="D7" s="463" t="e">
        <f t="shared" si="0"/>
        <v>#DIV/0!</v>
      </c>
      <c r="E7" s="500">
        <f>+'Resumen EEFF'!C76</f>
        <v>0</v>
      </c>
      <c r="F7" s="463" t="e">
        <f t="shared" si="1"/>
        <v>#DIV/0!</v>
      </c>
      <c r="G7" s="500">
        <f>+'Resumen EEFF'!D76</f>
        <v>0</v>
      </c>
      <c r="H7" s="463" t="e">
        <f t="shared" si="2"/>
        <v>#DIV/0!</v>
      </c>
      <c r="I7" s="596">
        <f>IF('Resumen EEFF'!$F$10="SI",'Resumen EEFF'!E76,0)</f>
        <v>0</v>
      </c>
      <c r="J7" s="463" t="e">
        <f t="shared" ca="1" si="3"/>
        <v>#DIV/0!</v>
      </c>
      <c r="K7" s="596">
        <f>IF('Resumen EEFF'!$F$10="SI",'Resumen EEFF'!F76,0)</f>
        <v>0</v>
      </c>
      <c r="L7" s="463" t="e">
        <f t="shared" ref="L7:L17" ca="1" si="6">+(K7/$K$17)*100</f>
        <v>#DIV/0!</v>
      </c>
      <c r="M7" s="596">
        <f>IF('Resumen EEFF'!$F$10="SI",'Resumen EEFF'!G76,0)</f>
        <v>0</v>
      </c>
      <c r="N7" s="463" t="e">
        <f t="shared" ref="N7:N17" ca="1" si="7">+(M7/$M$17)*100</f>
        <v>#DIV/0!</v>
      </c>
      <c r="O7" s="464"/>
      <c r="P7" s="500">
        <f>+'Resumen EEFF'!U76</f>
        <v>0</v>
      </c>
      <c r="Q7" s="463" t="e">
        <f t="shared" si="4"/>
        <v>#DIV/0!</v>
      </c>
      <c r="R7" s="500">
        <f>+'Resumen EEFF'!V76</f>
        <v>0</v>
      </c>
      <c r="S7" s="463" t="e">
        <f t="shared" si="5"/>
        <v>#DIV/0!</v>
      </c>
      <c r="T7" s="465"/>
      <c r="U7" s="463" t="e">
        <f t="shared" ref="U7:U17" si="8">+(E7-C7)/C7</f>
        <v>#DIV/0!</v>
      </c>
      <c r="V7" s="463" t="e">
        <f t="shared" ref="V7:V17" si="9">+(G7-E7)/E7</f>
        <v>#DIV/0!</v>
      </c>
    </row>
    <row r="8" spans="1:22" ht="15.75" customHeight="1" x14ac:dyDescent="0.25">
      <c r="A8" s="461" t="s">
        <v>1101</v>
      </c>
      <c r="B8" s="462"/>
      <c r="C8" s="500">
        <f>+'Resumen EEFF'!B77</f>
        <v>0</v>
      </c>
      <c r="D8" s="463" t="e">
        <f t="shared" si="0"/>
        <v>#DIV/0!</v>
      </c>
      <c r="E8" s="500">
        <f>+'Resumen EEFF'!C77</f>
        <v>0</v>
      </c>
      <c r="F8" s="463" t="e">
        <f t="shared" si="1"/>
        <v>#DIV/0!</v>
      </c>
      <c r="G8" s="500">
        <f>+'Resumen EEFF'!D77</f>
        <v>0</v>
      </c>
      <c r="H8" s="463" t="e">
        <f t="shared" si="2"/>
        <v>#DIV/0!</v>
      </c>
      <c r="I8" s="596">
        <f>IF('Resumen EEFF'!$F$10="SI",'Resumen EEFF'!E77,0)</f>
        <v>0</v>
      </c>
      <c r="J8" s="463" t="e">
        <f t="shared" ca="1" si="3"/>
        <v>#DIV/0!</v>
      </c>
      <c r="K8" s="596">
        <f>IF('Resumen EEFF'!$F$10="SI",'Resumen EEFF'!F77,0)</f>
        <v>0</v>
      </c>
      <c r="L8" s="463" t="e">
        <f t="shared" ca="1" si="6"/>
        <v>#DIV/0!</v>
      </c>
      <c r="M8" s="596">
        <f>IF('Resumen EEFF'!$F$10="SI",'Resumen EEFF'!G77,0)</f>
        <v>0</v>
      </c>
      <c r="N8" s="463" t="e">
        <f t="shared" ca="1" si="7"/>
        <v>#DIV/0!</v>
      </c>
      <c r="O8" s="464"/>
      <c r="P8" s="500">
        <f>+'Resumen EEFF'!U77</f>
        <v>0</v>
      </c>
      <c r="Q8" s="463" t="e">
        <f t="shared" si="4"/>
        <v>#DIV/0!</v>
      </c>
      <c r="R8" s="500">
        <f>+'Resumen EEFF'!V77</f>
        <v>0</v>
      </c>
      <c r="S8" s="463" t="e">
        <f t="shared" si="5"/>
        <v>#DIV/0!</v>
      </c>
      <c r="T8" s="465"/>
      <c r="U8" s="463" t="e">
        <f t="shared" si="8"/>
        <v>#DIV/0!</v>
      </c>
      <c r="V8" s="463" t="e">
        <f t="shared" si="9"/>
        <v>#DIV/0!</v>
      </c>
    </row>
    <row r="9" spans="1:22" ht="15.75" customHeight="1" x14ac:dyDescent="0.25">
      <c r="A9" s="461" t="s">
        <v>1102</v>
      </c>
      <c r="B9" s="462"/>
      <c r="C9" s="500">
        <f>+'Resumen EEFF'!B78</f>
        <v>0</v>
      </c>
      <c r="D9" s="463" t="e">
        <f t="shared" si="0"/>
        <v>#DIV/0!</v>
      </c>
      <c r="E9" s="500">
        <f>+'Resumen EEFF'!C78</f>
        <v>0</v>
      </c>
      <c r="F9" s="463" t="e">
        <f t="shared" si="1"/>
        <v>#DIV/0!</v>
      </c>
      <c r="G9" s="500">
        <f>+'Resumen EEFF'!D78</f>
        <v>0</v>
      </c>
      <c r="H9" s="463" t="e">
        <f t="shared" si="2"/>
        <v>#DIV/0!</v>
      </c>
      <c r="I9" s="596">
        <f>IF('Resumen EEFF'!$F$10="SI",'Resumen EEFF'!E78,0)</f>
        <v>0</v>
      </c>
      <c r="J9" s="463" t="e">
        <f t="shared" ca="1" si="3"/>
        <v>#DIV/0!</v>
      </c>
      <c r="K9" s="596">
        <f>IF('Resumen EEFF'!$F$10="SI",'Resumen EEFF'!F78,0)</f>
        <v>0</v>
      </c>
      <c r="L9" s="463" t="e">
        <f t="shared" ca="1" si="6"/>
        <v>#DIV/0!</v>
      </c>
      <c r="M9" s="596">
        <f>IF('Resumen EEFF'!$F$10="SI",'Resumen EEFF'!G78,0)</f>
        <v>0</v>
      </c>
      <c r="N9" s="463" t="e">
        <f t="shared" ca="1" si="7"/>
        <v>#DIV/0!</v>
      </c>
      <c r="O9" s="464"/>
      <c r="P9" s="500">
        <f>+'Resumen EEFF'!U78</f>
        <v>0</v>
      </c>
      <c r="Q9" s="463" t="e">
        <f t="shared" si="4"/>
        <v>#DIV/0!</v>
      </c>
      <c r="R9" s="500">
        <f>+'Resumen EEFF'!V78</f>
        <v>0</v>
      </c>
      <c r="S9" s="463" t="e">
        <f t="shared" si="5"/>
        <v>#DIV/0!</v>
      </c>
      <c r="T9" s="465"/>
      <c r="U9" s="463" t="e">
        <f t="shared" si="8"/>
        <v>#DIV/0!</v>
      </c>
      <c r="V9" s="463" t="e">
        <f t="shared" si="9"/>
        <v>#DIV/0!</v>
      </c>
    </row>
    <row r="10" spans="1:22" ht="15.75" customHeight="1" x14ac:dyDescent="0.25">
      <c r="A10" s="461" t="s">
        <v>288</v>
      </c>
      <c r="B10" s="466"/>
      <c r="C10" s="500">
        <f>+'Resumen EEFF'!B79</f>
        <v>0</v>
      </c>
      <c r="D10" s="463" t="e">
        <f t="shared" si="0"/>
        <v>#DIV/0!</v>
      </c>
      <c r="E10" s="500">
        <f>+'Resumen EEFF'!C79</f>
        <v>0</v>
      </c>
      <c r="F10" s="463" t="e">
        <f t="shared" si="1"/>
        <v>#DIV/0!</v>
      </c>
      <c r="G10" s="500">
        <f>+'Resumen EEFF'!D79</f>
        <v>0</v>
      </c>
      <c r="H10" s="463" t="e">
        <f t="shared" si="2"/>
        <v>#DIV/0!</v>
      </c>
      <c r="I10" s="596">
        <f>IF('Resumen EEFF'!$F$10="SI",'Resumen EEFF'!E79,0)</f>
        <v>0</v>
      </c>
      <c r="J10" s="463" t="e">
        <f t="shared" ca="1" si="3"/>
        <v>#DIV/0!</v>
      </c>
      <c r="K10" s="596">
        <f>IF('Resumen EEFF'!$F$10="SI",'Resumen EEFF'!F79,0)</f>
        <v>0</v>
      </c>
      <c r="L10" s="463" t="e">
        <f t="shared" ca="1" si="6"/>
        <v>#DIV/0!</v>
      </c>
      <c r="M10" s="596">
        <f>IF('Resumen EEFF'!$F$10="SI",'Resumen EEFF'!G79,0)</f>
        <v>0</v>
      </c>
      <c r="N10" s="463" t="e">
        <f t="shared" ca="1" si="7"/>
        <v>#DIV/0!</v>
      </c>
      <c r="O10" s="464"/>
      <c r="P10" s="500">
        <f>+'Resumen EEFF'!U79</f>
        <v>0</v>
      </c>
      <c r="Q10" s="463" t="e">
        <f t="shared" si="4"/>
        <v>#DIV/0!</v>
      </c>
      <c r="R10" s="500">
        <f>+'Resumen EEFF'!V79</f>
        <v>0</v>
      </c>
      <c r="S10" s="463" t="e">
        <f t="shared" si="5"/>
        <v>#DIV/0!</v>
      </c>
      <c r="T10" s="465"/>
      <c r="U10" s="463" t="e">
        <f t="shared" si="8"/>
        <v>#DIV/0!</v>
      </c>
      <c r="V10" s="463" t="e">
        <f t="shared" si="9"/>
        <v>#DIV/0!</v>
      </c>
    </row>
    <row r="11" spans="1:22" ht="15.75" customHeight="1" x14ac:dyDescent="0.25">
      <c r="A11" s="455" t="s">
        <v>862</v>
      </c>
      <c r="B11" s="456"/>
      <c r="C11" s="467">
        <f>SUM(C6:C10)</f>
        <v>0</v>
      </c>
      <c r="D11" s="467" t="e">
        <f t="shared" si="0"/>
        <v>#DIV/0!</v>
      </c>
      <c r="E11" s="467">
        <f>SUM(E6:E10)</f>
        <v>0</v>
      </c>
      <c r="F11" s="467" t="e">
        <f t="shared" si="1"/>
        <v>#DIV/0!</v>
      </c>
      <c r="G11" s="467">
        <f>SUM(G6:G10)</f>
        <v>0</v>
      </c>
      <c r="H11" s="467" t="e">
        <f t="shared" si="2"/>
        <v>#DIV/0!</v>
      </c>
      <c r="I11" s="467">
        <f ca="1">SUM(I6:I10)</f>
        <v>0</v>
      </c>
      <c r="J11" s="467" t="e">
        <f t="shared" ca="1" si="3"/>
        <v>#DIV/0!</v>
      </c>
      <c r="K11" s="467">
        <f ca="1">SUM(K6:K10)</f>
        <v>0</v>
      </c>
      <c r="L11" s="467" t="e">
        <f t="shared" ca="1" si="6"/>
        <v>#DIV/0!</v>
      </c>
      <c r="M11" s="467">
        <f ca="1">SUM(M6:M10)</f>
        <v>0</v>
      </c>
      <c r="N11" s="467" t="e">
        <f t="shared" ca="1" si="7"/>
        <v>#DIV/0!</v>
      </c>
      <c r="O11" s="468"/>
      <c r="P11" s="467">
        <f>SUM(P6:P10)</f>
        <v>0</v>
      </c>
      <c r="Q11" s="467" t="e">
        <f t="shared" si="4"/>
        <v>#DIV/0!</v>
      </c>
      <c r="R11" s="467">
        <f>SUM(R6:R10)</f>
        <v>0</v>
      </c>
      <c r="S11" s="467" t="e">
        <f t="shared" si="5"/>
        <v>#DIV/0!</v>
      </c>
      <c r="T11" s="459"/>
      <c r="U11" s="467" t="e">
        <f t="shared" si="8"/>
        <v>#DIV/0!</v>
      </c>
      <c r="V11" s="467" t="e">
        <f t="shared" si="9"/>
        <v>#DIV/0!</v>
      </c>
    </row>
    <row r="12" spans="1:22" ht="15.75" customHeight="1" x14ac:dyDescent="0.25">
      <c r="A12" s="470" t="s">
        <v>1103</v>
      </c>
      <c r="B12" s="462"/>
      <c r="C12" s="500">
        <f>+'Resumen EEFF'!B81</f>
        <v>0</v>
      </c>
      <c r="D12" s="463" t="e">
        <f t="shared" si="0"/>
        <v>#DIV/0!</v>
      </c>
      <c r="E12" s="500">
        <f>+'Resumen EEFF'!C81</f>
        <v>0</v>
      </c>
      <c r="F12" s="463" t="e">
        <f t="shared" si="1"/>
        <v>#DIV/0!</v>
      </c>
      <c r="G12" s="500">
        <f>+'Resumen EEFF'!D81</f>
        <v>0</v>
      </c>
      <c r="H12" s="463" t="e">
        <f t="shared" si="2"/>
        <v>#DIV/0!</v>
      </c>
      <c r="I12" s="596">
        <f ca="1">IF('Resumen EEFF'!$F$10="SI",'Resumen EEFF'!E81,0)</f>
        <v>0</v>
      </c>
      <c r="J12" s="463" t="e">
        <f t="shared" ca="1" si="3"/>
        <v>#DIV/0!</v>
      </c>
      <c r="K12" s="596">
        <f ca="1">IF('Resumen EEFF'!$F$10="SI",'Resumen EEFF'!F81,0)</f>
        <v>0</v>
      </c>
      <c r="L12" s="463" t="e">
        <f t="shared" ca="1" si="6"/>
        <v>#DIV/0!</v>
      </c>
      <c r="M12" s="596">
        <f ca="1">IF('Resumen EEFF'!$F$10="SI",'Resumen EEFF'!G81,0)</f>
        <v>0</v>
      </c>
      <c r="N12" s="463" t="e">
        <f t="shared" ca="1" si="7"/>
        <v>#DIV/0!</v>
      </c>
      <c r="O12" s="464"/>
      <c r="P12" s="500">
        <f>+'Resumen EEFF'!U81</f>
        <v>0</v>
      </c>
      <c r="Q12" s="463" t="e">
        <f t="shared" si="4"/>
        <v>#DIV/0!</v>
      </c>
      <c r="R12" s="500">
        <f>+'Resumen EEFF'!V81</f>
        <v>0</v>
      </c>
      <c r="S12" s="463" t="e">
        <f t="shared" si="5"/>
        <v>#DIV/0!</v>
      </c>
      <c r="T12" s="465"/>
      <c r="U12" s="463" t="e">
        <f t="shared" si="8"/>
        <v>#DIV/0!</v>
      </c>
      <c r="V12" s="463" t="e">
        <f t="shared" si="9"/>
        <v>#DIV/0!</v>
      </c>
    </row>
    <row r="13" spans="1:22" ht="15.75" customHeight="1" x14ac:dyDescent="0.25">
      <c r="A13" s="461" t="s">
        <v>1104</v>
      </c>
      <c r="B13" s="462"/>
      <c r="C13" s="500">
        <f>+'Resumen EEFF'!B82</f>
        <v>0</v>
      </c>
      <c r="D13" s="463" t="e">
        <f t="shared" si="0"/>
        <v>#DIV/0!</v>
      </c>
      <c r="E13" s="500">
        <f>+'Resumen EEFF'!C82</f>
        <v>0</v>
      </c>
      <c r="F13" s="463" t="e">
        <f t="shared" si="1"/>
        <v>#DIV/0!</v>
      </c>
      <c r="G13" s="500">
        <f>+'Resumen EEFF'!D82</f>
        <v>0</v>
      </c>
      <c r="H13" s="463" t="e">
        <f t="shared" si="2"/>
        <v>#DIV/0!</v>
      </c>
      <c r="I13" s="596">
        <f ca="1">IF('Resumen EEFF'!$F$10="SI",'Resumen EEFF'!E82,0)</f>
        <v>0</v>
      </c>
      <c r="J13" s="463" t="e">
        <f t="shared" ca="1" si="3"/>
        <v>#DIV/0!</v>
      </c>
      <c r="K13" s="596">
        <f ca="1">IF('Resumen EEFF'!$F$10="SI",'Resumen EEFF'!F82,0)</f>
        <v>0</v>
      </c>
      <c r="L13" s="463" t="e">
        <f t="shared" ca="1" si="6"/>
        <v>#DIV/0!</v>
      </c>
      <c r="M13" s="596">
        <f ca="1">IF('Resumen EEFF'!$F$10="SI",'Resumen EEFF'!G82,0)</f>
        <v>0</v>
      </c>
      <c r="N13" s="463" t="e">
        <f t="shared" ca="1" si="7"/>
        <v>#DIV/0!</v>
      </c>
      <c r="O13" s="464"/>
      <c r="P13" s="500">
        <f>+'Resumen EEFF'!U82</f>
        <v>0</v>
      </c>
      <c r="Q13" s="463" t="e">
        <f t="shared" si="4"/>
        <v>#DIV/0!</v>
      </c>
      <c r="R13" s="500">
        <f>+'Resumen EEFF'!V82</f>
        <v>0</v>
      </c>
      <c r="S13" s="463" t="e">
        <f t="shared" si="5"/>
        <v>#DIV/0!</v>
      </c>
      <c r="T13" s="465"/>
      <c r="U13" s="463" t="e">
        <f t="shared" si="8"/>
        <v>#DIV/0!</v>
      </c>
      <c r="V13" s="463" t="e">
        <f t="shared" si="9"/>
        <v>#DIV/0!</v>
      </c>
    </row>
    <row r="14" spans="1:22" ht="15.75" customHeight="1" x14ac:dyDescent="0.25">
      <c r="A14" s="461" t="s">
        <v>1105</v>
      </c>
      <c r="B14" s="462"/>
      <c r="C14" s="500">
        <f>+'Resumen EEFF'!B83</f>
        <v>0</v>
      </c>
      <c r="D14" s="463" t="e">
        <f t="shared" si="0"/>
        <v>#DIV/0!</v>
      </c>
      <c r="E14" s="500">
        <f>+'Resumen EEFF'!C83</f>
        <v>0</v>
      </c>
      <c r="F14" s="463" t="e">
        <f t="shared" si="1"/>
        <v>#DIV/0!</v>
      </c>
      <c r="G14" s="500">
        <f>+'Resumen EEFF'!D83</f>
        <v>0</v>
      </c>
      <c r="H14" s="463" t="e">
        <f t="shared" si="2"/>
        <v>#DIV/0!</v>
      </c>
      <c r="I14" s="596">
        <f>IF('Resumen EEFF'!$F$10="SI",'Resumen EEFF'!E83,0)</f>
        <v>0</v>
      </c>
      <c r="J14" s="463" t="e">
        <f t="shared" ca="1" si="3"/>
        <v>#DIV/0!</v>
      </c>
      <c r="K14" s="596">
        <f>IF('Resumen EEFF'!$F$10="SI",'Resumen EEFF'!F83,0)</f>
        <v>0</v>
      </c>
      <c r="L14" s="463" t="e">
        <f t="shared" ca="1" si="6"/>
        <v>#DIV/0!</v>
      </c>
      <c r="M14" s="596">
        <f>IF('Resumen EEFF'!$F$10="SI",'Resumen EEFF'!G83,0)</f>
        <v>0</v>
      </c>
      <c r="N14" s="463" t="e">
        <f t="shared" ca="1" si="7"/>
        <v>#DIV/0!</v>
      </c>
      <c r="O14" s="464"/>
      <c r="P14" s="500">
        <f>+'Resumen EEFF'!U83</f>
        <v>0</v>
      </c>
      <c r="Q14" s="463" t="e">
        <f t="shared" si="4"/>
        <v>#DIV/0!</v>
      </c>
      <c r="R14" s="500">
        <f>+'Resumen EEFF'!V83</f>
        <v>0</v>
      </c>
      <c r="S14" s="463" t="e">
        <f t="shared" si="5"/>
        <v>#DIV/0!</v>
      </c>
      <c r="T14" s="465"/>
      <c r="U14" s="463" t="e">
        <f t="shared" si="8"/>
        <v>#DIV/0!</v>
      </c>
      <c r="V14" s="463" t="e">
        <f t="shared" si="9"/>
        <v>#DIV/0!</v>
      </c>
    </row>
    <row r="15" spans="1:22" ht="15.75" customHeight="1" x14ac:dyDescent="0.25">
      <c r="A15" s="461" t="s">
        <v>1106</v>
      </c>
      <c r="B15" s="462"/>
      <c r="C15" s="500">
        <f>+'Resumen EEFF'!B84</f>
        <v>0</v>
      </c>
      <c r="D15" s="463" t="e">
        <f t="shared" si="0"/>
        <v>#DIV/0!</v>
      </c>
      <c r="E15" s="500">
        <f>+'Resumen EEFF'!C84</f>
        <v>0</v>
      </c>
      <c r="F15" s="463" t="e">
        <f t="shared" si="1"/>
        <v>#DIV/0!</v>
      </c>
      <c r="G15" s="500">
        <f>+'Resumen EEFF'!D84</f>
        <v>0</v>
      </c>
      <c r="H15" s="463" t="e">
        <f t="shared" si="2"/>
        <v>#DIV/0!</v>
      </c>
      <c r="I15" s="596">
        <f ca="1">IF('Resumen EEFF'!$F$10="SI",'Resumen EEFF'!E84,0)</f>
        <v>0</v>
      </c>
      <c r="J15" s="463" t="e">
        <f t="shared" ca="1" si="3"/>
        <v>#DIV/0!</v>
      </c>
      <c r="K15" s="596">
        <f ca="1">IF('Resumen EEFF'!$F$10="SI",'Resumen EEFF'!F84,0)</f>
        <v>0</v>
      </c>
      <c r="L15" s="463" t="e">
        <f t="shared" ca="1" si="6"/>
        <v>#DIV/0!</v>
      </c>
      <c r="M15" s="596">
        <f ca="1">IF('Resumen EEFF'!$F$10="SI",'Resumen EEFF'!G84,0)</f>
        <v>0</v>
      </c>
      <c r="N15" s="463" t="e">
        <f t="shared" ca="1" si="7"/>
        <v>#DIV/0!</v>
      </c>
      <c r="O15" s="464"/>
      <c r="P15" s="500">
        <f>+'Resumen EEFF'!U84</f>
        <v>0</v>
      </c>
      <c r="Q15" s="463" t="e">
        <f t="shared" si="4"/>
        <v>#DIV/0!</v>
      </c>
      <c r="R15" s="500">
        <f>+'Resumen EEFF'!V84</f>
        <v>0</v>
      </c>
      <c r="S15" s="463" t="e">
        <f t="shared" si="5"/>
        <v>#DIV/0!</v>
      </c>
      <c r="T15" s="465"/>
      <c r="U15" s="463" t="e">
        <f t="shared" si="8"/>
        <v>#DIV/0!</v>
      </c>
      <c r="V15" s="463" t="e">
        <f t="shared" si="9"/>
        <v>#DIV/0!</v>
      </c>
    </row>
    <row r="16" spans="1:22" ht="15.75" customHeight="1" x14ac:dyDescent="0.25">
      <c r="A16" s="455" t="s">
        <v>863</v>
      </c>
      <c r="B16" s="456"/>
      <c r="C16" s="467">
        <f>SUM(C12:C15)</f>
        <v>0</v>
      </c>
      <c r="D16" s="467" t="e">
        <f t="shared" si="0"/>
        <v>#DIV/0!</v>
      </c>
      <c r="E16" s="467">
        <f>SUM(E12:E15)</f>
        <v>0</v>
      </c>
      <c r="F16" s="467" t="e">
        <f t="shared" si="1"/>
        <v>#DIV/0!</v>
      </c>
      <c r="G16" s="467">
        <f>SUM(G12:G15)</f>
        <v>0</v>
      </c>
      <c r="H16" s="467" t="e">
        <f t="shared" si="2"/>
        <v>#DIV/0!</v>
      </c>
      <c r="I16" s="467">
        <f ca="1">SUM(I12:I15)</f>
        <v>0</v>
      </c>
      <c r="J16" s="467" t="e">
        <f t="shared" ca="1" si="3"/>
        <v>#DIV/0!</v>
      </c>
      <c r="K16" s="467">
        <f ca="1">SUM(K12:K15)</f>
        <v>0</v>
      </c>
      <c r="L16" s="467" t="e">
        <f t="shared" ca="1" si="6"/>
        <v>#DIV/0!</v>
      </c>
      <c r="M16" s="467">
        <f ca="1">SUM(M12:M15)</f>
        <v>0</v>
      </c>
      <c r="N16" s="467" t="e">
        <f t="shared" ca="1" si="7"/>
        <v>#DIV/0!</v>
      </c>
      <c r="O16" s="468"/>
      <c r="P16" s="467">
        <f>SUM(P12:P15)</f>
        <v>0</v>
      </c>
      <c r="Q16" s="467" t="e">
        <f t="shared" si="4"/>
        <v>#DIV/0!</v>
      </c>
      <c r="R16" s="467">
        <f>SUM(R12:R15)</f>
        <v>0</v>
      </c>
      <c r="S16" s="467" t="e">
        <f t="shared" si="5"/>
        <v>#DIV/0!</v>
      </c>
      <c r="T16" s="459"/>
      <c r="U16" s="467" t="e">
        <f t="shared" si="8"/>
        <v>#DIV/0!</v>
      </c>
      <c r="V16" s="467" t="e">
        <f t="shared" si="9"/>
        <v>#DIV/0!</v>
      </c>
    </row>
    <row r="17" spans="1:22" ht="15.75" customHeight="1" x14ac:dyDescent="0.25">
      <c r="A17" s="455" t="s">
        <v>864</v>
      </c>
      <c r="B17" s="456"/>
      <c r="C17" s="467">
        <f>+C16+C11</f>
        <v>0</v>
      </c>
      <c r="D17" s="467" t="e">
        <f>+D11+D16</f>
        <v>#DIV/0!</v>
      </c>
      <c r="E17" s="467">
        <f>+E16+E11</f>
        <v>0</v>
      </c>
      <c r="F17" s="467" t="e">
        <f>+F11+F16</f>
        <v>#DIV/0!</v>
      </c>
      <c r="G17" s="467">
        <f>+G16+G11</f>
        <v>0</v>
      </c>
      <c r="H17" s="467" t="e">
        <f>+H11+H16</f>
        <v>#DIV/0!</v>
      </c>
      <c r="I17" s="467">
        <f ca="1">+I16+I11</f>
        <v>0</v>
      </c>
      <c r="J17" s="467" t="e">
        <f t="shared" ca="1" si="3"/>
        <v>#DIV/0!</v>
      </c>
      <c r="K17" s="467">
        <f ca="1">+K16+K11</f>
        <v>0</v>
      </c>
      <c r="L17" s="467" t="e">
        <f t="shared" ca="1" si="6"/>
        <v>#DIV/0!</v>
      </c>
      <c r="M17" s="467">
        <f ca="1">+M16+M11</f>
        <v>0</v>
      </c>
      <c r="N17" s="467" t="e">
        <f t="shared" ca="1" si="7"/>
        <v>#DIV/0!</v>
      </c>
      <c r="O17" s="468"/>
      <c r="P17" s="467">
        <f>+P16+P11</f>
        <v>0</v>
      </c>
      <c r="Q17" s="467" t="e">
        <f>+Q11+Q16</f>
        <v>#DIV/0!</v>
      </c>
      <c r="R17" s="467">
        <f>+R16+R11</f>
        <v>0</v>
      </c>
      <c r="S17" s="467" t="e">
        <f>+S11+S16</f>
        <v>#DIV/0!</v>
      </c>
      <c r="T17" s="459"/>
      <c r="U17" s="467" t="e">
        <f t="shared" si="8"/>
        <v>#DIV/0!</v>
      </c>
      <c r="V17" s="467" t="e">
        <f t="shared" si="9"/>
        <v>#DIV/0!</v>
      </c>
    </row>
    <row r="18" spans="1:22" s="476" customFormat="1" ht="15.75" customHeight="1" thickBot="1" x14ac:dyDescent="0.3">
      <c r="A18" s="471"/>
      <c r="B18" s="472"/>
      <c r="C18" s="473"/>
      <c r="D18" s="473"/>
      <c r="E18" s="473"/>
      <c r="F18" s="473"/>
      <c r="G18" s="473"/>
      <c r="H18" s="473"/>
      <c r="I18" s="473"/>
      <c r="J18" s="473"/>
      <c r="K18" s="473"/>
      <c r="L18" s="473"/>
      <c r="M18" s="473"/>
      <c r="N18" s="473"/>
      <c r="O18" s="474"/>
      <c r="P18" s="473"/>
      <c r="Q18" s="473"/>
      <c r="R18" s="473"/>
      <c r="S18" s="473"/>
      <c r="T18" s="472"/>
      <c r="U18" s="475"/>
      <c r="V18" s="475"/>
    </row>
    <row r="19" spans="1:22" s="476" customFormat="1" ht="15.75" customHeight="1" thickBot="1" x14ac:dyDescent="0.3">
      <c r="A19" s="477" t="s">
        <v>1107</v>
      </c>
      <c r="B19" s="478"/>
      <c r="C19" s="479"/>
      <c r="D19" s="479"/>
      <c r="E19" s="479"/>
      <c r="F19" s="479"/>
      <c r="G19" s="479"/>
      <c r="H19" s="479"/>
      <c r="I19" s="479"/>
      <c r="J19" s="479"/>
      <c r="K19" s="479"/>
      <c r="L19" s="479"/>
      <c r="M19" s="479"/>
      <c r="N19" s="479"/>
      <c r="O19" s="480"/>
      <c r="P19" s="479"/>
      <c r="Q19" s="479"/>
      <c r="R19" s="479"/>
      <c r="S19" s="479"/>
      <c r="T19" s="481"/>
      <c r="U19" s="482"/>
      <c r="V19" s="482"/>
    </row>
    <row r="20" spans="1:22" s="476" customFormat="1" ht="15.75" customHeight="1" x14ac:dyDescent="0.25">
      <c r="A20" s="471"/>
      <c r="B20" s="472"/>
      <c r="C20" s="473"/>
      <c r="D20" s="473"/>
      <c r="E20" s="473"/>
      <c r="F20" s="473"/>
      <c r="G20" s="473"/>
      <c r="H20" s="473"/>
      <c r="I20" s="473"/>
      <c r="J20" s="473"/>
      <c r="K20" s="473"/>
      <c r="L20" s="473"/>
      <c r="M20" s="473"/>
      <c r="N20" s="473"/>
      <c r="O20" s="474"/>
      <c r="P20" s="473"/>
      <c r="Q20" s="473"/>
      <c r="R20" s="473"/>
      <c r="S20" s="473"/>
      <c r="T20" s="472"/>
      <c r="U20" s="475"/>
      <c r="V20" s="475"/>
    </row>
    <row r="21" spans="1:22" ht="15.75" customHeight="1" x14ac:dyDescent="0.25">
      <c r="A21" s="483" t="s">
        <v>1108</v>
      </c>
      <c r="B21" s="462"/>
      <c r="C21" s="500">
        <f>+'Resumen EEFF'!B88</f>
        <v>0</v>
      </c>
      <c r="D21" s="463" t="e">
        <f t="shared" ref="D21:D36" si="10">+(C21/$C$37)*100</f>
        <v>#DIV/0!</v>
      </c>
      <c r="E21" s="500">
        <f>+'Resumen EEFF'!C88</f>
        <v>0</v>
      </c>
      <c r="F21" s="463" t="e">
        <f t="shared" ref="F21:F36" si="11">+(E21/$E$37)*100</f>
        <v>#DIV/0!</v>
      </c>
      <c r="G21" s="500">
        <f>+'Resumen EEFF'!D88</f>
        <v>0</v>
      </c>
      <c r="H21" s="600" t="e">
        <f t="shared" ref="H21:H26" si="12">+(G21/$G$37)*100</f>
        <v>#DIV/0!</v>
      </c>
      <c r="I21" s="601">
        <f ca="1">IF('Resumen EEFF'!$F$10="SI",'Resumen EEFF'!E88,0)</f>
        <v>0</v>
      </c>
      <c r="J21" s="600" t="e">
        <f ca="1">+(I21/$I$37)*100</f>
        <v>#DIV/0!</v>
      </c>
      <c r="K21" s="601">
        <f ca="1">IF('Resumen EEFF'!$F$10="SI",'Resumen EEFF'!F88,0)</f>
        <v>0</v>
      </c>
      <c r="L21" s="600" t="e">
        <f ca="1">+(K21/$K$37)*100</f>
        <v>#DIV/0!</v>
      </c>
      <c r="M21" s="601">
        <f ca="1">IF('Resumen EEFF'!$F$10="SI",'Resumen EEFF'!G88,0)</f>
        <v>0</v>
      </c>
      <c r="N21" s="600" t="e">
        <f ca="1">+(M21/$M$37)*100</f>
        <v>#DIV/0!</v>
      </c>
      <c r="O21" s="464"/>
      <c r="P21" s="500">
        <f>+'Resumen EEFF'!U88</f>
        <v>0</v>
      </c>
      <c r="Q21" s="463" t="e">
        <f t="shared" ref="Q21:Q36" si="13">+(P21/$P$37)*100</f>
        <v>#DIV/0!</v>
      </c>
      <c r="R21" s="500">
        <f>+'Resumen EEFF'!V88</f>
        <v>0</v>
      </c>
      <c r="S21" s="463" t="e">
        <f t="shared" ref="S21:S36" si="14">+(R21/$R$37)*100</f>
        <v>#DIV/0!</v>
      </c>
      <c r="T21" s="465"/>
      <c r="U21" s="463" t="e">
        <f>+(E21-C21)/C21</f>
        <v>#DIV/0!</v>
      </c>
      <c r="V21" s="463" t="e">
        <f>+(G21-E21)/E21</f>
        <v>#DIV/0!</v>
      </c>
    </row>
    <row r="22" spans="1:22" ht="15.75" customHeight="1" x14ac:dyDescent="0.25">
      <c r="A22" s="470" t="s">
        <v>865</v>
      </c>
      <c r="B22" s="462"/>
      <c r="C22" s="500">
        <f>+'Resumen EEFF'!B89</f>
        <v>0</v>
      </c>
      <c r="D22" s="463" t="e">
        <f t="shared" si="10"/>
        <v>#DIV/0!</v>
      </c>
      <c r="E22" s="500">
        <f>+'Resumen EEFF'!C89</f>
        <v>0</v>
      </c>
      <c r="F22" s="463" t="e">
        <f t="shared" si="11"/>
        <v>#DIV/0!</v>
      </c>
      <c r="G22" s="500">
        <f>+'Resumen EEFF'!D89</f>
        <v>0</v>
      </c>
      <c r="H22" s="463" t="e">
        <f t="shared" si="12"/>
        <v>#DIV/0!</v>
      </c>
      <c r="I22" s="601">
        <f>IF('Resumen EEFF'!$F$10="SI",'Resumen EEFF'!E89,0)</f>
        <v>0</v>
      </c>
      <c r="J22" s="600" t="e">
        <f t="shared" ref="J22:J37" ca="1" si="15">+(I22/$I$37)*100</f>
        <v>#DIV/0!</v>
      </c>
      <c r="K22" s="601">
        <f>IF('Resumen EEFF'!$F$10="SI",'Resumen EEFF'!F89,0)</f>
        <v>0</v>
      </c>
      <c r="L22" s="600" t="e">
        <f t="shared" ref="L22:L37" ca="1" si="16">+(K22/$K$37)*100</f>
        <v>#DIV/0!</v>
      </c>
      <c r="M22" s="601">
        <f>IF('Resumen EEFF'!$F$10="SI",'Resumen EEFF'!G89,0)</f>
        <v>0</v>
      </c>
      <c r="N22" s="600" t="e">
        <f t="shared" ref="N22:N37" si="17">+(M22/$M$37)*100</f>
        <v>#DIV/0!</v>
      </c>
      <c r="O22" s="464"/>
      <c r="P22" s="500">
        <f>+'Resumen EEFF'!U89</f>
        <v>0</v>
      </c>
      <c r="Q22" s="463" t="e">
        <f t="shared" si="13"/>
        <v>#DIV/0!</v>
      </c>
      <c r="R22" s="500">
        <f>+'Resumen EEFF'!V89</f>
        <v>0</v>
      </c>
      <c r="S22" s="463" t="e">
        <f t="shared" si="14"/>
        <v>#DIV/0!</v>
      </c>
      <c r="T22" s="465"/>
      <c r="U22" s="463" t="e">
        <f t="shared" ref="U22:U37" si="18">+(E22-C22)/C22</f>
        <v>#DIV/0!</v>
      </c>
      <c r="V22" s="463" t="e">
        <f t="shared" ref="V22:V37" si="19">+(G22-E22)/E22</f>
        <v>#DIV/0!</v>
      </c>
    </row>
    <row r="23" spans="1:22" ht="15.75" customHeight="1" x14ac:dyDescent="0.25">
      <c r="A23" s="461" t="s">
        <v>1109</v>
      </c>
      <c r="B23" s="462"/>
      <c r="C23" s="500">
        <f>+'Resumen EEFF'!B90</f>
        <v>0</v>
      </c>
      <c r="D23" s="463" t="e">
        <f t="shared" si="10"/>
        <v>#DIV/0!</v>
      </c>
      <c r="E23" s="500">
        <f>+'Resumen EEFF'!C90</f>
        <v>0</v>
      </c>
      <c r="F23" s="463" t="e">
        <f t="shared" si="11"/>
        <v>#DIV/0!</v>
      </c>
      <c r="G23" s="500">
        <f>+'Resumen EEFF'!D90</f>
        <v>0</v>
      </c>
      <c r="H23" s="463" t="e">
        <f t="shared" si="12"/>
        <v>#DIV/0!</v>
      </c>
      <c r="I23" s="601">
        <f>IF('Resumen EEFF'!$F$10="SI",'Resumen EEFF'!E90,0)</f>
        <v>0</v>
      </c>
      <c r="J23" s="600" t="e">
        <f t="shared" ca="1" si="15"/>
        <v>#DIV/0!</v>
      </c>
      <c r="K23" s="601">
        <f>IF('Resumen EEFF'!$F$10="SI",'Resumen EEFF'!F90,0)</f>
        <v>0</v>
      </c>
      <c r="L23" s="600" t="e">
        <f t="shared" ca="1" si="16"/>
        <v>#DIV/0!</v>
      </c>
      <c r="M23" s="601">
        <f>IF('Resumen EEFF'!$F$10="SI",'Resumen EEFF'!G90,0)</f>
        <v>0</v>
      </c>
      <c r="N23" s="600" t="e">
        <f t="shared" si="17"/>
        <v>#DIV/0!</v>
      </c>
      <c r="O23" s="464"/>
      <c r="P23" s="500">
        <f>+'Resumen EEFF'!U90</f>
        <v>0</v>
      </c>
      <c r="Q23" s="463" t="e">
        <f t="shared" si="13"/>
        <v>#DIV/0!</v>
      </c>
      <c r="R23" s="500">
        <f>+'Resumen EEFF'!V90</f>
        <v>0</v>
      </c>
      <c r="S23" s="463" t="e">
        <f t="shared" si="14"/>
        <v>#DIV/0!</v>
      </c>
      <c r="T23" s="465"/>
      <c r="U23" s="463" t="e">
        <f t="shared" si="18"/>
        <v>#DIV/0!</v>
      </c>
      <c r="V23" s="463" t="e">
        <f t="shared" si="19"/>
        <v>#DIV/0!</v>
      </c>
    </row>
    <row r="24" spans="1:22" ht="15.75" customHeight="1" x14ac:dyDescent="0.25">
      <c r="A24" s="461" t="s">
        <v>1110</v>
      </c>
      <c r="B24" s="462"/>
      <c r="C24" s="500">
        <f>+'Resumen EEFF'!B91</f>
        <v>0</v>
      </c>
      <c r="D24" s="463" t="e">
        <f t="shared" si="10"/>
        <v>#DIV/0!</v>
      </c>
      <c r="E24" s="500">
        <f>+'Resumen EEFF'!C91</f>
        <v>0</v>
      </c>
      <c r="F24" s="463" t="e">
        <f t="shared" si="11"/>
        <v>#DIV/0!</v>
      </c>
      <c r="G24" s="500">
        <f>+'Resumen EEFF'!D91</f>
        <v>0</v>
      </c>
      <c r="H24" s="463" t="e">
        <f t="shared" si="12"/>
        <v>#DIV/0!</v>
      </c>
      <c r="I24" s="601">
        <f>IF('Resumen EEFF'!$F$10="SI",'Resumen EEFF'!E91,0)</f>
        <v>0</v>
      </c>
      <c r="J24" s="600" t="e">
        <f t="shared" ca="1" si="15"/>
        <v>#DIV/0!</v>
      </c>
      <c r="K24" s="601">
        <f>IF('Resumen EEFF'!$F$10="SI",'Resumen EEFF'!F91,0)</f>
        <v>0</v>
      </c>
      <c r="L24" s="600" t="e">
        <f t="shared" ca="1" si="16"/>
        <v>#DIV/0!</v>
      </c>
      <c r="M24" s="601">
        <f>IF('Resumen EEFF'!$F$10="SI",'Resumen EEFF'!G91,0)</f>
        <v>0</v>
      </c>
      <c r="N24" s="600" t="e">
        <f t="shared" si="17"/>
        <v>#DIV/0!</v>
      </c>
      <c r="O24" s="464"/>
      <c r="P24" s="500">
        <f>+'Resumen EEFF'!U91</f>
        <v>0</v>
      </c>
      <c r="Q24" s="463" t="e">
        <f t="shared" si="13"/>
        <v>#DIV/0!</v>
      </c>
      <c r="R24" s="500">
        <f>+'Resumen EEFF'!V91</f>
        <v>0</v>
      </c>
      <c r="S24" s="463" t="e">
        <f t="shared" si="14"/>
        <v>#DIV/0!</v>
      </c>
      <c r="T24" s="465"/>
      <c r="U24" s="463" t="e">
        <f t="shared" si="18"/>
        <v>#DIV/0!</v>
      </c>
      <c r="V24" s="463" t="e">
        <f t="shared" si="19"/>
        <v>#DIV/0!</v>
      </c>
    </row>
    <row r="25" spans="1:22" ht="15.75" customHeight="1" x14ac:dyDescent="0.25">
      <c r="A25" s="461" t="s">
        <v>315</v>
      </c>
      <c r="B25" s="462"/>
      <c r="C25" s="500">
        <f>+'Resumen EEFF'!B92</f>
        <v>0</v>
      </c>
      <c r="D25" s="463" t="e">
        <f t="shared" si="10"/>
        <v>#DIV/0!</v>
      </c>
      <c r="E25" s="500">
        <f>+'Resumen EEFF'!C92</f>
        <v>0</v>
      </c>
      <c r="F25" s="463" t="e">
        <f t="shared" si="11"/>
        <v>#DIV/0!</v>
      </c>
      <c r="G25" s="500">
        <f>+'Resumen EEFF'!D92</f>
        <v>0</v>
      </c>
      <c r="H25" s="463" t="e">
        <f t="shared" si="12"/>
        <v>#DIV/0!</v>
      </c>
      <c r="I25" s="601">
        <f>IF('Resumen EEFF'!$F$10="SI",'Resumen EEFF'!E92,0)</f>
        <v>0</v>
      </c>
      <c r="J25" s="600" t="e">
        <f t="shared" ca="1" si="15"/>
        <v>#DIV/0!</v>
      </c>
      <c r="K25" s="601">
        <f>IF('Resumen EEFF'!$F$10="SI",'Resumen EEFF'!F92,0)</f>
        <v>0</v>
      </c>
      <c r="L25" s="600" t="e">
        <f t="shared" ca="1" si="16"/>
        <v>#DIV/0!</v>
      </c>
      <c r="M25" s="601">
        <f>IF('Resumen EEFF'!$F$10="SI",'Resumen EEFF'!G92,0)</f>
        <v>0</v>
      </c>
      <c r="N25" s="600" t="e">
        <f t="shared" si="17"/>
        <v>#DIV/0!</v>
      </c>
      <c r="O25" s="464"/>
      <c r="P25" s="500">
        <f>+'Resumen EEFF'!U92</f>
        <v>0</v>
      </c>
      <c r="Q25" s="463" t="e">
        <f t="shared" si="13"/>
        <v>#DIV/0!</v>
      </c>
      <c r="R25" s="500">
        <f>+'Resumen EEFF'!V92</f>
        <v>0</v>
      </c>
      <c r="S25" s="463" t="e">
        <f t="shared" si="14"/>
        <v>#DIV/0!</v>
      </c>
      <c r="T25" s="465"/>
      <c r="U25" s="463" t="e">
        <f t="shared" si="18"/>
        <v>#DIV/0!</v>
      </c>
      <c r="V25" s="463" t="e">
        <f t="shared" si="19"/>
        <v>#DIV/0!</v>
      </c>
    </row>
    <row r="26" spans="1:22" ht="15.75" customHeight="1" x14ac:dyDescent="0.25">
      <c r="A26" s="455" t="s">
        <v>866</v>
      </c>
      <c r="B26" s="456"/>
      <c r="C26" s="467">
        <f>SUM(C21:C25)</f>
        <v>0</v>
      </c>
      <c r="D26" s="467" t="e">
        <f t="shared" si="10"/>
        <v>#DIV/0!</v>
      </c>
      <c r="E26" s="467">
        <f>SUM(E21:E25)</f>
        <v>0</v>
      </c>
      <c r="F26" s="467" t="e">
        <f t="shared" si="11"/>
        <v>#DIV/0!</v>
      </c>
      <c r="G26" s="467">
        <f>SUM(G21:G25)</f>
        <v>0</v>
      </c>
      <c r="H26" s="467" t="e">
        <f t="shared" si="12"/>
        <v>#DIV/0!</v>
      </c>
      <c r="I26" s="467">
        <f ca="1">SUM(I21:I25)</f>
        <v>0</v>
      </c>
      <c r="J26" s="467" t="e">
        <f t="shared" ca="1" si="15"/>
        <v>#DIV/0!</v>
      </c>
      <c r="K26" s="467">
        <f ca="1">SUM(K21:K25)</f>
        <v>0</v>
      </c>
      <c r="L26" s="467" t="e">
        <f t="shared" ca="1" si="16"/>
        <v>#DIV/0!</v>
      </c>
      <c r="M26" s="467">
        <f ca="1">SUM(M21:M25)</f>
        <v>0</v>
      </c>
      <c r="N26" s="467" t="e">
        <f t="shared" ca="1" si="17"/>
        <v>#DIV/0!</v>
      </c>
      <c r="O26" s="468"/>
      <c r="P26" s="467">
        <f>SUM(P21:P25)</f>
        <v>0</v>
      </c>
      <c r="Q26" s="467" t="e">
        <f t="shared" si="13"/>
        <v>#DIV/0!</v>
      </c>
      <c r="R26" s="467">
        <f>SUM(R21:R25)</f>
        <v>0</v>
      </c>
      <c r="S26" s="467" t="e">
        <f t="shared" si="14"/>
        <v>#DIV/0!</v>
      </c>
      <c r="T26" s="459"/>
      <c r="U26" s="467" t="e">
        <f t="shared" si="18"/>
        <v>#DIV/0!</v>
      </c>
      <c r="V26" s="467" t="e">
        <f t="shared" si="19"/>
        <v>#DIV/0!</v>
      </c>
    </row>
    <row r="27" spans="1:22" ht="15.75" customHeight="1" x14ac:dyDescent="0.25">
      <c r="A27" s="483" t="s">
        <v>1111</v>
      </c>
      <c r="B27" s="462"/>
      <c r="C27" s="500">
        <f>+'Resumen EEFF'!B94</f>
        <v>0</v>
      </c>
      <c r="D27" s="463" t="e">
        <f t="shared" si="10"/>
        <v>#DIV/0!</v>
      </c>
      <c r="E27" s="500">
        <f>+'Resumen EEFF'!C94</f>
        <v>0</v>
      </c>
      <c r="F27" s="463" t="e">
        <f t="shared" si="11"/>
        <v>#DIV/0!</v>
      </c>
      <c r="G27" s="500">
        <f>+'Resumen EEFF'!D94</f>
        <v>0</v>
      </c>
      <c r="H27" s="463" t="e">
        <f>+(G27/$H$37)*100</f>
        <v>#DIV/0!</v>
      </c>
      <c r="I27" s="601">
        <f ca="1">IF('Resumen EEFF'!$F$10="SI",'Resumen EEFF'!E94,0)</f>
        <v>0</v>
      </c>
      <c r="J27" s="600" t="e">
        <f t="shared" ca="1" si="15"/>
        <v>#DIV/0!</v>
      </c>
      <c r="K27" s="601">
        <f ca="1">IF('Resumen EEFF'!$F$10="SI",'Resumen EEFF'!F94,0)</f>
        <v>0</v>
      </c>
      <c r="L27" s="600" t="e">
        <f t="shared" ca="1" si="16"/>
        <v>#DIV/0!</v>
      </c>
      <c r="M27" s="601">
        <f ca="1">IF('Resumen EEFF'!$F$10="SI",'Resumen EEFF'!G94,0)</f>
        <v>0</v>
      </c>
      <c r="N27" s="600" t="e">
        <f t="shared" ca="1" si="17"/>
        <v>#DIV/0!</v>
      </c>
      <c r="O27" s="464"/>
      <c r="P27" s="500">
        <f>+'Resumen EEFF'!U94</f>
        <v>0</v>
      </c>
      <c r="Q27" s="463" t="e">
        <f t="shared" si="13"/>
        <v>#DIV/0!</v>
      </c>
      <c r="R27" s="500">
        <f>+'Resumen EEFF'!V94</f>
        <v>0</v>
      </c>
      <c r="S27" s="463" t="e">
        <f t="shared" si="14"/>
        <v>#DIV/0!</v>
      </c>
      <c r="T27" s="465"/>
      <c r="U27" s="463" t="e">
        <f t="shared" si="18"/>
        <v>#DIV/0!</v>
      </c>
      <c r="V27" s="463" t="e">
        <f t="shared" si="19"/>
        <v>#DIV/0!</v>
      </c>
    </row>
    <row r="28" spans="1:22" ht="15.75" customHeight="1" x14ac:dyDescent="0.25">
      <c r="A28" s="483" t="s">
        <v>867</v>
      </c>
      <c r="B28" s="462"/>
      <c r="C28" s="500">
        <f>+'Resumen EEFF'!B95</f>
        <v>0</v>
      </c>
      <c r="D28" s="463" t="e">
        <f t="shared" si="10"/>
        <v>#DIV/0!</v>
      </c>
      <c r="E28" s="500">
        <f>+'Resumen EEFF'!C95</f>
        <v>0</v>
      </c>
      <c r="F28" s="463" t="e">
        <f t="shared" si="11"/>
        <v>#DIV/0!</v>
      </c>
      <c r="G28" s="500">
        <f>+'Resumen EEFF'!D95</f>
        <v>0</v>
      </c>
      <c r="H28" s="463" t="e">
        <f>+(G28/$H$37)*100</f>
        <v>#DIV/0!</v>
      </c>
      <c r="I28" s="601">
        <f>IF('Resumen EEFF'!$F$10="SI",'Resumen EEFF'!E95,0)</f>
        <v>0</v>
      </c>
      <c r="J28" s="600" t="e">
        <f t="shared" ca="1" si="15"/>
        <v>#DIV/0!</v>
      </c>
      <c r="K28" s="601">
        <f>IF('Resumen EEFF'!$F$10="SI",'Resumen EEFF'!F95,0)</f>
        <v>0</v>
      </c>
      <c r="L28" s="600" t="e">
        <f t="shared" ca="1" si="16"/>
        <v>#DIV/0!</v>
      </c>
      <c r="M28" s="601">
        <f>IF('Resumen EEFF'!$F$10="SI",'Resumen EEFF'!G95,0)</f>
        <v>0</v>
      </c>
      <c r="N28" s="600" t="e">
        <f t="shared" si="17"/>
        <v>#DIV/0!</v>
      </c>
      <c r="O28" s="464"/>
      <c r="P28" s="500">
        <f>+'Resumen EEFF'!U95</f>
        <v>0</v>
      </c>
      <c r="Q28" s="463" t="e">
        <f t="shared" si="13"/>
        <v>#DIV/0!</v>
      </c>
      <c r="R28" s="500">
        <f>+'Resumen EEFF'!V95</f>
        <v>0</v>
      </c>
      <c r="S28" s="463" t="e">
        <f t="shared" si="14"/>
        <v>#DIV/0!</v>
      </c>
      <c r="T28" s="465"/>
      <c r="U28" s="463" t="e">
        <f t="shared" si="18"/>
        <v>#DIV/0!</v>
      </c>
      <c r="V28" s="463" t="e">
        <f t="shared" si="19"/>
        <v>#DIV/0!</v>
      </c>
    </row>
    <row r="29" spans="1:22" ht="15.75" customHeight="1" x14ac:dyDescent="0.25">
      <c r="A29" s="461" t="s">
        <v>481</v>
      </c>
      <c r="B29" s="462"/>
      <c r="C29" s="463">
        <f>+'Resumen EEFF'!B96</f>
        <v>0</v>
      </c>
      <c r="D29" s="463" t="e">
        <f t="shared" si="10"/>
        <v>#DIV/0!</v>
      </c>
      <c r="E29" s="500">
        <f>+'Resumen EEFF'!C96</f>
        <v>0</v>
      </c>
      <c r="F29" s="463" t="e">
        <f t="shared" si="11"/>
        <v>#DIV/0!</v>
      </c>
      <c r="G29" s="500">
        <f>+'Resumen EEFF'!D96</f>
        <v>0</v>
      </c>
      <c r="H29" s="463" t="e">
        <f>+(G29/$H$37)*100</f>
        <v>#DIV/0!</v>
      </c>
      <c r="I29" s="601">
        <f>IF('Resumen EEFF'!$F$10="SI",'Resumen EEFF'!E96,0)</f>
        <v>0</v>
      </c>
      <c r="J29" s="600" t="e">
        <f t="shared" ca="1" si="15"/>
        <v>#DIV/0!</v>
      </c>
      <c r="K29" s="601">
        <f>IF('Resumen EEFF'!$F$10="SI",'Resumen EEFF'!F96,0)</f>
        <v>0</v>
      </c>
      <c r="L29" s="600" t="e">
        <f t="shared" ca="1" si="16"/>
        <v>#DIV/0!</v>
      </c>
      <c r="M29" s="601">
        <f>IF('Resumen EEFF'!$F$10="SI",'Resumen EEFF'!G96,0)</f>
        <v>0</v>
      </c>
      <c r="N29" s="600" t="e">
        <f t="shared" si="17"/>
        <v>#DIV/0!</v>
      </c>
      <c r="O29" s="464"/>
      <c r="P29" s="500">
        <f>+'Resumen EEFF'!U96</f>
        <v>0</v>
      </c>
      <c r="Q29" s="463" t="e">
        <f t="shared" si="13"/>
        <v>#DIV/0!</v>
      </c>
      <c r="R29" s="500">
        <f>+'Resumen EEFF'!V96</f>
        <v>0</v>
      </c>
      <c r="S29" s="463" t="e">
        <f t="shared" si="14"/>
        <v>#DIV/0!</v>
      </c>
      <c r="T29" s="465"/>
      <c r="U29" s="463" t="e">
        <f t="shared" si="18"/>
        <v>#DIV/0!</v>
      </c>
      <c r="V29" s="463" t="e">
        <f t="shared" si="19"/>
        <v>#DIV/0!</v>
      </c>
    </row>
    <row r="30" spans="1:22" ht="15.75" customHeight="1" x14ac:dyDescent="0.25">
      <c r="A30" s="461" t="s">
        <v>1112</v>
      </c>
      <c r="B30" s="462"/>
      <c r="C30" s="463">
        <f>+'Resumen EEFF'!B97</f>
        <v>0</v>
      </c>
      <c r="D30" s="463" t="e">
        <f t="shared" si="10"/>
        <v>#DIV/0!</v>
      </c>
      <c r="E30" s="500">
        <f>+'Resumen EEFF'!C97</f>
        <v>0</v>
      </c>
      <c r="F30" s="463" t="e">
        <f t="shared" si="11"/>
        <v>#DIV/0!</v>
      </c>
      <c r="G30" s="500">
        <f>+'Resumen EEFF'!D97</f>
        <v>0</v>
      </c>
      <c r="H30" s="463" t="e">
        <f>+(G30/$H$37)*100</f>
        <v>#DIV/0!</v>
      </c>
      <c r="I30" s="601">
        <f>IF('Resumen EEFF'!$F$10="SI",'Resumen EEFF'!E97,0)</f>
        <v>0</v>
      </c>
      <c r="J30" s="600" t="e">
        <f t="shared" ca="1" si="15"/>
        <v>#DIV/0!</v>
      </c>
      <c r="K30" s="601">
        <f>IF('Resumen EEFF'!$F$10="SI",'Resumen EEFF'!F97,0)</f>
        <v>0</v>
      </c>
      <c r="L30" s="600" t="e">
        <f t="shared" ca="1" si="16"/>
        <v>#DIV/0!</v>
      </c>
      <c r="M30" s="601">
        <f>IF('Resumen EEFF'!$F$10="SI",'Resumen EEFF'!G97,0)</f>
        <v>0</v>
      </c>
      <c r="N30" s="600" t="e">
        <f t="shared" si="17"/>
        <v>#DIV/0!</v>
      </c>
      <c r="O30" s="464"/>
      <c r="P30" s="500">
        <f>+'Resumen EEFF'!U97</f>
        <v>0</v>
      </c>
      <c r="Q30" s="463" t="e">
        <f t="shared" si="13"/>
        <v>#DIV/0!</v>
      </c>
      <c r="R30" s="500">
        <f>+'Resumen EEFF'!V97</f>
        <v>0</v>
      </c>
      <c r="S30" s="463" t="e">
        <f t="shared" si="14"/>
        <v>#DIV/0!</v>
      </c>
      <c r="T30" s="465"/>
      <c r="U30" s="463" t="e">
        <f t="shared" si="18"/>
        <v>#DIV/0!</v>
      </c>
      <c r="V30" s="463" t="e">
        <f t="shared" si="19"/>
        <v>#DIV/0!</v>
      </c>
    </row>
    <row r="31" spans="1:22" ht="15.75" customHeight="1" x14ac:dyDescent="0.25">
      <c r="A31" s="455" t="s">
        <v>868</v>
      </c>
      <c r="B31" s="456"/>
      <c r="C31" s="467">
        <f>SUM(C27:C30)</f>
        <v>0</v>
      </c>
      <c r="D31" s="467" t="e">
        <f t="shared" si="10"/>
        <v>#DIV/0!</v>
      </c>
      <c r="E31" s="467">
        <f>SUM(E27:E30)</f>
        <v>0</v>
      </c>
      <c r="F31" s="467" t="e">
        <f t="shared" si="11"/>
        <v>#DIV/0!</v>
      </c>
      <c r="G31" s="467">
        <f>SUM(G27:G30)</f>
        <v>0</v>
      </c>
      <c r="H31" s="467" t="e">
        <f t="shared" ref="H31:H36" si="20">+(G31/$G$37)*100</f>
        <v>#DIV/0!</v>
      </c>
      <c r="I31" s="467">
        <f ca="1">SUM(I27:I30)</f>
        <v>0</v>
      </c>
      <c r="J31" s="467" t="e">
        <f t="shared" ca="1" si="15"/>
        <v>#DIV/0!</v>
      </c>
      <c r="K31" s="467">
        <f ca="1">SUM(K27:K30)</f>
        <v>0</v>
      </c>
      <c r="L31" s="467" t="e">
        <f t="shared" ca="1" si="16"/>
        <v>#DIV/0!</v>
      </c>
      <c r="M31" s="467">
        <f ca="1">SUM(M27:M30)</f>
        <v>0</v>
      </c>
      <c r="N31" s="467" t="e">
        <f t="shared" ca="1" si="17"/>
        <v>#DIV/0!</v>
      </c>
      <c r="O31" s="468"/>
      <c r="P31" s="467">
        <f>SUM(P27:P30)</f>
        <v>0</v>
      </c>
      <c r="Q31" s="467" t="e">
        <f t="shared" si="13"/>
        <v>#DIV/0!</v>
      </c>
      <c r="R31" s="467">
        <f>SUM(R27:R30)</f>
        <v>0</v>
      </c>
      <c r="S31" s="467" t="e">
        <f t="shared" si="14"/>
        <v>#DIV/0!</v>
      </c>
      <c r="T31" s="467"/>
      <c r="U31" s="467" t="e">
        <f t="shared" si="18"/>
        <v>#DIV/0!</v>
      </c>
      <c r="V31" s="467" t="e">
        <f t="shared" si="19"/>
        <v>#DIV/0!</v>
      </c>
    </row>
    <row r="32" spans="1:22" ht="15.75" customHeight="1" x14ac:dyDescent="0.25">
      <c r="A32" s="461" t="s">
        <v>1113</v>
      </c>
      <c r="B32" s="462"/>
      <c r="C32" s="463">
        <f>+'Resumen EEFF'!B99</f>
        <v>0</v>
      </c>
      <c r="D32" s="463" t="e">
        <f t="shared" si="10"/>
        <v>#DIV/0!</v>
      </c>
      <c r="E32" s="463">
        <f>+'Resumen EEFF'!C99</f>
        <v>0</v>
      </c>
      <c r="F32" s="463" t="e">
        <f t="shared" si="11"/>
        <v>#DIV/0!</v>
      </c>
      <c r="G32" s="463">
        <f>+'Resumen EEFF'!D99</f>
        <v>0</v>
      </c>
      <c r="H32" s="463" t="e">
        <f t="shared" si="20"/>
        <v>#DIV/0!</v>
      </c>
      <c r="I32" s="601">
        <f ca="1">IF('Resumen EEFF'!$F$10="SI",'Resumen EEFF'!E99,0)</f>
        <v>0</v>
      </c>
      <c r="J32" s="600" t="e">
        <f t="shared" ca="1" si="15"/>
        <v>#DIV/0!</v>
      </c>
      <c r="K32" s="601">
        <f ca="1">IF('Resumen EEFF'!$F$10="SI",'Resumen EEFF'!F99,0)</f>
        <v>0</v>
      </c>
      <c r="L32" s="600" t="e">
        <f t="shared" ca="1" si="16"/>
        <v>#DIV/0!</v>
      </c>
      <c r="M32" s="601">
        <f ca="1">IF('Resumen EEFF'!$F$10="SI",'Resumen EEFF'!G99,0)</f>
        <v>0</v>
      </c>
      <c r="N32" s="600" t="e">
        <f t="shared" ca="1" si="17"/>
        <v>#DIV/0!</v>
      </c>
      <c r="O32" s="464"/>
      <c r="P32" s="463">
        <f>+'Resumen EEFF'!U99</f>
        <v>0</v>
      </c>
      <c r="Q32" s="463" t="e">
        <f t="shared" si="13"/>
        <v>#DIV/0!</v>
      </c>
      <c r="R32" s="463">
        <f>+'Resumen EEFF'!V99</f>
        <v>0</v>
      </c>
      <c r="S32" s="463" t="e">
        <f t="shared" si="14"/>
        <v>#DIV/0!</v>
      </c>
      <c r="T32" s="465"/>
      <c r="U32" s="463" t="e">
        <f t="shared" si="18"/>
        <v>#DIV/0!</v>
      </c>
      <c r="V32" s="463" t="e">
        <f t="shared" si="19"/>
        <v>#DIV/0!</v>
      </c>
    </row>
    <row r="33" spans="1:22" ht="15.75" customHeight="1" x14ac:dyDescent="0.25">
      <c r="A33" s="461" t="s">
        <v>1114</v>
      </c>
      <c r="B33" s="462"/>
      <c r="C33" s="463">
        <f>+'Resumen EEFF'!B100</f>
        <v>0</v>
      </c>
      <c r="D33" s="463" t="e">
        <f t="shared" si="10"/>
        <v>#DIV/0!</v>
      </c>
      <c r="E33" s="463">
        <f>+'Resumen EEFF'!C100</f>
        <v>0</v>
      </c>
      <c r="F33" s="463" t="e">
        <f t="shared" si="11"/>
        <v>#DIV/0!</v>
      </c>
      <c r="G33" s="463">
        <f>+'Resumen EEFF'!D100</f>
        <v>0</v>
      </c>
      <c r="H33" s="463" t="e">
        <f t="shared" si="20"/>
        <v>#DIV/0!</v>
      </c>
      <c r="I33" s="601">
        <f ca="1">IF('Resumen EEFF'!$F$10="SI",'Resumen EEFF'!E100,0)</f>
        <v>0</v>
      </c>
      <c r="J33" s="600" t="e">
        <f t="shared" ca="1" si="15"/>
        <v>#DIV/0!</v>
      </c>
      <c r="K33" s="601">
        <f ca="1">IF('Resumen EEFF'!$F$10="SI",'Resumen EEFF'!F100,0)</f>
        <v>0</v>
      </c>
      <c r="L33" s="600" t="e">
        <f t="shared" ca="1" si="16"/>
        <v>#DIV/0!</v>
      </c>
      <c r="M33" s="601">
        <f ca="1">IF('Resumen EEFF'!$F$10="SI",'Resumen EEFF'!G100,0)</f>
        <v>0</v>
      </c>
      <c r="N33" s="600" t="e">
        <f t="shared" ca="1" si="17"/>
        <v>#DIV/0!</v>
      </c>
      <c r="O33" s="464"/>
      <c r="P33" s="463">
        <f>+'Resumen EEFF'!U100</f>
        <v>0</v>
      </c>
      <c r="Q33" s="463" t="e">
        <f t="shared" si="13"/>
        <v>#DIV/0!</v>
      </c>
      <c r="R33" s="463">
        <f>+'Resumen EEFF'!V100</f>
        <v>0</v>
      </c>
      <c r="S33" s="463" t="e">
        <f t="shared" si="14"/>
        <v>#DIV/0!</v>
      </c>
      <c r="T33" s="465"/>
      <c r="U33" s="463" t="e">
        <f t="shared" si="18"/>
        <v>#DIV/0!</v>
      </c>
      <c r="V33" s="463" t="e">
        <f t="shared" si="19"/>
        <v>#DIV/0!</v>
      </c>
    </row>
    <row r="34" spans="1:22" ht="15.75" customHeight="1" x14ac:dyDescent="0.25">
      <c r="A34" s="484" t="s">
        <v>1115</v>
      </c>
      <c r="B34" s="462"/>
      <c r="C34" s="463">
        <f>+'Resumen EEFF'!B101</f>
        <v>0</v>
      </c>
      <c r="D34" s="463" t="e">
        <f t="shared" si="10"/>
        <v>#DIV/0!</v>
      </c>
      <c r="E34" s="463">
        <f>+'Resumen EEFF'!C101</f>
        <v>0</v>
      </c>
      <c r="F34" s="463" t="e">
        <f t="shared" si="11"/>
        <v>#DIV/0!</v>
      </c>
      <c r="G34" s="463">
        <f>+'Resumen EEFF'!D101</f>
        <v>0</v>
      </c>
      <c r="H34" s="463" t="e">
        <f t="shared" si="20"/>
        <v>#DIV/0!</v>
      </c>
      <c r="I34" s="601">
        <f>IF('Resumen EEFF'!$F$10="SI",'Resumen EEFF'!E101,0)</f>
        <v>0</v>
      </c>
      <c r="J34" s="600" t="e">
        <f t="shared" ca="1" si="15"/>
        <v>#DIV/0!</v>
      </c>
      <c r="K34" s="601">
        <f>IF('Resumen EEFF'!$F$10="SI",'Resumen EEFF'!F101,0)</f>
        <v>0</v>
      </c>
      <c r="L34" s="600" t="e">
        <f t="shared" ca="1" si="16"/>
        <v>#DIV/0!</v>
      </c>
      <c r="M34" s="601">
        <f>IF('Resumen EEFF'!$F$10="SI",'Resumen EEFF'!G101,0)</f>
        <v>0</v>
      </c>
      <c r="N34" s="600" t="e">
        <f t="shared" si="17"/>
        <v>#DIV/0!</v>
      </c>
      <c r="O34" s="464"/>
      <c r="P34" s="463">
        <f>+'Resumen EEFF'!U101</f>
        <v>0</v>
      </c>
      <c r="Q34" s="463" t="e">
        <f t="shared" si="13"/>
        <v>#DIV/0!</v>
      </c>
      <c r="R34" s="463">
        <f>+'Resumen EEFF'!V101</f>
        <v>0</v>
      </c>
      <c r="S34" s="463" t="e">
        <f t="shared" si="14"/>
        <v>#DIV/0!</v>
      </c>
      <c r="T34" s="465"/>
      <c r="U34" s="463" t="e">
        <f t="shared" si="18"/>
        <v>#DIV/0!</v>
      </c>
      <c r="V34" s="463" t="e">
        <f t="shared" si="19"/>
        <v>#DIV/0!</v>
      </c>
    </row>
    <row r="35" spans="1:22" ht="15.75" customHeight="1" x14ac:dyDescent="0.25">
      <c r="A35" s="455" t="s">
        <v>1116</v>
      </c>
      <c r="B35" s="456"/>
      <c r="C35" s="467">
        <f>SUM(C32:C34)</f>
        <v>0</v>
      </c>
      <c r="D35" s="467" t="e">
        <f t="shared" si="10"/>
        <v>#DIV/0!</v>
      </c>
      <c r="E35" s="467">
        <f>SUM(E32:E34)</f>
        <v>0</v>
      </c>
      <c r="F35" s="467" t="e">
        <f t="shared" si="11"/>
        <v>#DIV/0!</v>
      </c>
      <c r="G35" s="467">
        <f>SUM(G32:G34)</f>
        <v>0</v>
      </c>
      <c r="H35" s="467" t="e">
        <f t="shared" si="20"/>
        <v>#DIV/0!</v>
      </c>
      <c r="I35" s="467">
        <f ca="1">SUM(I32:I34)</f>
        <v>0</v>
      </c>
      <c r="J35" s="467" t="e">
        <f t="shared" ca="1" si="15"/>
        <v>#DIV/0!</v>
      </c>
      <c r="K35" s="467">
        <f ca="1">SUM(K32:K34)</f>
        <v>0</v>
      </c>
      <c r="L35" s="467" t="e">
        <f t="shared" ca="1" si="16"/>
        <v>#DIV/0!</v>
      </c>
      <c r="M35" s="467">
        <f ca="1">SUM(M32:M34)</f>
        <v>0</v>
      </c>
      <c r="N35" s="467" t="e">
        <f t="shared" ca="1" si="17"/>
        <v>#DIV/0!</v>
      </c>
      <c r="O35" s="468"/>
      <c r="P35" s="467">
        <f>SUM(P32:P34)</f>
        <v>0</v>
      </c>
      <c r="Q35" s="467" t="e">
        <f t="shared" si="13"/>
        <v>#DIV/0!</v>
      </c>
      <c r="R35" s="467">
        <f>SUM(R32:R34)</f>
        <v>0</v>
      </c>
      <c r="S35" s="467" t="e">
        <f t="shared" si="14"/>
        <v>#DIV/0!</v>
      </c>
      <c r="T35" s="467"/>
      <c r="U35" s="467" t="e">
        <f t="shared" si="18"/>
        <v>#DIV/0!</v>
      </c>
      <c r="V35" s="467" t="e">
        <f t="shared" si="19"/>
        <v>#DIV/0!</v>
      </c>
    </row>
    <row r="36" spans="1:22" ht="15.75" customHeight="1" x14ac:dyDescent="0.25">
      <c r="A36" s="485" t="s">
        <v>869</v>
      </c>
      <c r="B36" s="486"/>
      <c r="C36" s="487">
        <f>+'Resumen EEFF'!B103</f>
        <v>0</v>
      </c>
      <c r="D36" s="463" t="e">
        <f t="shared" si="10"/>
        <v>#DIV/0!</v>
      </c>
      <c r="E36" s="487">
        <f>+'Resumen EEFF'!C103</f>
        <v>0</v>
      </c>
      <c r="F36" s="463" t="e">
        <f t="shared" si="11"/>
        <v>#DIV/0!</v>
      </c>
      <c r="G36" s="487">
        <f>+'Resumen EEFF'!D103</f>
        <v>0</v>
      </c>
      <c r="H36" s="463" t="e">
        <f t="shared" si="20"/>
        <v>#DIV/0!</v>
      </c>
      <c r="I36" s="603">
        <f ca="1">IF('Resumen EEFF'!$F$10="SI",'Resumen EEFF'!E103,0)</f>
        <v>0</v>
      </c>
      <c r="J36" s="600" t="e">
        <f t="shared" ca="1" si="15"/>
        <v>#DIV/0!</v>
      </c>
      <c r="K36" s="603">
        <f ca="1">IF('Resumen EEFF'!$F$10="SI",'Resumen EEFF'!F103,0)</f>
        <v>0</v>
      </c>
      <c r="L36" s="600" t="e">
        <f t="shared" ca="1" si="16"/>
        <v>#DIV/0!</v>
      </c>
      <c r="M36" s="603">
        <f ca="1">IF('Resumen EEFF'!$F$10="SI",'Resumen EEFF'!G103,0)</f>
        <v>0</v>
      </c>
      <c r="N36" s="600" t="e">
        <f t="shared" ca="1" si="17"/>
        <v>#DIV/0!</v>
      </c>
      <c r="O36" s="464"/>
      <c r="P36" s="487">
        <f>+'Resumen EEFF'!U103</f>
        <v>0</v>
      </c>
      <c r="Q36" s="463" t="e">
        <f t="shared" si="13"/>
        <v>#DIV/0!</v>
      </c>
      <c r="R36" s="487">
        <f>+'Resumen EEFF'!V103</f>
        <v>0</v>
      </c>
      <c r="S36" s="463" t="e">
        <f t="shared" si="14"/>
        <v>#DIV/0!</v>
      </c>
      <c r="T36" s="488"/>
      <c r="U36" s="463" t="e">
        <f t="shared" si="18"/>
        <v>#DIV/0!</v>
      </c>
      <c r="V36" s="463" t="e">
        <f t="shared" si="19"/>
        <v>#DIV/0!</v>
      </c>
    </row>
    <row r="37" spans="1:22" ht="15.75" customHeight="1" x14ac:dyDescent="0.25">
      <c r="A37" s="455" t="s">
        <v>870</v>
      </c>
      <c r="B37" s="456"/>
      <c r="C37" s="467">
        <f>+'Resumen EEFF'!B104</f>
        <v>0</v>
      </c>
      <c r="D37" s="564" t="e">
        <f>+D35+D31+D26</f>
        <v>#DIV/0!</v>
      </c>
      <c r="E37" s="467">
        <f>+'Resumen EEFF'!C104</f>
        <v>0</v>
      </c>
      <c r="F37" s="564" t="e">
        <f>+F35+F31+F26</f>
        <v>#DIV/0!</v>
      </c>
      <c r="G37" s="467">
        <f>+'Resumen EEFF'!D104</f>
        <v>0</v>
      </c>
      <c r="H37" s="564" t="e">
        <f>+H35+H31+H26</f>
        <v>#DIV/0!</v>
      </c>
      <c r="I37" s="467">
        <f ca="1">IF('Resumen EEFF'!$F$10="SI",'Resumen EEFF'!E104,0)</f>
        <v>0</v>
      </c>
      <c r="J37" s="467" t="e">
        <f t="shared" ca="1" si="15"/>
        <v>#DIV/0!</v>
      </c>
      <c r="K37" s="467">
        <f ca="1">IF('Resumen EEFF'!$F$10="SI",'Resumen EEFF'!F104,0)</f>
        <v>0</v>
      </c>
      <c r="L37" s="467" t="e">
        <f t="shared" ca="1" si="16"/>
        <v>#DIV/0!</v>
      </c>
      <c r="M37" s="467"/>
      <c r="N37" s="467" t="e">
        <f t="shared" si="17"/>
        <v>#DIV/0!</v>
      </c>
      <c r="O37" s="468"/>
      <c r="P37" s="467">
        <f>+'Resumen EEFF'!U104</f>
        <v>0</v>
      </c>
      <c r="Q37" s="564" t="e">
        <f>+Q35+Q31+Q26</f>
        <v>#DIV/0!</v>
      </c>
      <c r="R37" s="467">
        <f>+'Resumen EEFF'!V104</f>
        <v>0</v>
      </c>
      <c r="S37" s="564" t="e">
        <f>+S35+S31+S26</f>
        <v>#DIV/0!</v>
      </c>
      <c r="T37" s="459"/>
      <c r="U37" s="564" t="e">
        <f t="shared" si="18"/>
        <v>#DIV/0!</v>
      </c>
      <c r="V37" s="564" t="e">
        <f t="shared" si="19"/>
        <v>#DIV/0!</v>
      </c>
    </row>
    <row r="38" spans="1:22" ht="15.75" customHeight="1" thickBot="1" x14ac:dyDescent="0.3">
      <c r="A38" s="454"/>
      <c r="B38" s="454"/>
      <c r="C38" s="489"/>
      <c r="D38" s="490"/>
      <c r="E38" s="489"/>
      <c r="F38" s="490"/>
      <c r="G38" s="489"/>
      <c r="H38" s="490"/>
      <c r="I38" s="489"/>
      <c r="J38" s="490"/>
      <c r="K38" s="489"/>
      <c r="L38" s="490"/>
      <c r="M38" s="489"/>
      <c r="N38" s="490"/>
      <c r="O38" s="491"/>
      <c r="P38" s="489"/>
      <c r="Q38" s="490"/>
      <c r="R38" s="489"/>
      <c r="S38" s="490"/>
      <c r="T38" s="490"/>
      <c r="U38" s="490"/>
      <c r="V38" s="490"/>
    </row>
    <row r="39" spans="1:22" s="476" customFormat="1" ht="15.75" customHeight="1" thickBot="1" x14ac:dyDescent="0.3">
      <c r="A39" s="477" t="s">
        <v>1117</v>
      </c>
      <c r="B39" s="478"/>
      <c r="C39" s="479"/>
      <c r="D39" s="479"/>
      <c r="E39" s="479"/>
      <c r="F39" s="479"/>
      <c r="G39" s="479"/>
      <c r="H39" s="479"/>
      <c r="I39" s="479"/>
      <c r="J39" s="479"/>
      <c r="K39" s="479"/>
      <c r="L39" s="479"/>
      <c r="M39" s="479"/>
      <c r="N39" s="479"/>
      <c r="O39" s="480"/>
      <c r="P39" s="479"/>
      <c r="Q39" s="479"/>
      <c r="R39" s="479"/>
      <c r="S39" s="479"/>
      <c r="T39" s="481"/>
      <c r="U39" s="482"/>
      <c r="V39" s="482"/>
    </row>
    <row r="40" spans="1:22" ht="15.75" customHeight="1" x14ac:dyDescent="0.25">
      <c r="A40" s="452"/>
      <c r="B40" s="452"/>
      <c r="C40" s="492"/>
      <c r="D40" s="492"/>
      <c r="E40" s="492"/>
      <c r="F40" s="492"/>
      <c r="G40" s="492"/>
      <c r="H40" s="492"/>
      <c r="I40" s="492"/>
      <c r="J40" s="492"/>
      <c r="K40" s="492"/>
      <c r="L40" s="492"/>
      <c r="M40" s="492"/>
      <c r="N40" s="492"/>
      <c r="O40" s="493"/>
      <c r="P40" s="492"/>
      <c r="Q40" s="492"/>
      <c r="R40" s="492"/>
      <c r="S40" s="492"/>
      <c r="T40" s="490"/>
      <c r="U40" s="490"/>
      <c r="V40" s="490"/>
    </row>
    <row r="41" spans="1:22" ht="15.75" customHeight="1" x14ac:dyDescent="0.25">
      <c r="A41" s="494"/>
      <c r="B41" s="495"/>
      <c r="C41" s="457">
        <f t="shared" ref="C41:H41" si="21">+C5</f>
        <v>42735</v>
      </c>
      <c r="D41" s="457" t="str">
        <f t="shared" si="21"/>
        <v>%</v>
      </c>
      <c r="E41" s="457">
        <f t="shared" si="21"/>
        <v>43100</v>
      </c>
      <c r="F41" s="457" t="str">
        <f t="shared" si="21"/>
        <v>%</v>
      </c>
      <c r="G41" s="457">
        <f t="shared" si="21"/>
        <v>43465</v>
      </c>
      <c r="H41" s="457" t="str">
        <f t="shared" si="21"/>
        <v>%</v>
      </c>
      <c r="I41" s="602">
        <f>+I5</f>
        <v>43830</v>
      </c>
      <c r="J41" s="457" t="s">
        <v>262</v>
      </c>
      <c r="K41" s="602">
        <f>+K5</f>
        <v>44196</v>
      </c>
      <c r="L41" s="457" t="s">
        <v>262</v>
      </c>
      <c r="M41" s="602">
        <f>+M5</f>
        <v>44561</v>
      </c>
      <c r="N41" s="457" t="s">
        <v>262</v>
      </c>
      <c r="O41" s="458"/>
      <c r="P41" s="457">
        <f>+P5</f>
        <v>43281</v>
      </c>
      <c r="Q41" s="457" t="str">
        <f>+Q5</f>
        <v>%</v>
      </c>
      <c r="R41" s="457">
        <f>+R5</f>
        <v>43646</v>
      </c>
      <c r="S41" s="457" t="str">
        <f>+S5</f>
        <v>%</v>
      </c>
      <c r="T41" s="459"/>
      <c r="U41" s="460" t="str">
        <f>+U5</f>
        <v>Variacion 2/1</v>
      </c>
      <c r="V41" s="460" t="str">
        <f>+V5</f>
        <v>Variacion 3/2</v>
      </c>
    </row>
    <row r="42" spans="1:22" ht="15.75" customHeight="1" x14ac:dyDescent="0.25">
      <c r="A42" s="485" t="s">
        <v>338</v>
      </c>
      <c r="B42" s="486"/>
      <c r="C42" s="487">
        <f>+'Resumen EEFF'!B13</f>
        <v>0</v>
      </c>
      <c r="D42" s="487" t="e">
        <f t="shared" ref="D42:D51" si="22">+(C42/$C$42)*100</f>
        <v>#DIV/0!</v>
      </c>
      <c r="E42" s="487">
        <f>+'Resumen EEFF'!C13</f>
        <v>0</v>
      </c>
      <c r="F42" s="487" t="e">
        <f t="shared" ref="F42:F51" si="23">+(E42/$E$42)*100</f>
        <v>#DIV/0!</v>
      </c>
      <c r="G42" s="487">
        <f>+'Resumen EEFF'!D13</f>
        <v>0</v>
      </c>
      <c r="H42" s="487" t="e">
        <f t="shared" ref="H42:H51" si="24">+(G42/$G$42)*100</f>
        <v>#DIV/0!</v>
      </c>
      <c r="I42" s="487">
        <f>IF('Resumen EEFF'!$F$10="SI",'Resumen EEFF'!E13,0)</f>
        <v>0</v>
      </c>
      <c r="J42" s="487" t="e">
        <f>+(I42/$I$42)*100</f>
        <v>#DIV/0!</v>
      </c>
      <c r="K42" s="487">
        <f>IF('Resumen EEFF'!$F$10="SI",'Resumen EEFF'!F13,0)</f>
        <v>0</v>
      </c>
      <c r="L42" s="487" t="e">
        <f>+(K42/$K$42)*100</f>
        <v>#DIV/0!</v>
      </c>
      <c r="M42" s="487">
        <f>IF('Resumen EEFF'!$F$10="SI",'Resumen EEFF'!G13,0)</f>
        <v>0</v>
      </c>
      <c r="N42" s="487" t="e">
        <f>+(M42/$M$42)*100</f>
        <v>#DIV/0!</v>
      </c>
      <c r="O42" s="468"/>
      <c r="P42" s="487">
        <f>+'Resumen EEFF'!U13</f>
        <v>0</v>
      </c>
      <c r="Q42" s="487" t="e">
        <f>+(P42/$P$42)*100</f>
        <v>#DIV/0!</v>
      </c>
      <c r="R42" s="487">
        <f>+'Resumen EEFF'!V13</f>
        <v>0</v>
      </c>
      <c r="S42" s="487" t="e">
        <f>+(R42/$R$42)*100</f>
        <v>#DIV/0!</v>
      </c>
      <c r="T42" s="488"/>
      <c r="U42" s="487" t="e">
        <f>+(E42-C42)/C42</f>
        <v>#DIV/0!</v>
      </c>
      <c r="V42" s="487" t="e">
        <f>+(G42-E42)/E42</f>
        <v>#DIV/0!</v>
      </c>
    </row>
    <row r="43" spans="1:22" ht="15.75" customHeight="1" x14ac:dyDescent="0.25">
      <c r="A43" s="461" t="s">
        <v>1118</v>
      </c>
      <c r="B43" s="462"/>
      <c r="C43" s="487">
        <f>+'Resumen EEFF'!B14</f>
        <v>0</v>
      </c>
      <c r="D43" s="487" t="e">
        <f t="shared" si="22"/>
        <v>#DIV/0!</v>
      </c>
      <c r="E43" s="487">
        <f>+'Resumen EEFF'!C14</f>
        <v>0</v>
      </c>
      <c r="F43" s="487" t="e">
        <f t="shared" si="23"/>
        <v>#DIV/0!</v>
      </c>
      <c r="G43" s="487">
        <f>+'Resumen EEFF'!D14</f>
        <v>0</v>
      </c>
      <c r="H43" s="487" t="e">
        <f t="shared" si="24"/>
        <v>#DIV/0!</v>
      </c>
      <c r="I43" s="487">
        <f>IF('Resumen EEFF'!$F$10="SI",'Resumen EEFF'!E14,0)</f>
        <v>0</v>
      </c>
      <c r="J43" s="487" t="e">
        <f t="shared" ref="J43:J65" si="25">+(I43/$I$42)*100</f>
        <v>#DIV/0!</v>
      </c>
      <c r="K43" s="487">
        <f>IF('Resumen EEFF'!$F$10="SI",'Resumen EEFF'!F14,0)</f>
        <v>0</v>
      </c>
      <c r="L43" s="487" t="e">
        <f t="shared" ref="L43:L66" si="26">+(K43/$K$42)*100</f>
        <v>#DIV/0!</v>
      </c>
      <c r="M43" s="487">
        <f>IF('Resumen EEFF'!$F$10="SI",'Resumen EEFF'!G14,0)</f>
        <v>0</v>
      </c>
      <c r="N43" s="487" t="e">
        <f t="shared" ref="N43:N66" si="27">+(M43/$M$42)*100</f>
        <v>#DIV/0!</v>
      </c>
      <c r="O43" s="464"/>
      <c r="P43" s="487">
        <f>+'Resumen EEFF'!U14</f>
        <v>0</v>
      </c>
      <c r="Q43" s="487" t="e">
        <f t="shared" ref="Q43:Q66" si="28">+(P43/$P$42)*100</f>
        <v>#DIV/0!</v>
      </c>
      <c r="R43" s="487">
        <f>+'Resumen EEFF'!V14</f>
        <v>0</v>
      </c>
      <c r="S43" s="487" t="e">
        <f t="shared" ref="S43:S66" si="29">+(R43/$R$42)*100</f>
        <v>#DIV/0!</v>
      </c>
      <c r="T43" s="465"/>
      <c r="U43" s="487" t="e">
        <f t="shared" ref="U43:U66" si="30">+(E43-C43)/C43</f>
        <v>#DIV/0!</v>
      </c>
      <c r="V43" s="487" t="e">
        <f t="shared" ref="V43:V66" si="31">+(G43-E43)/E43</f>
        <v>#DIV/0!</v>
      </c>
    </row>
    <row r="44" spans="1:22" ht="15.75" customHeight="1" x14ac:dyDescent="0.25">
      <c r="A44" s="496" t="s">
        <v>871</v>
      </c>
      <c r="B44" s="456"/>
      <c r="C44" s="467">
        <f>+'Resumen EEFF'!B15</f>
        <v>0</v>
      </c>
      <c r="D44" s="467" t="e">
        <f t="shared" si="22"/>
        <v>#DIV/0!</v>
      </c>
      <c r="E44" s="467">
        <f>+'Resumen EEFF'!C15</f>
        <v>0</v>
      </c>
      <c r="F44" s="467" t="e">
        <f t="shared" si="23"/>
        <v>#DIV/0!</v>
      </c>
      <c r="G44" s="467">
        <f>+'Resumen EEFF'!D15</f>
        <v>0</v>
      </c>
      <c r="H44" s="467" t="e">
        <f t="shared" si="24"/>
        <v>#DIV/0!</v>
      </c>
      <c r="I44" s="467">
        <f>IF('Resumen EEFF'!$F$10="SI",'Resumen EEFF'!E15,0)</f>
        <v>0</v>
      </c>
      <c r="J44" s="467" t="e">
        <f t="shared" si="25"/>
        <v>#DIV/0!</v>
      </c>
      <c r="K44" s="467">
        <f>IF('Resumen EEFF'!$F$10="SI",'Resumen EEFF'!F15,0)</f>
        <v>0</v>
      </c>
      <c r="L44" s="467" t="e">
        <f t="shared" si="26"/>
        <v>#DIV/0!</v>
      </c>
      <c r="M44" s="467">
        <f>IF('Resumen EEFF'!$F$10="SI",'Resumen EEFF'!G15,0)</f>
        <v>0</v>
      </c>
      <c r="N44" s="467" t="e">
        <f t="shared" si="27"/>
        <v>#DIV/0!</v>
      </c>
      <c r="O44" s="468"/>
      <c r="P44" s="467">
        <f>+'Resumen EEFF'!U15</f>
        <v>0</v>
      </c>
      <c r="Q44" s="467" t="e">
        <f t="shared" si="28"/>
        <v>#DIV/0!</v>
      </c>
      <c r="R44" s="467">
        <f>+'Resumen EEFF'!V15</f>
        <v>0</v>
      </c>
      <c r="S44" s="467" t="e">
        <f t="shared" si="29"/>
        <v>#DIV/0!</v>
      </c>
      <c r="T44" s="459"/>
      <c r="U44" s="467" t="e">
        <f t="shared" si="30"/>
        <v>#DIV/0!</v>
      </c>
      <c r="V44" s="467" t="e">
        <f t="shared" si="31"/>
        <v>#DIV/0!</v>
      </c>
    </row>
    <row r="45" spans="1:22" ht="15.75" customHeight="1" x14ac:dyDescent="0.25">
      <c r="A45" s="470" t="s">
        <v>1119</v>
      </c>
      <c r="B45" s="462"/>
      <c r="C45" s="463">
        <f>+'Resumen EEFF'!B16</f>
        <v>0</v>
      </c>
      <c r="D45" s="463" t="e">
        <f t="shared" si="22"/>
        <v>#DIV/0!</v>
      </c>
      <c r="E45" s="463">
        <f>+'Resumen EEFF'!C16</f>
        <v>0</v>
      </c>
      <c r="F45" s="463" t="e">
        <f t="shared" si="23"/>
        <v>#DIV/0!</v>
      </c>
      <c r="G45" s="463">
        <f>+'Resumen EEFF'!D16</f>
        <v>0</v>
      </c>
      <c r="H45" s="463" t="e">
        <f t="shared" si="24"/>
        <v>#DIV/0!</v>
      </c>
      <c r="I45" s="463">
        <f>IF('Resumen EEFF'!$F$10="SI",'Resumen EEFF'!E16,0)</f>
        <v>0</v>
      </c>
      <c r="J45" s="463" t="e">
        <f t="shared" si="25"/>
        <v>#DIV/0!</v>
      </c>
      <c r="K45" s="463">
        <f>IF('Resumen EEFF'!$F$10="SI",'Resumen EEFF'!F16,0)</f>
        <v>0</v>
      </c>
      <c r="L45" s="463" t="e">
        <f t="shared" si="26"/>
        <v>#DIV/0!</v>
      </c>
      <c r="M45" s="463">
        <f>IF('Resumen EEFF'!$F$10="SI",'Resumen EEFF'!G16,0)</f>
        <v>0</v>
      </c>
      <c r="N45" s="463" t="e">
        <f t="shared" si="27"/>
        <v>#DIV/0!</v>
      </c>
      <c r="O45" s="464"/>
      <c r="P45" s="463">
        <f>+'Resumen EEFF'!U16</f>
        <v>0</v>
      </c>
      <c r="Q45" s="463" t="e">
        <f t="shared" si="28"/>
        <v>#DIV/0!</v>
      </c>
      <c r="R45" s="463">
        <f>+'Resumen EEFF'!V16</f>
        <v>0</v>
      </c>
      <c r="S45" s="463" t="e">
        <f t="shared" si="29"/>
        <v>#DIV/0!</v>
      </c>
      <c r="T45" s="465"/>
      <c r="U45" s="463" t="e">
        <f t="shared" si="30"/>
        <v>#DIV/0!</v>
      </c>
      <c r="V45" s="463" t="e">
        <f t="shared" si="31"/>
        <v>#DIV/0!</v>
      </c>
    </row>
    <row r="46" spans="1:22" ht="15.75" customHeight="1" x14ac:dyDescent="0.25">
      <c r="A46" s="484" t="s">
        <v>1120</v>
      </c>
      <c r="B46" s="462"/>
      <c r="C46" s="463">
        <f>+'Resumen EEFF'!B17</f>
        <v>0</v>
      </c>
      <c r="D46" s="463" t="e">
        <f t="shared" si="22"/>
        <v>#DIV/0!</v>
      </c>
      <c r="E46" s="463">
        <f>+'Resumen EEFF'!C17</f>
        <v>0</v>
      </c>
      <c r="F46" s="463" t="e">
        <f t="shared" si="23"/>
        <v>#DIV/0!</v>
      </c>
      <c r="G46" s="463">
        <f>+'Resumen EEFF'!D17</f>
        <v>0</v>
      </c>
      <c r="H46" s="463" t="e">
        <f t="shared" si="24"/>
        <v>#DIV/0!</v>
      </c>
      <c r="I46" s="463">
        <f>IF('Resumen EEFF'!$F$10="SI",'Resumen EEFF'!E17,0)</f>
        <v>0</v>
      </c>
      <c r="J46" s="463" t="e">
        <f t="shared" si="25"/>
        <v>#DIV/0!</v>
      </c>
      <c r="K46" s="463">
        <f>IF('Resumen EEFF'!$F$10="SI",'Resumen EEFF'!F17,0)</f>
        <v>0</v>
      </c>
      <c r="L46" s="463" t="e">
        <f t="shared" si="26"/>
        <v>#DIV/0!</v>
      </c>
      <c r="M46" s="463">
        <f>IF('Resumen EEFF'!$F$10="SI",'Resumen EEFF'!G17,0)</f>
        <v>0</v>
      </c>
      <c r="N46" s="463" t="e">
        <f t="shared" si="27"/>
        <v>#DIV/0!</v>
      </c>
      <c r="O46" s="464"/>
      <c r="P46" s="463">
        <f>+'Resumen EEFF'!U17</f>
        <v>0</v>
      </c>
      <c r="Q46" s="463" t="e">
        <f t="shared" si="28"/>
        <v>#DIV/0!</v>
      </c>
      <c r="R46" s="463">
        <f>+'Resumen EEFF'!V17</f>
        <v>0</v>
      </c>
      <c r="S46" s="463" t="e">
        <f t="shared" si="29"/>
        <v>#DIV/0!</v>
      </c>
      <c r="T46" s="465"/>
      <c r="U46" s="463" t="e">
        <f t="shared" si="30"/>
        <v>#DIV/0!</v>
      </c>
      <c r="V46" s="463" t="e">
        <f t="shared" si="31"/>
        <v>#DIV/0!</v>
      </c>
    </row>
    <row r="47" spans="1:22" ht="15.75" customHeight="1" x14ac:dyDescent="0.25">
      <c r="A47" s="461" t="s">
        <v>1124</v>
      </c>
      <c r="B47" s="462"/>
      <c r="C47" s="463">
        <f>+'Resumen EEFF'!B18</f>
        <v>0</v>
      </c>
      <c r="D47" s="463" t="e">
        <f t="shared" si="22"/>
        <v>#DIV/0!</v>
      </c>
      <c r="E47" s="463">
        <f>+'Resumen EEFF'!C18</f>
        <v>0</v>
      </c>
      <c r="F47" s="463" t="e">
        <f t="shared" si="23"/>
        <v>#DIV/0!</v>
      </c>
      <c r="G47" s="463">
        <f>+'Resumen EEFF'!D18</f>
        <v>0</v>
      </c>
      <c r="H47" s="463" t="e">
        <f t="shared" si="24"/>
        <v>#DIV/0!</v>
      </c>
      <c r="I47" s="463">
        <f>IF('Resumen EEFF'!$F$10="SI",'Resumen EEFF'!E18,0)</f>
        <v>0</v>
      </c>
      <c r="J47" s="463" t="e">
        <f t="shared" si="25"/>
        <v>#DIV/0!</v>
      </c>
      <c r="K47" s="463">
        <f>IF('Resumen EEFF'!$F$10="SI",'Resumen EEFF'!F18,0)</f>
        <v>0</v>
      </c>
      <c r="L47" s="463" t="e">
        <f t="shared" si="26"/>
        <v>#DIV/0!</v>
      </c>
      <c r="M47" s="463">
        <f>IF('Resumen EEFF'!$F$10="SI",'Resumen EEFF'!G18,0)</f>
        <v>0</v>
      </c>
      <c r="N47" s="463" t="e">
        <f t="shared" si="27"/>
        <v>#DIV/0!</v>
      </c>
      <c r="O47" s="464"/>
      <c r="P47" s="463">
        <f>+'Resumen EEFF'!U18</f>
        <v>0</v>
      </c>
      <c r="Q47" s="463" t="e">
        <f t="shared" si="28"/>
        <v>#DIV/0!</v>
      </c>
      <c r="R47" s="463">
        <f>+'Resumen EEFF'!V18</f>
        <v>0</v>
      </c>
      <c r="S47" s="463" t="e">
        <f t="shared" si="29"/>
        <v>#DIV/0!</v>
      </c>
      <c r="T47" s="465"/>
      <c r="U47" s="463" t="e">
        <f t="shared" si="30"/>
        <v>#DIV/0!</v>
      </c>
      <c r="V47" s="463" t="e">
        <f t="shared" si="31"/>
        <v>#DIV/0!</v>
      </c>
    </row>
    <row r="48" spans="1:22" s="497" customFormat="1" ht="15.75" customHeight="1" x14ac:dyDescent="0.25">
      <c r="A48" s="455" t="s">
        <v>872</v>
      </c>
      <c r="B48" s="456"/>
      <c r="C48" s="467">
        <f>+'Resumen EEFF'!B19</f>
        <v>0</v>
      </c>
      <c r="D48" s="467" t="e">
        <f t="shared" si="22"/>
        <v>#DIV/0!</v>
      </c>
      <c r="E48" s="467">
        <f>+'Resumen EEFF'!C19</f>
        <v>0</v>
      </c>
      <c r="F48" s="467" t="e">
        <f t="shared" si="23"/>
        <v>#DIV/0!</v>
      </c>
      <c r="G48" s="467">
        <f>+'Resumen EEFF'!D19</f>
        <v>0</v>
      </c>
      <c r="H48" s="467" t="e">
        <f t="shared" si="24"/>
        <v>#DIV/0!</v>
      </c>
      <c r="I48" s="467">
        <f>IF('Resumen EEFF'!$F$10="SI",'Resumen EEFF'!E19,0)</f>
        <v>0</v>
      </c>
      <c r="J48" s="467" t="e">
        <f t="shared" si="25"/>
        <v>#DIV/0!</v>
      </c>
      <c r="K48" s="467">
        <f>IF('Resumen EEFF'!$F$10="SI",'Resumen EEFF'!F19,0)</f>
        <v>0</v>
      </c>
      <c r="L48" s="467" t="e">
        <f t="shared" si="26"/>
        <v>#DIV/0!</v>
      </c>
      <c r="M48" s="467">
        <f>IF('Resumen EEFF'!$F$10="SI",'Resumen EEFF'!G19,0)</f>
        <v>0</v>
      </c>
      <c r="N48" s="467" t="e">
        <f t="shared" si="27"/>
        <v>#DIV/0!</v>
      </c>
      <c r="O48" s="468"/>
      <c r="P48" s="467">
        <f>+'Resumen EEFF'!U19</f>
        <v>0</v>
      </c>
      <c r="Q48" s="467" t="e">
        <f t="shared" si="28"/>
        <v>#DIV/0!</v>
      </c>
      <c r="R48" s="467">
        <f>+'Resumen EEFF'!V19</f>
        <v>0</v>
      </c>
      <c r="S48" s="467" t="e">
        <f t="shared" si="29"/>
        <v>#DIV/0!</v>
      </c>
      <c r="T48" s="459"/>
      <c r="U48" s="467" t="e">
        <f t="shared" si="30"/>
        <v>#DIV/0!</v>
      </c>
      <c r="V48" s="467" t="e">
        <f t="shared" si="31"/>
        <v>#DIV/0!</v>
      </c>
    </row>
    <row r="49" spans="1:22" ht="15.75" customHeight="1" x14ac:dyDescent="0.25">
      <c r="A49" s="498" t="s">
        <v>873</v>
      </c>
      <c r="B49" s="462"/>
      <c r="C49" s="463">
        <f>+'Resumen EEFF'!B21</f>
        <v>0</v>
      </c>
      <c r="D49" s="463" t="e">
        <f t="shared" si="22"/>
        <v>#DIV/0!</v>
      </c>
      <c r="E49" s="463">
        <f>+'Resumen EEFF'!C21</f>
        <v>0</v>
      </c>
      <c r="F49" s="463" t="e">
        <f t="shared" si="23"/>
        <v>#DIV/0!</v>
      </c>
      <c r="G49" s="463">
        <f>+'Resumen EEFF'!D21</f>
        <v>0</v>
      </c>
      <c r="H49" s="463" t="e">
        <f t="shared" si="24"/>
        <v>#DIV/0!</v>
      </c>
      <c r="I49" s="463">
        <f>IF('Resumen EEFF'!$F$10="SI",'Resumen EEFF'!E21,0)</f>
        <v>0</v>
      </c>
      <c r="J49" s="463" t="e">
        <f t="shared" si="25"/>
        <v>#DIV/0!</v>
      </c>
      <c r="K49" s="463">
        <f>IF('Resumen EEFF'!$F$10="SI",'Resumen EEFF'!F21,0)</f>
        <v>0</v>
      </c>
      <c r="L49" s="463" t="e">
        <f t="shared" si="26"/>
        <v>#DIV/0!</v>
      </c>
      <c r="M49" s="463">
        <f>IF('Resumen EEFF'!$F$10="SI",'Resumen EEFF'!G21,0)</f>
        <v>0</v>
      </c>
      <c r="N49" s="463" t="e">
        <f t="shared" si="27"/>
        <v>#DIV/0!</v>
      </c>
      <c r="O49" s="464"/>
      <c r="P49" s="463">
        <f>+'Resumen EEFF'!U21</f>
        <v>0</v>
      </c>
      <c r="Q49" s="463" t="e">
        <f t="shared" si="28"/>
        <v>#DIV/0!</v>
      </c>
      <c r="R49" s="463">
        <f>+'Resumen EEFF'!V21</f>
        <v>0</v>
      </c>
      <c r="S49" s="463" t="e">
        <f t="shared" si="29"/>
        <v>#DIV/0!</v>
      </c>
      <c r="T49" s="465"/>
      <c r="U49" s="463" t="e">
        <f t="shared" si="30"/>
        <v>#DIV/0!</v>
      </c>
      <c r="V49" s="463" t="e">
        <f t="shared" si="31"/>
        <v>#DIV/0!</v>
      </c>
    </row>
    <row r="50" spans="1:22" ht="15.75" customHeight="1" x14ac:dyDescent="0.25">
      <c r="A50" s="455" t="s">
        <v>1125</v>
      </c>
      <c r="B50" s="456"/>
      <c r="C50" s="499">
        <f>+'Resumen EEFF'!B22</f>
        <v>0</v>
      </c>
      <c r="D50" s="467" t="e">
        <f t="shared" si="22"/>
        <v>#DIV/0!</v>
      </c>
      <c r="E50" s="499">
        <f>+'Resumen EEFF'!C22</f>
        <v>0</v>
      </c>
      <c r="F50" s="467" t="e">
        <f t="shared" si="23"/>
        <v>#DIV/0!</v>
      </c>
      <c r="G50" s="499">
        <f>+'Resumen EEFF'!D22</f>
        <v>0</v>
      </c>
      <c r="H50" s="467" t="e">
        <f t="shared" si="24"/>
        <v>#DIV/0!</v>
      </c>
      <c r="I50" s="499">
        <f>IF('Resumen EEFF'!$F$10="SI",'Resumen EEFF'!E22,0)</f>
        <v>0</v>
      </c>
      <c r="J50" s="467" t="e">
        <f t="shared" si="25"/>
        <v>#DIV/0!</v>
      </c>
      <c r="K50" s="499">
        <f>IF('Resumen EEFF'!$F$10="SI",'Resumen EEFF'!F22,0)</f>
        <v>0</v>
      </c>
      <c r="L50" s="467" t="e">
        <f t="shared" si="26"/>
        <v>#DIV/0!</v>
      </c>
      <c r="M50" s="499">
        <f>IF('Resumen EEFF'!$F$10="SI",'Resumen EEFF'!G22,0)</f>
        <v>0</v>
      </c>
      <c r="N50" s="467" t="e">
        <f t="shared" si="27"/>
        <v>#DIV/0!</v>
      </c>
      <c r="O50" s="468"/>
      <c r="P50" s="499">
        <f>+'Resumen EEFF'!U22</f>
        <v>0</v>
      </c>
      <c r="Q50" s="499" t="e">
        <f t="shared" si="28"/>
        <v>#DIV/0!</v>
      </c>
      <c r="R50" s="499">
        <f>+'Resumen EEFF'!V22</f>
        <v>0</v>
      </c>
      <c r="S50" s="499" t="e">
        <f t="shared" si="29"/>
        <v>#DIV/0!</v>
      </c>
      <c r="T50" s="459"/>
      <c r="U50" s="499" t="e">
        <f t="shared" si="30"/>
        <v>#DIV/0!</v>
      </c>
      <c r="V50" s="499" t="e">
        <f t="shared" si="31"/>
        <v>#DIV/0!</v>
      </c>
    </row>
    <row r="51" spans="1:22" s="497" customFormat="1" ht="15.75" customHeight="1" x14ac:dyDescent="0.25">
      <c r="A51" s="461" t="s">
        <v>1126</v>
      </c>
      <c r="B51" s="462"/>
      <c r="C51" s="463">
        <f>+'Resumen EEFF'!B24</f>
        <v>0</v>
      </c>
      <c r="D51" s="463" t="e">
        <f t="shared" si="22"/>
        <v>#DIV/0!</v>
      </c>
      <c r="E51" s="463">
        <f>+'Resumen EEFF'!C24</f>
        <v>0</v>
      </c>
      <c r="F51" s="463" t="e">
        <f t="shared" si="23"/>
        <v>#DIV/0!</v>
      </c>
      <c r="G51" s="463">
        <f>+'Resumen EEFF'!D24</f>
        <v>0</v>
      </c>
      <c r="H51" s="463" t="e">
        <f t="shared" si="24"/>
        <v>#DIV/0!</v>
      </c>
      <c r="I51" s="463">
        <f>IF('Resumen EEFF'!$F$10="SI",'Resumen EEFF'!E24,0)</f>
        <v>0</v>
      </c>
      <c r="J51" s="463" t="e">
        <f t="shared" si="25"/>
        <v>#DIV/0!</v>
      </c>
      <c r="K51" s="463">
        <f>IF('Resumen EEFF'!$F$10="SI",'Resumen EEFF'!F24,0)</f>
        <v>0</v>
      </c>
      <c r="L51" s="463" t="e">
        <f t="shared" si="26"/>
        <v>#DIV/0!</v>
      </c>
      <c r="M51" s="463">
        <f>IF('Resumen EEFF'!$F$10="SI",'Resumen EEFF'!G24,0)</f>
        <v>0</v>
      </c>
      <c r="N51" s="463" t="e">
        <f t="shared" si="27"/>
        <v>#DIV/0!</v>
      </c>
      <c r="O51" s="464"/>
      <c r="P51" s="463">
        <f>+'Resumen EEFF'!U24</f>
        <v>0</v>
      </c>
      <c r="Q51" s="463" t="e">
        <f t="shared" si="28"/>
        <v>#DIV/0!</v>
      </c>
      <c r="R51" s="463">
        <f>+'Resumen EEFF'!V24</f>
        <v>0</v>
      </c>
      <c r="S51" s="463" t="e">
        <f t="shared" si="29"/>
        <v>#DIV/0!</v>
      </c>
      <c r="T51" s="465"/>
      <c r="U51" s="463" t="e">
        <f t="shared" si="30"/>
        <v>#DIV/0!</v>
      </c>
      <c r="V51" s="463" t="e">
        <f t="shared" si="31"/>
        <v>#DIV/0!</v>
      </c>
    </row>
    <row r="52" spans="1:22" ht="15.75" customHeight="1" x14ac:dyDescent="0.25">
      <c r="A52" s="461" t="s">
        <v>1127</v>
      </c>
      <c r="B52" s="462"/>
      <c r="C52" s="463">
        <f>+'Resumen EEFF'!B25</f>
        <v>0</v>
      </c>
      <c r="D52" s="463" t="e">
        <f t="shared" ref="D52:D57" si="32">+(C52/$C$42)*100</f>
        <v>#DIV/0!</v>
      </c>
      <c r="E52" s="463">
        <f>+'Resumen EEFF'!C25</f>
        <v>0</v>
      </c>
      <c r="F52" s="463" t="e">
        <f t="shared" ref="F52:F57" si="33">+(E52/$E$42)*100</f>
        <v>#DIV/0!</v>
      </c>
      <c r="G52" s="463">
        <f>+'Resumen EEFF'!D25</f>
        <v>0</v>
      </c>
      <c r="H52" s="463" t="e">
        <f t="shared" ref="H52:H57" si="34">+(G52/$G$42)*100</f>
        <v>#DIV/0!</v>
      </c>
      <c r="I52" s="463">
        <f ca="1">IF('Resumen EEFF'!$F$10="SI",'Resumen EEFF'!E25,0)</f>
        <v>0</v>
      </c>
      <c r="J52" s="463" t="e">
        <f t="shared" ca="1" si="25"/>
        <v>#DIV/0!</v>
      </c>
      <c r="K52" s="463">
        <f ca="1">IF('Resumen EEFF'!$F$10="SI",'Resumen EEFF'!F25,0)</f>
        <v>0</v>
      </c>
      <c r="L52" s="463" t="e">
        <f t="shared" ca="1" si="26"/>
        <v>#DIV/0!</v>
      </c>
      <c r="M52" s="463">
        <f ca="1">IF('Resumen EEFF'!$F$10="SI",'Resumen EEFF'!G25,0)</f>
        <v>0</v>
      </c>
      <c r="N52" s="463" t="e">
        <f t="shared" ca="1" si="27"/>
        <v>#DIV/0!</v>
      </c>
      <c r="O52" s="464"/>
      <c r="P52" s="463">
        <f>+'Resumen EEFF'!U25</f>
        <v>0</v>
      </c>
      <c r="Q52" s="463" t="e">
        <f t="shared" si="28"/>
        <v>#DIV/0!</v>
      </c>
      <c r="R52" s="463">
        <f>+'Resumen EEFF'!V25</f>
        <v>0</v>
      </c>
      <c r="S52" s="463" t="e">
        <f t="shared" si="29"/>
        <v>#DIV/0!</v>
      </c>
      <c r="T52" s="465"/>
      <c r="U52" s="463" t="e">
        <f t="shared" si="30"/>
        <v>#DIV/0!</v>
      </c>
      <c r="V52" s="463" t="e">
        <f t="shared" si="31"/>
        <v>#DIV/0!</v>
      </c>
    </row>
    <row r="53" spans="1:22" ht="15.75" customHeight="1" x14ac:dyDescent="0.25">
      <c r="A53" s="461" t="s">
        <v>448</v>
      </c>
      <c r="B53" s="462"/>
      <c r="C53" s="463">
        <f>+'Resumen EEFF'!B26</f>
        <v>0</v>
      </c>
      <c r="D53" s="463" t="e">
        <f t="shared" si="32"/>
        <v>#DIV/0!</v>
      </c>
      <c r="E53" s="463">
        <f>+'Resumen EEFF'!C26</f>
        <v>0</v>
      </c>
      <c r="F53" s="463" t="e">
        <f t="shared" si="33"/>
        <v>#DIV/0!</v>
      </c>
      <c r="G53" s="463">
        <f>+'Resumen EEFF'!D26</f>
        <v>0</v>
      </c>
      <c r="H53" s="463" t="e">
        <f t="shared" si="34"/>
        <v>#DIV/0!</v>
      </c>
      <c r="I53" s="463">
        <f ca="1">IF('Resumen EEFF'!$F$10="SI",'Resumen EEFF'!E26,0)</f>
        <v>0</v>
      </c>
      <c r="J53" s="463" t="e">
        <f t="shared" ca="1" si="25"/>
        <v>#DIV/0!</v>
      </c>
      <c r="K53" s="463">
        <f ca="1">IF('Resumen EEFF'!$F$10="SI",'Resumen EEFF'!F26,0)</f>
        <v>0</v>
      </c>
      <c r="L53" s="463" t="e">
        <f t="shared" ca="1" si="26"/>
        <v>#DIV/0!</v>
      </c>
      <c r="M53" s="463">
        <f ca="1">IF('Resumen EEFF'!$F$10="SI",'Resumen EEFF'!G26,0)</f>
        <v>0</v>
      </c>
      <c r="N53" s="463" t="e">
        <f t="shared" ca="1" si="27"/>
        <v>#DIV/0!</v>
      </c>
      <c r="O53" s="464"/>
      <c r="P53" s="463">
        <f>+'Resumen EEFF'!U26</f>
        <v>0</v>
      </c>
      <c r="Q53" s="463" t="e">
        <f t="shared" si="28"/>
        <v>#DIV/0!</v>
      </c>
      <c r="R53" s="463">
        <f>+'Resumen EEFF'!V26</f>
        <v>0</v>
      </c>
      <c r="S53" s="463" t="e">
        <f t="shared" si="29"/>
        <v>#DIV/0!</v>
      </c>
      <c r="T53" s="465"/>
      <c r="U53" s="463" t="e">
        <f t="shared" si="30"/>
        <v>#DIV/0!</v>
      </c>
      <c r="V53" s="463" t="e">
        <f t="shared" si="31"/>
        <v>#DIV/0!</v>
      </c>
    </row>
    <row r="54" spans="1:22" ht="15.75" customHeight="1" x14ac:dyDescent="0.25">
      <c r="A54" s="461" t="s">
        <v>874</v>
      </c>
      <c r="B54" s="462"/>
      <c r="C54" s="463">
        <f>+'Resumen EEFF'!B27</f>
        <v>0</v>
      </c>
      <c r="D54" s="463" t="e">
        <f t="shared" si="32"/>
        <v>#DIV/0!</v>
      </c>
      <c r="E54" s="463">
        <f>+'Resumen EEFF'!C27</f>
        <v>0</v>
      </c>
      <c r="F54" s="463" t="e">
        <f t="shared" si="33"/>
        <v>#DIV/0!</v>
      </c>
      <c r="G54" s="463">
        <f>+'Resumen EEFF'!D27</f>
        <v>0</v>
      </c>
      <c r="H54" s="463" t="e">
        <f t="shared" si="34"/>
        <v>#DIV/0!</v>
      </c>
      <c r="I54" s="463">
        <f ca="1">IF('Resumen EEFF'!$F$10="SI",'Resumen EEFF'!E27,0)</f>
        <v>0</v>
      </c>
      <c r="J54" s="463" t="e">
        <f t="shared" ca="1" si="25"/>
        <v>#DIV/0!</v>
      </c>
      <c r="K54" s="463">
        <f ca="1">IF('Resumen EEFF'!$F$10="SI",'Resumen EEFF'!F27,0)</f>
        <v>0</v>
      </c>
      <c r="L54" s="463" t="e">
        <f t="shared" ca="1" si="26"/>
        <v>#DIV/0!</v>
      </c>
      <c r="M54" s="463">
        <f ca="1">IF('Resumen EEFF'!$F$10="SI",'Resumen EEFF'!G27,0)</f>
        <v>0</v>
      </c>
      <c r="N54" s="463" t="e">
        <f t="shared" ca="1" si="27"/>
        <v>#DIV/0!</v>
      </c>
      <c r="O54" s="464"/>
      <c r="P54" s="463">
        <f>+'Resumen EEFF'!U27</f>
        <v>0</v>
      </c>
      <c r="Q54" s="463" t="e">
        <f t="shared" si="28"/>
        <v>#DIV/0!</v>
      </c>
      <c r="R54" s="463">
        <f>+'Resumen EEFF'!V27</f>
        <v>0</v>
      </c>
      <c r="S54" s="463" t="e">
        <f t="shared" si="29"/>
        <v>#DIV/0!</v>
      </c>
      <c r="T54" s="465"/>
      <c r="U54" s="463" t="e">
        <f t="shared" si="30"/>
        <v>#DIV/0!</v>
      </c>
      <c r="V54" s="463" t="e">
        <f t="shared" si="31"/>
        <v>#DIV/0!</v>
      </c>
    </row>
    <row r="55" spans="1:22" ht="15.75" customHeight="1" x14ac:dyDescent="0.25">
      <c r="A55" s="461" t="s">
        <v>1128</v>
      </c>
      <c r="B55" s="462"/>
      <c r="C55" s="463">
        <f>+'Resumen EEFF'!B28</f>
        <v>0</v>
      </c>
      <c r="D55" s="463" t="e">
        <f t="shared" si="32"/>
        <v>#DIV/0!</v>
      </c>
      <c r="E55" s="463">
        <f>+'Resumen EEFF'!C28</f>
        <v>0</v>
      </c>
      <c r="F55" s="463" t="e">
        <f t="shared" si="33"/>
        <v>#DIV/0!</v>
      </c>
      <c r="G55" s="463">
        <f>+'Resumen EEFF'!D28</f>
        <v>0</v>
      </c>
      <c r="H55" s="463" t="e">
        <f t="shared" si="34"/>
        <v>#DIV/0!</v>
      </c>
      <c r="I55" s="463">
        <f>IF('Resumen EEFF'!$F$10="SI",'Resumen EEFF'!E28,0)</f>
        <v>0</v>
      </c>
      <c r="J55" s="463" t="e">
        <f t="shared" si="25"/>
        <v>#DIV/0!</v>
      </c>
      <c r="K55" s="463">
        <f>IF('Resumen EEFF'!$F$10="SI",'Resumen EEFF'!F28,0)</f>
        <v>0</v>
      </c>
      <c r="L55" s="463" t="e">
        <f t="shared" si="26"/>
        <v>#DIV/0!</v>
      </c>
      <c r="M55" s="463">
        <f>IF('Resumen EEFF'!$F$10="SI",'Resumen EEFF'!G28,0)</f>
        <v>0</v>
      </c>
      <c r="N55" s="463" t="e">
        <f t="shared" si="27"/>
        <v>#DIV/0!</v>
      </c>
      <c r="O55" s="464"/>
      <c r="P55" s="463">
        <f>+'Resumen EEFF'!U28</f>
        <v>0</v>
      </c>
      <c r="Q55" s="463" t="e">
        <f t="shared" si="28"/>
        <v>#DIV/0!</v>
      </c>
      <c r="R55" s="463">
        <f>+'Resumen EEFF'!V28</f>
        <v>0</v>
      </c>
      <c r="S55" s="463" t="e">
        <f t="shared" si="29"/>
        <v>#DIV/0!</v>
      </c>
      <c r="T55" s="465"/>
      <c r="U55" s="463" t="e">
        <f t="shared" si="30"/>
        <v>#DIV/0!</v>
      </c>
      <c r="V55" s="463" t="e">
        <f t="shared" si="31"/>
        <v>#DIV/0!</v>
      </c>
    </row>
    <row r="56" spans="1:22" ht="15.75" customHeight="1" x14ac:dyDescent="0.25">
      <c r="A56" s="484" t="s">
        <v>1129</v>
      </c>
      <c r="B56" s="462"/>
      <c r="C56" s="463">
        <f>+'Resumen EEFF'!B29</f>
        <v>0</v>
      </c>
      <c r="D56" s="463" t="e">
        <f t="shared" si="32"/>
        <v>#DIV/0!</v>
      </c>
      <c r="E56" s="463">
        <f>+'Resumen EEFF'!C29</f>
        <v>0</v>
      </c>
      <c r="F56" s="463" t="e">
        <f t="shared" si="33"/>
        <v>#DIV/0!</v>
      </c>
      <c r="G56" s="463">
        <f>+'Resumen EEFF'!D29</f>
        <v>0</v>
      </c>
      <c r="H56" s="463" t="e">
        <f t="shared" si="34"/>
        <v>#DIV/0!</v>
      </c>
      <c r="I56" s="463">
        <f>IF('Resumen EEFF'!$F$10="SI",'Resumen EEFF'!E29,0)</f>
        <v>0</v>
      </c>
      <c r="J56" s="463" t="e">
        <f t="shared" si="25"/>
        <v>#DIV/0!</v>
      </c>
      <c r="K56" s="463">
        <f>IF('Resumen EEFF'!$F$10="SI",'Resumen EEFF'!F29,0)</f>
        <v>0</v>
      </c>
      <c r="L56" s="463" t="e">
        <f t="shared" si="26"/>
        <v>#DIV/0!</v>
      </c>
      <c r="M56" s="463">
        <f>IF('Resumen EEFF'!$F$10="SI",'Resumen EEFF'!G29,0)</f>
        <v>0</v>
      </c>
      <c r="N56" s="463" t="e">
        <f t="shared" si="27"/>
        <v>#DIV/0!</v>
      </c>
      <c r="O56" s="464"/>
      <c r="P56" s="463">
        <f>+'Resumen EEFF'!U29</f>
        <v>0</v>
      </c>
      <c r="Q56" s="463" t="e">
        <f t="shared" si="28"/>
        <v>#DIV/0!</v>
      </c>
      <c r="R56" s="463">
        <f>+'Resumen EEFF'!V29</f>
        <v>0</v>
      </c>
      <c r="S56" s="463" t="e">
        <f t="shared" si="29"/>
        <v>#DIV/0!</v>
      </c>
      <c r="T56" s="465"/>
      <c r="U56" s="463" t="e">
        <f t="shared" si="30"/>
        <v>#DIV/0!</v>
      </c>
      <c r="V56" s="463" t="e">
        <f t="shared" si="31"/>
        <v>#DIV/0!</v>
      </c>
    </row>
    <row r="57" spans="1:22" ht="15.75" customHeight="1" x14ac:dyDescent="0.25">
      <c r="A57" s="501" t="s">
        <v>1130</v>
      </c>
      <c r="B57" s="502"/>
      <c r="C57" s="463">
        <f>+'Resumen EEFF'!B30</f>
        <v>0</v>
      </c>
      <c r="D57" s="463" t="e">
        <f t="shared" si="32"/>
        <v>#DIV/0!</v>
      </c>
      <c r="E57" s="463">
        <f>+'Resumen EEFF'!C30</f>
        <v>0</v>
      </c>
      <c r="F57" s="463" t="e">
        <f t="shared" si="33"/>
        <v>#DIV/0!</v>
      </c>
      <c r="G57" s="463">
        <f>+'Resumen EEFF'!D30</f>
        <v>0</v>
      </c>
      <c r="H57" s="463" t="e">
        <f t="shared" si="34"/>
        <v>#DIV/0!</v>
      </c>
      <c r="I57" s="463">
        <f>IF('Resumen EEFF'!$F$10="SI",'Resumen EEFF'!E30,0)</f>
        <v>0</v>
      </c>
      <c r="J57" s="463" t="e">
        <f t="shared" si="25"/>
        <v>#DIV/0!</v>
      </c>
      <c r="K57" s="463">
        <f>IF('Resumen EEFF'!$F$10="SI",'Resumen EEFF'!F30,0)</f>
        <v>0</v>
      </c>
      <c r="L57" s="463" t="e">
        <f t="shared" si="26"/>
        <v>#DIV/0!</v>
      </c>
      <c r="M57" s="463">
        <f>IF('Resumen EEFF'!$F$10="SI",'Resumen EEFF'!G30,0)</f>
        <v>0</v>
      </c>
      <c r="N57" s="463" t="e">
        <f t="shared" si="27"/>
        <v>#DIV/0!</v>
      </c>
      <c r="O57" s="464"/>
      <c r="P57" s="463">
        <f>+'Resumen EEFF'!U30</f>
        <v>0</v>
      </c>
      <c r="Q57" s="463" t="e">
        <f t="shared" si="28"/>
        <v>#DIV/0!</v>
      </c>
      <c r="R57" s="463">
        <f>+'Resumen EEFF'!V30</f>
        <v>0</v>
      </c>
      <c r="S57" s="463" t="e">
        <f t="shared" si="29"/>
        <v>#DIV/0!</v>
      </c>
      <c r="T57" s="465"/>
      <c r="U57" s="463" t="e">
        <f t="shared" si="30"/>
        <v>#DIV/0!</v>
      </c>
      <c r="V57" s="463" t="e">
        <f t="shared" si="31"/>
        <v>#DIV/0!</v>
      </c>
    </row>
    <row r="58" spans="1:22" ht="15.75" customHeight="1" x14ac:dyDescent="0.25">
      <c r="A58" s="503" t="s">
        <v>1131</v>
      </c>
      <c r="B58" s="456"/>
      <c r="C58" s="467">
        <f>+'Resumen EEFF'!B31</f>
        <v>0</v>
      </c>
      <c r="D58" s="467" t="e">
        <f t="shared" ref="D58:D64" si="35">+(C58/$C$42)*100</f>
        <v>#DIV/0!</v>
      </c>
      <c r="E58" s="467">
        <f>+'Resumen EEFF'!C31</f>
        <v>0</v>
      </c>
      <c r="F58" s="467" t="e">
        <f t="shared" ref="F58:F64" si="36">+(E58/$E$42)*100</f>
        <v>#DIV/0!</v>
      </c>
      <c r="G58" s="467">
        <f>+'Resumen EEFF'!D31</f>
        <v>0</v>
      </c>
      <c r="H58" s="467" t="e">
        <f t="shared" ref="H58:H64" si="37">+(G58/$G$42)*100</f>
        <v>#DIV/0!</v>
      </c>
      <c r="I58" s="467">
        <f ca="1">IF('Resumen EEFF'!$F$10="SI",'Resumen EEFF'!E31,0)</f>
        <v>0</v>
      </c>
      <c r="J58" s="467" t="e">
        <f t="shared" ca="1" si="25"/>
        <v>#DIV/0!</v>
      </c>
      <c r="K58" s="467">
        <f ca="1">IF('Resumen EEFF'!$F$10="SI",'Resumen EEFF'!F31,0)</f>
        <v>0</v>
      </c>
      <c r="L58" s="467" t="e">
        <f t="shared" ca="1" si="26"/>
        <v>#DIV/0!</v>
      </c>
      <c r="M58" s="467">
        <f ca="1">IF('Resumen EEFF'!$F$10="SI",'Resumen EEFF'!G31,0)</f>
        <v>0</v>
      </c>
      <c r="N58" s="467" t="e">
        <f t="shared" ca="1" si="27"/>
        <v>#DIV/0!</v>
      </c>
      <c r="O58" s="468"/>
      <c r="P58" s="467">
        <f>+'Resumen EEFF'!U31</f>
        <v>0</v>
      </c>
      <c r="Q58" s="467" t="e">
        <f t="shared" si="28"/>
        <v>#DIV/0!</v>
      </c>
      <c r="R58" s="467">
        <f>+'Resumen EEFF'!V31</f>
        <v>0</v>
      </c>
      <c r="S58" s="467" t="e">
        <f t="shared" si="29"/>
        <v>#DIV/0!</v>
      </c>
      <c r="T58" s="459"/>
      <c r="U58" s="467" t="e">
        <f t="shared" si="30"/>
        <v>#DIV/0!</v>
      </c>
      <c r="V58" s="467" t="e">
        <f t="shared" si="31"/>
        <v>#DIV/0!</v>
      </c>
    </row>
    <row r="59" spans="1:22" ht="15.75" customHeight="1" x14ac:dyDescent="0.25">
      <c r="A59" s="470" t="s">
        <v>1132</v>
      </c>
      <c r="B59" s="462"/>
      <c r="C59" s="500">
        <f>+'Resumen EEFF'!B32</f>
        <v>0</v>
      </c>
      <c r="D59" s="463" t="e">
        <f t="shared" si="35"/>
        <v>#DIV/0!</v>
      </c>
      <c r="E59" s="500">
        <f>+'Resumen EEFF'!C32</f>
        <v>0</v>
      </c>
      <c r="F59" s="463" t="e">
        <f t="shared" si="36"/>
        <v>#DIV/0!</v>
      </c>
      <c r="G59" s="500">
        <f>+'Resumen EEFF'!D32</f>
        <v>0</v>
      </c>
      <c r="H59" s="463" t="e">
        <f t="shared" si="37"/>
        <v>#DIV/0!</v>
      </c>
      <c r="I59" s="463">
        <f>IF('Resumen EEFF'!$F$10="SI",'Resumen EEFF'!E32,0)</f>
        <v>0</v>
      </c>
      <c r="J59" s="463" t="e">
        <f t="shared" si="25"/>
        <v>#DIV/0!</v>
      </c>
      <c r="K59" s="463">
        <f>IF('Resumen EEFF'!$F$10="SI",'Resumen EEFF'!F32,0)</f>
        <v>0</v>
      </c>
      <c r="L59" s="463" t="e">
        <f t="shared" si="26"/>
        <v>#DIV/0!</v>
      </c>
      <c r="M59" s="463">
        <f>IF('Resumen EEFF'!$F$10="SI",'Resumen EEFF'!G32,0)</f>
        <v>0</v>
      </c>
      <c r="N59" s="463" t="e">
        <f t="shared" si="27"/>
        <v>#DIV/0!</v>
      </c>
      <c r="O59" s="464"/>
      <c r="P59" s="500">
        <f>+'Resumen EEFF'!U32</f>
        <v>0</v>
      </c>
      <c r="Q59" s="500" t="e">
        <f t="shared" si="28"/>
        <v>#DIV/0!</v>
      </c>
      <c r="R59" s="500">
        <f>+'Resumen EEFF'!V32</f>
        <v>0</v>
      </c>
      <c r="S59" s="500" t="e">
        <f t="shared" si="29"/>
        <v>#DIV/0!</v>
      </c>
      <c r="T59" s="465"/>
      <c r="U59" s="500" t="e">
        <f t="shared" si="30"/>
        <v>#DIV/0!</v>
      </c>
      <c r="V59" s="500" t="e">
        <f t="shared" si="31"/>
        <v>#DIV/0!</v>
      </c>
    </row>
    <row r="60" spans="1:22" ht="15.75" customHeight="1" x14ac:dyDescent="0.25">
      <c r="A60" s="496" t="s">
        <v>875</v>
      </c>
      <c r="B60" s="456"/>
      <c r="C60" s="467">
        <f>+C58+C59</f>
        <v>0</v>
      </c>
      <c r="D60" s="467" t="e">
        <f t="shared" si="35"/>
        <v>#DIV/0!</v>
      </c>
      <c r="E60" s="467">
        <f>+E58+E59</f>
        <v>0</v>
      </c>
      <c r="F60" s="467" t="e">
        <f t="shared" si="36"/>
        <v>#DIV/0!</v>
      </c>
      <c r="G60" s="467">
        <f>+G58+G59</f>
        <v>0</v>
      </c>
      <c r="H60" s="467" t="e">
        <f t="shared" si="37"/>
        <v>#DIV/0!</v>
      </c>
      <c r="I60" s="467">
        <f ca="1">+I58+I59</f>
        <v>0</v>
      </c>
      <c r="J60" s="467" t="e">
        <f t="shared" ca="1" si="25"/>
        <v>#DIV/0!</v>
      </c>
      <c r="K60" s="467">
        <f ca="1">+K58+K59</f>
        <v>0</v>
      </c>
      <c r="L60" s="467" t="e">
        <f t="shared" ca="1" si="26"/>
        <v>#DIV/0!</v>
      </c>
      <c r="M60" s="467">
        <f ca="1">+M58+M59</f>
        <v>0</v>
      </c>
      <c r="N60" s="467" t="e">
        <f t="shared" ca="1" si="27"/>
        <v>#DIV/0!</v>
      </c>
      <c r="O60" s="468"/>
      <c r="P60" s="467">
        <f>+P58+P59</f>
        <v>0</v>
      </c>
      <c r="Q60" s="467" t="e">
        <f t="shared" si="28"/>
        <v>#DIV/0!</v>
      </c>
      <c r="R60" s="467">
        <f>+R58+R59</f>
        <v>0</v>
      </c>
      <c r="S60" s="467" t="e">
        <f t="shared" si="29"/>
        <v>#DIV/0!</v>
      </c>
      <c r="T60" s="459"/>
      <c r="U60" s="467" t="e">
        <f t="shared" si="30"/>
        <v>#DIV/0!</v>
      </c>
      <c r="V60" s="467" t="e">
        <f t="shared" si="31"/>
        <v>#DIV/0!</v>
      </c>
    </row>
    <row r="61" spans="1:22" ht="15.75" customHeight="1" x14ac:dyDescent="0.25">
      <c r="A61" s="461" t="s">
        <v>453</v>
      </c>
      <c r="B61" s="462"/>
      <c r="C61" s="463">
        <f>+'Resumen EEFF'!B34</f>
        <v>0</v>
      </c>
      <c r="D61" s="463" t="e">
        <f t="shared" si="35"/>
        <v>#DIV/0!</v>
      </c>
      <c r="E61" s="463">
        <f>+'Resumen EEFF'!C34</f>
        <v>0</v>
      </c>
      <c r="F61" s="463" t="e">
        <f t="shared" si="36"/>
        <v>#DIV/0!</v>
      </c>
      <c r="G61" s="463">
        <f>+'Resumen EEFF'!D34</f>
        <v>0</v>
      </c>
      <c r="H61" s="463" t="e">
        <f t="shared" si="37"/>
        <v>#DIV/0!</v>
      </c>
      <c r="I61" s="463">
        <f ca="1">IF('Resumen EEFF'!$F$10="SI",'Resumen EEFF'!E34,0)</f>
        <v>0</v>
      </c>
      <c r="J61" s="463" t="e">
        <f t="shared" ca="1" si="25"/>
        <v>#DIV/0!</v>
      </c>
      <c r="K61" s="463">
        <f ca="1">IF('Resumen EEFF'!$F$10="SI",'Resumen EEFF'!F34,0)</f>
        <v>0</v>
      </c>
      <c r="L61" s="463" t="e">
        <f t="shared" ca="1" si="26"/>
        <v>#DIV/0!</v>
      </c>
      <c r="M61" s="463">
        <f ca="1">IF('Resumen EEFF'!$F$10="SI",'Resumen EEFF'!G34,0)</f>
        <v>0</v>
      </c>
      <c r="N61" s="463" t="e">
        <f t="shared" ca="1" si="27"/>
        <v>#DIV/0!</v>
      </c>
      <c r="O61" s="464"/>
      <c r="P61" s="463">
        <f>+'Resumen EEFF'!U34</f>
        <v>0</v>
      </c>
      <c r="Q61" s="463" t="e">
        <f t="shared" si="28"/>
        <v>#DIV/0!</v>
      </c>
      <c r="R61" s="463">
        <f>+'Resumen EEFF'!V34</f>
        <v>0</v>
      </c>
      <c r="S61" s="463" t="e">
        <f t="shared" si="29"/>
        <v>#DIV/0!</v>
      </c>
      <c r="T61" s="465"/>
      <c r="U61" s="463" t="e">
        <f t="shared" si="30"/>
        <v>#DIV/0!</v>
      </c>
      <c r="V61" s="463" t="e">
        <f t="shared" si="31"/>
        <v>#DIV/0!</v>
      </c>
    </row>
    <row r="62" spans="1:22" ht="15.75" customHeight="1" x14ac:dyDescent="0.25">
      <c r="A62" s="455" t="s">
        <v>876</v>
      </c>
      <c r="B62" s="456"/>
      <c r="C62" s="467">
        <f>+'Resumen EEFF'!B35</f>
        <v>0</v>
      </c>
      <c r="D62" s="467" t="e">
        <f t="shared" si="35"/>
        <v>#DIV/0!</v>
      </c>
      <c r="E62" s="467">
        <f>+'Resumen EEFF'!C35</f>
        <v>0</v>
      </c>
      <c r="F62" s="467" t="e">
        <f t="shared" si="36"/>
        <v>#DIV/0!</v>
      </c>
      <c r="G62" s="467">
        <f>+'Resumen EEFF'!D35</f>
        <v>0</v>
      </c>
      <c r="H62" s="467" t="e">
        <f t="shared" si="37"/>
        <v>#DIV/0!</v>
      </c>
      <c r="I62" s="467">
        <f ca="1">IF('Resumen EEFF'!$F$10="SI",'Resumen EEFF'!E35,0)</f>
        <v>0</v>
      </c>
      <c r="J62" s="467" t="e">
        <f t="shared" ca="1" si="25"/>
        <v>#DIV/0!</v>
      </c>
      <c r="K62" s="467">
        <f ca="1">IF('Resumen EEFF'!$F$10="SI",'Resumen EEFF'!F35,0)</f>
        <v>0</v>
      </c>
      <c r="L62" s="467" t="e">
        <f t="shared" ca="1" si="26"/>
        <v>#DIV/0!</v>
      </c>
      <c r="M62" s="467">
        <f ca="1">IF('Resumen EEFF'!$F$10="SI",'Resumen EEFF'!G35,0)</f>
        <v>0</v>
      </c>
      <c r="N62" s="467" t="e">
        <f t="shared" ca="1" si="27"/>
        <v>#DIV/0!</v>
      </c>
      <c r="O62" s="468"/>
      <c r="P62" s="467">
        <f>+'Resumen EEFF'!U35</f>
        <v>0</v>
      </c>
      <c r="Q62" s="467" t="e">
        <f t="shared" si="28"/>
        <v>#DIV/0!</v>
      </c>
      <c r="R62" s="467">
        <f>+'Resumen EEFF'!V35</f>
        <v>0</v>
      </c>
      <c r="S62" s="467" t="e">
        <f t="shared" si="29"/>
        <v>#DIV/0!</v>
      </c>
      <c r="T62" s="459"/>
      <c r="U62" s="467" t="e">
        <f t="shared" si="30"/>
        <v>#DIV/0!</v>
      </c>
      <c r="V62" s="467" t="e">
        <f t="shared" si="31"/>
        <v>#DIV/0!</v>
      </c>
    </row>
    <row r="63" spans="1:22" s="497" customFormat="1" ht="15.75" customHeight="1" x14ac:dyDescent="0.25">
      <c r="A63" s="484" t="s">
        <v>1133</v>
      </c>
      <c r="B63" s="504"/>
      <c r="C63" s="463">
        <f>+'Resumen EEFF'!B37</f>
        <v>0</v>
      </c>
      <c r="D63" s="500" t="e">
        <f t="shared" si="35"/>
        <v>#DIV/0!</v>
      </c>
      <c r="E63" s="463">
        <f>+'Resumen EEFF'!C37</f>
        <v>0</v>
      </c>
      <c r="F63" s="500" t="e">
        <f t="shared" si="36"/>
        <v>#DIV/0!</v>
      </c>
      <c r="G63" s="463">
        <f>+'Resumen EEFF'!D37</f>
        <v>0</v>
      </c>
      <c r="H63" s="500" t="e">
        <f t="shared" si="37"/>
        <v>#DIV/0!</v>
      </c>
      <c r="I63" s="463">
        <f>IF('Resumen EEFF'!$F$10="SI",'Resumen EEFF'!E37,0)</f>
        <v>0</v>
      </c>
      <c r="J63" s="463" t="e">
        <f t="shared" si="25"/>
        <v>#DIV/0!</v>
      </c>
      <c r="K63" s="463">
        <f>IF('Resumen EEFF'!$F$10="SI",'Resumen EEFF'!F37,0)</f>
        <v>0</v>
      </c>
      <c r="L63" s="463" t="e">
        <f t="shared" si="26"/>
        <v>#DIV/0!</v>
      </c>
      <c r="M63" s="463">
        <f>IF('Resumen EEFF'!$F$10="SI",'Resumen EEFF'!G37,0)</f>
        <v>0</v>
      </c>
      <c r="N63" s="463" t="e">
        <f t="shared" si="27"/>
        <v>#DIV/0!</v>
      </c>
      <c r="O63" s="464"/>
      <c r="P63" s="463">
        <f>+'Resumen EEFF'!U37</f>
        <v>0</v>
      </c>
      <c r="Q63" s="463" t="e">
        <f t="shared" si="28"/>
        <v>#DIV/0!</v>
      </c>
      <c r="R63" s="463">
        <f>+'Resumen EEFF'!V37</f>
        <v>0</v>
      </c>
      <c r="S63" s="463" t="e">
        <f t="shared" si="29"/>
        <v>#DIV/0!</v>
      </c>
      <c r="T63" s="465"/>
      <c r="U63" s="463" t="e">
        <f t="shared" si="30"/>
        <v>#DIV/0!</v>
      </c>
      <c r="V63" s="463" t="e">
        <f t="shared" si="31"/>
        <v>#DIV/0!</v>
      </c>
    </row>
    <row r="64" spans="1:22" ht="15.75" customHeight="1" x14ac:dyDescent="0.25">
      <c r="A64" s="455" t="s">
        <v>877</v>
      </c>
      <c r="B64" s="456"/>
      <c r="C64" s="467">
        <f>+'Resumen EEFF'!B38</f>
        <v>0</v>
      </c>
      <c r="D64" s="467" t="e">
        <f t="shared" si="35"/>
        <v>#DIV/0!</v>
      </c>
      <c r="E64" s="467">
        <f>+'Resumen EEFF'!C38</f>
        <v>0</v>
      </c>
      <c r="F64" s="467" t="e">
        <f t="shared" si="36"/>
        <v>#DIV/0!</v>
      </c>
      <c r="G64" s="467">
        <f>+'Resumen EEFF'!D38</f>
        <v>0</v>
      </c>
      <c r="H64" s="467" t="e">
        <f t="shared" si="37"/>
        <v>#DIV/0!</v>
      </c>
      <c r="I64" s="467">
        <f ca="1">IF('Resumen EEFF'!$F$10="SI",'Resumen EEFF'!E38,0)</f>
        <v>0</v>
      </c>
      <c r="J64" s="467" t="e">
        <f t="shared" ca="1" si="25"/>
        <v>#DIV/0!</v>
      </c>
      <c r="K64" s="467">
        <f ca="1">IF('Resumen EEFF'!$F$10="SI",'Resumen EEFF'!F38,0)</f>
        <v>0</v>
      </c>
      <c r="L64" s="467" t="e">
        <f t="shared" ca="1" si="26"/>
        <v>#DIV/0!</v>
      </c>
      <c r="M64" s="467">
        <f ca="1">IF('Resumen EEFF'!$F$10="SI",'Resumen EEFF'!G38,0)</f>
        <v>0</v>
      </c>
      <c r="N64" s="467" t="e">
        <f t="shared" ca="1" si="27"/>
        <v>#DIV/0!</v>
      </c>
      <c r="O64" s="468"/>
      <c r="P64" s="467">
        <f>+'Resumen EEFF'!U38</f>
        <v>0</v>
      </c>
      <c r="Q64" s="467" t="e">
        <f t="shared" si="28"/>
        <v>#DIV/0!</v>
      </c>
      <c r="R64" s="467">
        <f>+'Resumen EEFF'!V38</f>
        <v>0</v>
      </c>
      <c r="S64" s="467" t="e">
        <f t="shared" si="29"/>
        <v>#DIV/0!</v>
      </c>
      <c r="T64" s="459"/>
      <c r="U64" s="467" t="e">
        <f t="shared" si="30"/>
        <v>#DIV/0!</v>
      </c>
      <c r="V64" s="467" t="e">
        <f t="shared" si="31"/>
        <v>#DIV/0!</v>
      </c>
    </row>
    <row r="65" spans="1:57" ht="15.75" customHeight="1" x14ac:dyDescent="0.25">
      <c r="A65" s="503" t="s">
        <v>878</v>
      </c>
      <c r="B65" s="456"/>
      <c r="C65" s="505">
        <f>+'Resumen EEFF'!B39</f>
        <v>0</v>
      </c>
      <c r="D65" s="467" t="e">
        <f>+C65/C62</f>
        <v>#DIV/0!</v>
      </c>
      <c r="E65" s="505">
        <f ca="1">+'Resumen EEFF'!C39</f>
        <v>0</v>
      </c>
      <c r="F65" s="467" t="e">
        <f ca="1">+E65/E62</f>
        <v>#DIV/0!</v>
      </c>
      <c r="G65" s="467">
        <f ca="1">+'Resumen EEFF'!D39</f>
        <v>0</v>
      </c>
      <c r="H65" s="467" t="e">
        <f ca="1">+G65/G62</f>
        <v>#DIV/0!</v>
      </c>
      <c r="I65" s="467">
        <f ca="1">IF('Resumen EEFF'!$F$10="SI",'Resumen EEFF'!E39,0)</f>
        <v>0</v>
      </c>
      <c r="J65" s="467" t="e">
        <f t="shared" ca="1" si="25"/>
        <v>#DIV/0!</v>
      </c>
      <c r="K65" s="467">
        <f ca="1">IF('Resumen EEFF'!$F$10="SI",'Resumen EEFF'!F39,0)</f>
        <v>0</v>
      </c>
      <c r="L65" s="467" t="e">
        <f t="shared" ca="1" si="26"/>
        <v>#DIV/0!</v>
      </c>
      <c r="M65" s="467">
        <f ca="1">IF('Resumen EEFF'!$F$10="SI",'Resumen EEFF'!G39,0)</f>
        <v>0</v>
      </c>
      <c r="N65" s="467" t="e">
        <f t="shared" ca="1" si="27"/>
        <v>#DIV/0!</v>
      </c>
      <c r="O65" s="468"/>
      <c r="P65" s="467">
        <f>+'Resumen EEFF'!U39</f>
        <v>0</v>
      </c>
      <c r="Q65" s="467" t="e">
        <f>+P65/P62</f>
        <v>#DIV/0!</v>
      </c>
      <c r="R65" s="467">
        <f ca="1">+'Resumen EEFF'!V39</f>
        <v>0</v>
      </c>
      <c r="S65" s="467" t="e">
        <f ca="1">+R65/R62</f>
        <v>#DIV/0!</v>
      </c>
      <c r="T65" s="459"/>
      <c r="U65" s="467" t="e">
        <f t="shared" ca="1" si="30"/>
        <v>#DIV/0!</v>
      </c>
      <c r="V65" s="467" t="e">
        <f t="shared" ca="1" si="31"/>
        <v>#DIV/0!</v>
      </c>
    </row>
    <row r="66" spans="1:57" ht="15.75" customHeight="1" x14ac:dyDescent="0.25">
      <c r="A66" s="503" t="s">
        <v>879</v>
      </c>
      <c r="B66" s="456"/>
      <c r="C66" s="467">
        <f>+'Resumen EEFF'!B40</f>
        <v>0</v>
      </c>
      <c r="D66" s="467" t="e">
        <f>+C66/C42</f>
        <v>#DIV/0!</v>
      </c>
      <c r="E66" s="467">
        <f ca="1">+'Resumen EEFF'!C40</f>
        <v>0</v>
      </c>
      <c r="F66" s="467" t="e">
        <f ca="1">+(E66/$E$42)*100</f>
        <v>#DIV/0!</v>
      </c>
      <c r="G66" s="467">
        <f ca="1">+'Resumen EEFF'!D40</f>
        <v>0</v>
      </c>
      <c r="H66" s="467" t="e">
        <f ca="1">+(G66/$G$42)*100</f>
        <v>#DIV/0!</v>
      </c>
      <c r="I66" s="467">
        <f ca="1">IF('Resumen EEFF'!$F$10="SI",'Resumen EEFF'!E40,0)</f>
        <v>0</v>
      </c>
      <c r="J66" s="467" t="e">
        <f ca="1">+(I66/$I$42)*100</f>
        <v>#DIV/0!</v>
      </c>
      <c r="K66" s="467">
        <f ca="1">IF('Resumen EEFF'!$F$10="SI",'Resumen EEFF'!F40,0)</f>
        <v>0</v>
      </c>
      <c r="L66" s="467" t="e">
        <f t="shared" ca="1" si="26"/>
        <v>#DIV/0!</v>
      </c>
      <c r="M66" s="467">
        <f ca="1">IF('Resumen EEFF'!$F$10="SI",'Resumen EEFF'!G40,0)</f>
        <v>0</v>
      </c>
      <c r="N66" s="467" t="e">
        <f t="shared" ca="1" si="27"/>
        <v>#DIV/0!</v>
      </c>
      <c r="O66" s="468"/>
      <c r="P66" s="467">
        <f>+'Resumen EEFF'!U40</f>
        <v>0</v>
      </c>
      <c r="Q66" s="467" t="e">
        <f t="shared" si="28"/>
        <v>#DIV/0!</v>
      </c>
      <c r="R66" s="467">
        <f ca="1">+'Resumen EEFF'!V40</f>
        <v>0</v>
      </c>
      <c r="S66" s="467" t="e">
        <f t="shared" ca="1" si="29"/>
        <v>#DIV/0!</v>
      </c>
      <c r="T66" s="459"/>
      <c r="U66" s="467" t="e">
        <f t="shared" ca="1" si="30"/>
        <v>#DIV/0!</v>
      </c>
      <c r="V66" s="467" t="e">
        <f t="shared" ca="1" si="31"/>
        <v>#DIV/0!</v>
      </c>
    </row>
    <row r="67" spans="1:57" s="497" customFormat="1" ht="15.75" customHeight="1" x14ac:dyDescent="0.25">
      <c r="A67" s="506"/>
      <c r="B67" s="506"/>
      <c r="C67" s="507"/>
      <c r="D67" s="507"/>
      <c r="E67" s="507"/>
      <c r="F67" s="507"/>
      <c r="G67" s="507"/>
      <c r="H67" s="507"/>
      <c r="I67" s="507"/>
      <c r="J67" s="507"/>
      <c r="K67" s="507"/>
      <c r="L67" s="507"/>
      <c r="M67" s="507"/>
      <c r="N67" s="507"/>
      <c r="O67" s="474"/>
      <c r="P67" s="507"/>
      <c r="Q67" s="507"/>
      <c r="R67" s="507"/>
      <c r="S67" s="507"/>
      <c r="T67" s="506"/>
      <c r="U67" s="508"/>
      <c r="V67" s="508"/>
      <c r="W67" s="509"/>
      <c r="X67" s="509"/>
      <c r="Y67" s="509"/>
      <c r="Z67" s="509"/>
      <c r="AA67" s="509"/>
      <c r="AB67" s="509"/>
      <c r="AC67" s="509"/>
      <c r="AD67" s="509"/>
      <c r="AE67" s="509"/>
      <c r="AF67" s="509"/>
      <c r="AG67" s="509"/>
      <c r="AH67" s="509"/>
      <c r="AI67" s="509"/>
      <c r="AJ67" s="509"/>
      <c r="AK67" s="509"/>
      <c r="AL67" s="509"/>
      <c r="AM67" s="509"/>
      <c r="AN67" s="509"/>
      <c r="AO67" s="509"/>
      <c r="AP67" s="509"/>
      <c r="AQ67" s="509"/>
      <c r="AR67" s="509"/>
      <c r="AS67" s="509"/>
      <c r="AT67" s="509"/>
      <c r="AU67" s="509"/>
      <c r="AV67" s="509"/>
      <c r="AW67" s="509"/>
      <c r="AX67" s="509"/>
      <c r="AY67" s="509"/>
      <c r="AZ67" s="509"/>
      <c r="BA67" s="509"/>
      <c r="BB67" s="509"/>
      <c r="BC67" s="509"/>
      <c r="BD67" s="509"/>
      <c r="BE67" s="509"/>
    </row>
    <row r="68" spans="1:57" ht="15.75" customHeight="1" x14ac:dyDescent="0.25">
      <c r="A68" s="503" t="s">
        <v>880</v>
      </c>
      <c r="B68" s="456"/>
      <c r="C68" s="467">
        <f>+'Resumen EEFF'!B41</f>
        <v>2</v>
      </c>
      <c r="D68" s="467"/>
      <c r="E68" s="467">
        <f>+'Resumen EEFF'!C41</f>
        <v>2</v>
      </c>
      <c r="F68" s="467"/>
      <c r="G68" s="467">
        <f>+'Resumen EEFF'!D41</f>
        <v>3</v>
      </c>
      <c r="H68" s="467"/>
      <c r="I68" s="467">
        <f>IF('Resumen EEFF'!$F$10="SI",'Resumen EEFF'!E41,0)</f>
        <v>0</v>
      </c>
      <c r="J68" s="467"/>
      <c r="K68" s="467">
        <f>IF('Resumen EEFF'!$F$10="SI",'Resumen EEFF'!F41,0)</f>
        <v>0</v>
      </c>
      <c r="L68" s="467"/>
      <c r="M68" s="467">
        <f>IF('Resumen EEFF'!$F$10="SI",'Resumen EEFF'!G41,0)</f>
        <v>0</v>
      </c>
      <c r="N68" s="467"/>
      <c r="O68" s="468"/>
      <c r="P68" s="467">
        <f>+'Resumen EEFF'!U41</f>
        <v>0</v>
      </c>
      <c r="Q68" s="467"/>
      <c r="R68" s="467">
        <f>+'Resumen EEFF'!V41</f>
        <v>0</v>
      </c>
      <c r="S68" s="467"/>
      <c r="T68" s="459"/>
      <c r="U68" s="469"/>
      <c r="V68" s="469"/>
    </row>
    <row r="69" spans="1:57" ht="15.75" customHeight="1" x14ac:dyDescent="0.25">
      <c r="A69" s="503" t="s">
        <v>881</v>
      </c>
      <c r="B69" s="456"/>
      <c r="C69" s="467">
        <f>+'Resumen EEFF'!B42</f>
        <v>0</v>
      </c>
      <c r="D69" s="467"/>
      <c r="E69" s="467">
        <f>+'Resumen EEFF'!C42</f>
        <v>0</v>
      </c>
      <c r="F69" s="467"/>
      <c r="G69" s="467">
        <f>+'Resumen EEFF'!D42</f>
        <v>0</v>
      </c>
      <c r="H69" s="467"/>
      <c r="I69" s="467" t="str">
        <f>IF('Resumen EEFF'!$F$10="SI",'Resumen EEFF'!E42,0)</f>
        <v/>
      </c>
      <c r="J69" s="467"/>
      <c r="K69" s="467" t="str">
        <f>IF('Resumen EEFF'!$F$10="SI",'Resumen EEFF'!F42,0)</f>
        <v/>
      </c>
      <c r="L69" s="467"/>
      <c r="M69" s="467" t="str">
        <f>IF('Resumen EEFF'!$F$10="SI",'Resumen EEFF'!G42,0)</f>
        <v/>
      </c>
      <c r="N69" s="467"/>
      <c r="O69" s="468"/>
      <c r="P69" s="467">
        <f>+'Resumen EEFF'!U42</f>
        <v>6</v>
      </c>
      <c r="Q69" s="467"/>
      <c r="R69" s="467">
        <f>+'Resumen EEFF'!V42</f>
        <v>6</v>
      </c>
      <c r="S69" s="467"/>
      <c r="T69" s="459"/>
      <c r="U69" s="469"/>
      <c r="V69" s="469"/>
    </row>
    <row r="70" spans="1:57" ht="15.75" customHeight="1" x14ac:dyDescent="0.25">
      <c r="A70" s="503" t="s">
        <v>882</v>
      </c>
      <c r="B70" s="456"/>
      <c r="C70" s="467">
        <f>+'Resumen EEFF'!B43</f>
        <v>0</v>
      </c>
      <c r="D70" s="467"/>
      <c r="E70" s="467">
        <f ca="1">+'Resumen EEFF'!C43</f>
        <v>0</v>
      </c>
      <c r="F70" s="467"/>
      <c r="G70" s="467">
        <f ca="1">+'Resumen EEFF'!D43</f>
        <v>0</v>
      </c>
      <c r="H70" s="467"/>
      <c r="I70" s="467" t="str">
        <f>IF('Resumen EEFF'!$F$10="SI",'Resumen EEFF'!E43,0)</f>
        <v/>
      </c>
      <c r="J70" s="467"/>
      <c r="K70" s="467" t="str">
        <f>IF('Resumen EEFF'!$F$10="SI",'Resumen EEFF'!F43,0)</f>
        <v/>
      </c>
      <c r="L70" s="467"/>
      <c r="M70" s="467" t="str">
        <f>IF('Resumen EEFF'!$F$10="SI",'Resumen EEFF'!G43,0)</f>
        <v/>
      </c>
      <c r="N70" s="467"/>
      <c r="O70" s="468"/>
      <c r="P70" s="467">
        <f>+'Resumen EEFF'!U43</f>
        <v>6</v>
      </c>
      <c r="Q70" s="467"/>
      <c r="R70" s="467">
        <f>+'Resumen EEFF'!V43</f>
        <v>6</v>
      </c>
      <c r="S70" s="467"/>
      <c r="T70" s="459"/>
      <c r="U70" s="469"/>
      <c r="V70" s="469"/>
    </row>
    <row r="71" spans="1:57" ht="15.75" customHeight="1" x14ac:dyDescent="0.25">
      <c r="A71" s="503" t="s">
        <v>883</v>
      </c>
      <c r="B71" s="456"/>
      <c r="C71" s="510">
        <f>+'Resumen EEFF'!B44</f>
        <v>0</v>
      </c>
      <c r="D71" s="467"/>
      <c r="E71" s="467">
        <f ca="1">+'Resumen EEFF'!C44</f>
        <v>0</v>
      </c>
      <c r="F71" s="467"/>
      <c r="G71" s="467">
        <f ca="1">+'Resumen EEFF'!D44</f>
        <v>0</v>
      </c>
      <c r="H71" s="467"/>
      <c r="I71" s="467">
        <f ca="1">IF('Resumen EEFF'!$F$10="SI",'Resumen EEFF'!E44,0)</f>
        <v>0</v>
      </c>
      <c r="J71" s="467"/>
      <c r="K71" s="467">
        <f ca="1">IF('Resumen EEFF'!$F$10="SI",'Resumen EEFF'!F44,0)</f>
        <v>0</v>
      </c>
      <c r="L71" s="467"/>
      <c r="M71" s="467">
        <f ca="1">IF('Resumen EEFF'!$F$10="SI",'Resumen EEFF'!G44,0)</f>
        <v>0</v>
      </c>
      <c r="N71" s="467"/>
      <c r="O71" s="468"/>
      <c r="P71" s="467">
        <f>+'Resumen EEFF'!U44</f>
        <v>0</v>
      </c>
      <c r="Q71" s="467"/>
      <c r="R71" s="467">
        <f ca="1">+'Resumen EEFF'!V44</f>
        <v>0</v>
      </c>
      <c r="S71" s="467"/>
      <c r="T71" s="459"/>
      <c r="U71" s="469"/>
      <c r="V71" s="469"/>
    </row>
    <row r="72" spans="1:57" ht="15.75" customHeight="1" x14ac:dyDescent="0.25">
      <c r="A72" s="511"/>
      <c r="B72" s="511"/>
      <c r="C72" s="512"/>
      <c r="D72" s="512"/>
      <c r="E72" s="512"/>
      <c r="F72" s="512"/>
      <c r="G72" s="512"/>
      <c r="H72" s="512"/>
      <c r="I72" s="512"/>
      <c r="J72" s="512"/>
      <c r="K72" s="512"/>
      <c r="L72" s="512"/>
      <c r="M72" s="512"/>
      <c r="N72" s="512"/>
      <c r="O72" s="513"/>
      <c r="P72" s="512"/>
      <c r="Q72" s="512"/>
      <c r="R72" s="512"/>
      <c r="S72" s="512"/>
      <c r="T72" s="514"/>
      <c r="U72" s="515"/>
      <c r="V72" s="515"/>
    </row>
    <row r="73" spans="1:57" ht="15.75" customHeight="1" x14ac:dyDescent="0.25">
      <c r="A73" s="511"/>
      <c r="B73" s="511"/>
      <c r="C73" s="512"/>
      <c r="D73" s="512"/>
      <c r="E73" s="512"/>
      <c r="F73" s="512"/>
      <c r="G73" s="512"/>
      <c r="H73" s="512"/>
      <c r="I73" s="512"/>
      <c r="J73" s="512"/>
      <c r="K73" s="512"/>
      <c r="L73" s="512"/>
      <c r="M73" s="512"/>
      <c r="N73" s="512"/>
      <c r="O73" s="513"/>
      <c r="P73" s="512"/>
      <c r="Q73" s="512"/>
      <c r="R73" s="512"/>
      <c r="S73" s="512"/>
      <c r="T73" s="514"/>
      <c r="U73" s="515"/>
      <c r="V73" s="515"/>
    </row>
    <row r="74" spans="1:57" ht="15.75" customHeight="1" thickBot="1" x14ac:dyDescent="0.3">
      <c r="A74" s="511"/>
      <c r="B74" s="511"/>
      <c r="C74" s="512"/>
      <c r="D74" s="512"/>
      <c r="E74" s="512"/>
      <c r="F74" s="512"/>
      <c r="G74" s="512"/>
      <c r="H74" s="512"/>
      <c r="I74" s="512"/>
      <c r="J74" s="512"/>
      <c r="K74" s="512"/>
      <c r="L74" s="512"/>
      <c r="M74" s="512"/>
      <c r="N74" s="512"/>
      <c r="O74" s="513"/>
      <c r="P74" s="512"/>
      <c r="Q74" s="512"/>
      <c r="R74" s="512"/>
      <c r="S74" s="512"/>
      <c r="T74" s="514"/>
      <c r="U74" s="515"/>
      <c r="V74" s="515"/>
    </row>
    <row r="75" spans="1:57" ht="15.75" customHeight="1" thickTop="1" thickBot="1" x14ac:dyDescent="0.3">
      <c r="A75" s="516" t="s">
        <v>366</v>
      </c>
      <c r="B75" s="517"/>
      <c r="C75" s="518" t="s">
        <v>303</v>
      </c>
      <c r="D75" s="519"/>
      <c r="E75" s="518" t="s">
        <v>303</v>
      </c>
      <c r="F75" s="519"/>
      <c r="G75" s="518" t="s">
        <v>303</v>
      </c>
      <c r="H75" s="519"/>
      <c r="I75" s="518" t="s">
        <v>303</v>
      </c>
      <c r="J75" s="519"/>
      <c r="K75" s="518" t="s">
        <v>303</v>
      </c>
      <c r="L75" s="519"/>
      <c r="M75" s="518" t="s">
        <v>303</v>
      </c>
      <c r="N75" s="519"/>
      <c r="O75" s="520"/>
      <c r="P75" s="518" t="s">
        <v>303</v>
      </c>
      <c r="Q75" s="519"/>
      <c r="R75" s="518" t="s">
        <v>303</v>
      </c>
      <c r="S75" s="519"/>
      <c r="T75" s="518"/>
      <c r="U75" s="518"/>
      <c r="V75" s="518"/>
    </row>
    <row r="76" spans="1:57" ht="15.75" customHeight="1" thickTop="1" x14ac:dyDescent="0.25">
      <c r="A76" s="521"/>
      <c r="B76" s="522"/>
      <c r="C76" s="523"/>
      <c r="D76" s="524"/>
      <c r="E76" s="523"/>
      <c r="F76" s="524"/>
      <c r="G76" s="523"/>
      <c r="H76" s="524"/>
      <c r="I76" s="523"/>
      <c r="J76" s="524"/>
      <c r="K76" s="523"/>
      <c r="L76" s="524"/>
      <c r="M76" s="523"/>
      <c r="N76" s="524"/>
      <c r="O76" s="491"/>
      <c r="P76" s="523"/>
      <c r="Q76" s="524"/>
      <c r="R76" s="523"/>
      <c r="S76" s="524"/>
      <c r="T76" s="490"/>
      <c r="U76" s="490"/>
      <c r="V76" s="490"/>
    </row>
    <row r="77" spans="1:57" ht="15.75" customHeight="1" x14ac:dyDescent="0.25">
      <c r="A77" s="525" t="s">
        <v>884</v>
      </c>
      <c r="B77" s="526"/>
      <c r="C77" s="457">
        <f>+C41</f>
        <v>42735</v>
      </c>
      <c r="D77" s="457"/>
      <c r="E77" s="594">
        <f>+E41</f>
        <v>43100</v>
      </c>
      <c r="F77" s="597"/>
      <c r="G77" s="597">
        <f>+G41</f>
        <v>43465</v>
      </c>
      <c r="H77" s="597"/>
      <c r="I77" s="604">
        <f>+I41</f>
        <v>43830</v>
      </c>
      <c r="J77" s="605"/>
      <c r="K77" s="604">
        <f>+K41</f>
        <v>44196</v>
      </c>
      <c r="L77" s="605"/>
      <c r="M77" s="604">
        <f>+M41</f>
        <v>44561</v>
      </c>
      <c r="N77" s="605"/>
      <c r="O77" s="527"/>
      <c r="P77" s="597">
        <f>+P41</f>
        <v>43281</v>
      </c>
      <c r="Q77" s="597"/>
      <c r="R77" s="597">
        <f>+R41</f>
        <v>43646</v>
      </c>
      <c r="S77" s="605"/>
      <c r="T77" s="454"/>
      <c r="U77" s="454"/>
      <c r="V77" s="454"/>
    </row>
    <row r="78" spans="1:57" ht="15.75" customHeight="1" x14ac:dyDescent="0.25">
      <c r="A78" s="528" t="s">
        <v>1134</v>
      </c>
      <c r="B78" s="529"/>
      <c r="C78" s="530">
        <f>+'Resumen EEFF'!B107</f>
        <v>0</v>
      </c>
      <c r="D78" s="531"/>
      <c r="E78" s="530">
        <f>+'Resumen EEFF'!C107</f>
        <v>0</v>
      </c>
      <c r="F78" s="533"/>
      <c r="G78" s="533">
        <f>+'Resumen EEFF'!D107</f>
        <v>0</v>
      </c>
      <c r="H78" s="533"/>
      <c r="I78" s="533">
        <f ca="1">IF('Resumen EEFF'!$F$10="SI",'Resumen EEFF'!E107,0)</f>
        <v>0</v>
      </c>
      <c r="J78" s="533"/>
      <c r="K78" s="533">
        <f ca="1">IF('Resumen EEFF'!$F$10="SI",'Resumen EEFF'!F107,0)</f>
        <v>0</v>
      </c>
      <c r="L78" s="533"/>
      <c r="M78" s="533">
        <f ca="1">IF('Resumen EEFF'!$F$10="SI",'Resumen EEFF'!G107,0)</f>
        <v>0</v>
      </c>
      <c r="N78" s="533"/>
      <c r="O78" s="532"/>
      <c r="P78" s="533">
        <f>+'Resumen EEFF'!U107</f>
        <v>0</v>
      </c>
      <c r="Q78" s="533"/>
      <c r="R78" s="533">
        <f>+'Resumen EEFF'!V107</f>
        <v>0</v>
      </c>
      <c r="S78" s="533"/>
      <c r="T78" s="454"/>
      <c r="U78" s="454"/>
      <c r="V78" s="454"/>
    </row>
    <row r="79" spans="1:57" ht="15.75" customHeight="1" x14ac:dyDescent="0.25">
      <c r="A79" s="528" t="s">
        <v>1135</v>
      </c>
      <c r="B79" s="529"/>
      <c r="C79" s="530">
        <f>+'Resumen EEFF'!B108</f>
        <v>0</v>
      </c>
      <c r="D79" s="533"/>
      <c r="E79" s="530">
        <f>+'Resumen EEFF'!C108</f>
        <v>0</v>
      </c>
      <c r="F79" s="533"/>
      <c r="G79" s="533">
        <f>+'Resumen EEFF'!D108</f>
        <v>0</v>
      </c>
      <c r="H79" s="533"/>
      <c r="I79" s="533">
        <f ca="1">IF('Resumen EEFF'!$F$10="SI",'Resumen EEFF'!E108,0)</f>
        <v>0</v>
      </c>
      <c r="J79" s="533"/>
      <c r="K79" s="533">
        <f ca="1">IF('Resumen EEFF'!$F$10="SI",'Resumen EEFF'!F108,0)</f>
        <v>0</v>
      </c>
      <c r="L79" s="533"/>
      <c r="M79" s="533">
        <f ca="1">IF('Resumen EEFF'!$F$10="SI",'Resumen EEFF'!G108,0)</f>
        <v>0</v>
      </c>
      <c r="N79" s="533"/>
      <c r="O79" s="532"/>
      <c r="P79" s="533">
        <f>+'Resumen EEFF'!U108</f>
        <v>0</v>
      </c>
      <c r="Q79" s="533"/>
      <c r="R79" s="533">
        <f>+'Resumen EEFF'!V108</f>
        <v>0</v>
      </c>
      <c r="S79" s="533"/>
      <c r="T79" s="454"/>
      <c r="U79" s="454"/>
      <c r="V79" s="454"/>
    </row>
    <row r="80" spans="1:57" ht="15.75" customHeight="1" x14ac:dyDescent="0.25">
      <c r="A80" s="528" t="s">
        <v>1136</v>
      </c>
      <c r="B80" s="534"/>
      <c r="C80" s="530">
        <f>+'Resumen EEFF'!B109</f>
        <v>0</v>
      </c>
      <c r="D80" s="535"/>
      <c r="E80" s="530">
        <f>+'Resumen EEFF'!C109</f>
        <v>0</v>
      </c>
      <c r="F80" s="537"/>
      <c r="G80" s="533">
        <f>+'Resumen EEFF'!D109</f>
        <v>0</v>
      </c>
      <c r="H80" s="537"/>
      <c r="I80" s="533">
        <f ca="1">IF('Resumen EEFF'!$F$10="SI",'Resumen EEFF'!E109,0)</f>
        <v>0</v>
      </c>
      <c r="J80" s="537"/>
      <c r="K80" s="533">
        <f ca="1">IF('Resumen EEFF'!$F$10="SI",'Resumen EEFF'!F109,0)</f>
        <v>0</v>
      </c>
      <c r="L80" s="537"/>
      <c r="M80" s="533">
        <f ca="1">IF('Resumen EEFF'!$F$10="SI",'Resumen EEFF'!G109,0)</f>
        <v>0</v>
      </c>
      <c r="N80" s="537"/>
      <c r="O80" s="536"/>
      <c r="P80" s="533">
        <f>+'Resumen EEFF'!U109</f>
        <v>0</v>
      </c>
      <c r="Q80" s="537"/>
      <c r="R80" s="533">
        <f>+'Resumen EEFF'!V109</f>
        <v>0</v>
      </c>
      <c r="S80" s="537"/>
      <c r="T80" s="454"/>
      <c r="U80" s="454"/>
      <c r="V80" s="454"/>
    </row>
    <row r="81" spans="1:22" ht="15.75" customHeight="1" x14ac:dyDescent="0.25">
      <c r="A81" s="528" t="s">
        <v>454</v>
      </c>
      <c r="B81" s="534"/>
      <c r="C81" s="530">
        <f>+'Resumen EEFF'!B110</f>
        <v>0</v>
      </c>
      <c r="D81" s="537"/>
      <c r="E81" s="530">
        <f>+'Resumen EEFF'!C110</f>
        <v>0</v>
      </c>
      <c r="F81" s="537"/>
      <c r="G81" s="533">
        <f>+'Resumen EEFF'!D110</f>
        <v>0</v>
      </c>
      <c r="H81" s="537"/>
      <c r="I81" s="533">
        <f ca="1">IF('Resumen EEFF'!$F$10="SI",'Resumen EEFF'!E110,0)</f>
        <v>0</v>
      </c>
      <c r="J81" s="537"/>
      <c r="K81" s="533">
        <f ca="1">IF('Resumen EEFF'!$F$10="SI",'Resumen EEFF'!F110,0)</f>
        <v>0</v>
      </c>
      <c r="L81" s="537"/>
      <c r="M81" s="533">
        <f ca="1">IF('Resumen EEFF'!$F$10="SI",'Resumen EEFF'!G110,0)</f>
        <v>0</v>
      </c>
      <c r="N81" s="537"/>
      <c r="O81" s="536"/>
      <c r="P81" s="533">
        <f>+'Resumen EEFF'!U110</f>
        <v>0</v>
      </c>
      <c r="Q81" s="537"/>
      <c r="R81" s="533">
        <f>+'Resumen EEFF'!V110</f>
        <v>0</v>
      </c>
      <c r="S81" s="537"/>
      <c r="T81" s="454"/>
      <c r="U81" s="454"/>
      <c r="V81" s="454"/>
    </row>
    <row r="82" spans="1:22" ht="15.75" customHeight="1" x14ac:dyDescent="0.25">
      <c r="A82" s="528" t="s">
        <v>1137</v>
      </c>
      <c r="B82" s="529"/>
      <c r="C82" s="530">
        <f>+'Resumen EEFF'!B111</f>
        <v>0</v>
      </c>
      <c r="D82" s="538"/>
      <c r="E82" s="530">
        <f>+'Resumen EEFF'!C111</f>
        <v>0</v>
      </c>
      <c r="F82" s="606"/>
      <c r="G82" s="533">
        <f>+'Resumen EEFF'!D111</f>
        <v>0</v>
      </c>
      <c r="H82" s="606"/>
      <c r="I82" s="533">
        <f ca="1">IF('Resumen EEFF'!$F$10="SI",'Resumen EEFF'!E111,0)</f>
        <v>0</v>
      </c>
      <c r="J82" s="606"/>
      <c r="K82" s="533">
        <f ca="1">IF('Resumen EEFF'!$F$10="SI",'Resumen EEFF'!F111,0)</f>
        <v>0</v>
      </c>
      <c r="L82" s="606"/>
      <c r="M82" s="533">
        <f ca="1">IF('Resumen EEFF'!$F$10="SI",'Resumen EEFF'!G111,0)</f>
        <v>0</v>
      </c>
      <c r="N82" s="606"/>
      <c r="O82" s="539"/>
      <c r="P82" s="533">
        <f>+'Resumen EEFF'!U111</f>
        <v>0</v>
      </c>
      <c r="Q82" s="606"/>
      <c r="R82" s="533">
        <f>+'Resumen EEFF'!V111</f>
        <v>0</v>
      </c>
      <c r="S82" s="606"/>
      <c r="T82" s="454"/>
      <c r="U82" s="454"/>
      <c r="V82" s="454"/>
    </row>
    <row r="83" spans="1:22" ht="15.75" customHeight="1" x14ac:dyDescent="0.25">
      <c r="A83" s="540" t="s">
        <v>1094</v>
      </c>
      <c r="B83" s="541"/>
      <c r="C83" s="530">
        <f>+'Resumen EEFF'!B113</f>
        <v>0</v>
      </c>
      <c r="D83" s="542"/>
      <c r="E83" s="530">
        <f>+'Resumen EEFF'!C113</f>
        <v>0</v>
      </c>
      <c r="F83" s="606"/>
      <c r="G83" s="533">
        <f>+'Resumen EEFF'!D113</f>
        <v>0</v>
      </c>
      <c r="H83" s="606"/>
      <c r="I83" s="533">
        <f ca="1">IF('Resumen EEFF'!$F$10="SI",'Resumen EEFF'!E113,0)</f>
        <v>0</v>
      </c>
      <c r="J83" s="606"/>
      <c r="K83" s="533">
        <f ca="1">IF('Resumen EEFF'!$F$10="SI",'Resumen EEFF'!F113,0)</f>
        <v>0</v>
      </c>
      <c r="L83" s="606"/>
      <c r="M83" s="533">
        <f ca="1">IF('Resumen EEFF'!$F$10="SI",'Resumen EEFF'!G113,0)</f>
        <v>0</v>
      </c>
      <c r="N83" s="606"/>
      <c r="O83" s="539"/>
      <c r="P83" s="533">
        <f>+'Resumen EEFF'!U113</f>
        <v>0</v>
      </c>
      <c r="Q83" s="606"/>
      <c r="R83" s="533">
        <f>+'Resumen EEFF'!V113</f>
        <v>0</v>
      </c>
      <c r="S83" s="606"/>
      <c r="T83" s="454"/>
      <c r="U83" s="454"/>
      <c r="V83" s="454"/>
    </row>
    <row r="84" spans="1:22" ht="15.75" customHeight="1" x14ac:dyDescent="0.25">
      <c r="A84" s="543" t="s">
        <v>397</v>
      </c>
      <c r="B84" s="544"/>
      <c r="C84" s="530">
        <f>+'Resumen EEFF'!B115</f>
        <v>0</v>
      </c>
      <c r="D84" s="545"/>
      <c r="E84" s="530">
        <f>+'Resumen EEFF'!C115</f>
        <v>0</v>
      </c>
      <c r="F84" s="545"/>
      <c r="G84" s="533">
        <f>+'Resumen EEFF'!D115</f>
        <v>0</v>
      </c>
      <c r="H84" s="545"/>
      <c r="I84" s="533">
        <f ca="1">IF('Resumen EEFF'!$F$10="SI",'Resumen EEFF'!E115,0)</f>
        <v>0</v>
      </c>
      <c r="J84" s="545"/>
      <c r="K84" s="533">
        <f ca="1">IF('Resumen EEFF'!$F$10="SI",'Resumen EEFF'!F115,0)</f>
        <v>0</v>
      </c>
      <c r="L84" s="545"/>
      <c r="M84" s="533">
        <f ca="1">IF('Resumen EEFF'!$F$10="SI",'Resumen EEFF'!G115,0)</f>
        <v>0</v>
      </c>
      <c r="N84" s="545"/>
      <c r="O84" s="546"/>
      <c r="P84" s="533">
        <f>+'Resumen EEFF'!U115</f>
        <v>0</v>
      </c>
      <c r="Q84" s="545"/>
      <c r="R84" s="533">
        <f>+'Resumen EEFF'!V115</f>
        <v>0</v>
      </c>
      <c r="S84" s="545"/>
      <c r="T84" s="547"/>
      <c r="U84" s="548"/>
      <c r="V84" s="548"/>
    </row>
    <row r="85" spans="1:22" ht="15.75" customHeight="1" x14ac:dyDescent="0.25">
      <c r="A85" s="543" t="s">
        <v>1139</v>
      </c>
      <c r="B85" s="544"/>
      <c r="C85" s="530">
        <f>+'Resumen EEFF'!B116</f>
        <v>0</v>
      </c>
      <c r="D85" s="545"/>
      <c r="E85" s="530">
        <f>+'Resumen EEFF'!C116</f>
        <v>0</v>
      </c>
      <c r="F85" s="545"/>
      <c r="G85" s="533">
        <f>+'Resumen EEFF'!D116</f>
        <v>0</v>
      </c>
      <c r="H85" s="545"/>
      <c r="I85" s="533">
        <f ca="1">IF('Resumen EEFF'!$F$10="SI",'Resumen EEFF'!E116,0)</f>
        <v>0</v>
      </c>
      <c r="J85" s="545"/>
      <c r="K85" s="533">
        <f ca="1">IF('Resumen EEFF'!$F$10="SI",'Resumen EEFF'!F116,0)</f>
        <v>0</v>
      </c>
      <c r="L85" s="545"/>
      <c r="M85" s="533">
        <f ca="1">IF('Resumen EEFF'!$F$10="SI",'Resumen EEFF'!G116,0)</f>
        <v>0</v>
      </c>
      <c r="N85" s="545"/>
      <c r="O85" s="546"/>
      <c r="P85" s="533">
        <f>+'Resumen EEFF'!U116</f>
        <v>0</v>
      </c>
      <c r="Q85" s="545"/>
      <c r="R85" s="533">
        <f>+'Resumen EEFF'!V116</f>
        <v>0</v>
      </c>
      <c r="S85" s="545"/>
      <c r="T85" s="547"/>
      <c r="U85" s="548"/>
      <c r="V85" s="548"/>
    </row>
    <row r="86" spans="1:22" ht="15.75" customHeight="1" x14ac:dyDescent="0.25">
      <c r="A86" s="547"/>
      <c r="B86" s="511"/>
      <c r="C86" s="549"/>
      <c r="D86" s="549"/>
      <c r="E86" s="549"/>
      <c r="F86" s="549"/>
      <c r="G86" s="549"/>
      <c r="H86" s="549"/>
      <c r="I86" s="549"/>
      <c r="J86" s="549"/>
      <c r="K86" s="549"/>
      <c r="L86" s="549"/>
      <c r="M86" s="549"/>
      <c r="N86" s="549"/>
      <c r="O86" s="550"/>
      <c r="P86" s="549"/>
      <c r="Q86" s="549"/>
      <c r="R86" s="549"/>
      <c r="S86" s="549"/>
      <c r="T86" s="547"/>
      <c r="U86" s="548"/>
      <c r="V86" s="548"/>
    </row>
    <row r="87" spans="1:22" ht="15.75" customHeight="1" x14ac:dyDescent="0.25">
      <c r="A87" s="547"/>
      <c r="B87" s="511"/>
      <c r="C87" s="549"/>
      <c r="D87" s="549"/>
      <c r="E87" s="549"/>
      <c r="F87" s="549"/>
      <c r="G87" s="549"/>
      <c r="H87" s="549"/>
      <c r="I87" s="549"/>
      <c r="J87" s="549"/>
      <c r="K87" s="549"/>
      <c r="L87" s="549"/>
      <c r="M87" s="549"/>
      <c r="N87" s="549"/>
      <c r="O87" s="550"/>
      <c r="P87" s="549"/>
      <c r="Q87" s="549"/>
      <c r="R87" s="549"/>
      <c r="S87" s="549"/>
      <c r="T87" s="547"/>
      <c r="U87" s="548"/>
      <c r="V87" s="548"/>
    </row>
    <row r="88" spans="1:22" ht="15.75" customHeight="1" x14ac:dyDescent="0.25">
      <c r="A88" s="454"/>
      <c r="B88" s="454"/>
      <c r="C88" s="454"/>
      <c r="D88" s="454"/>
      <c r="E88" s="454"/>
      <c r="F88" s="454"/>
      <c r="G88" s="454"/>
      <c r="H88" s="454"/>
      <c r="I88" s="454"/>
      <c r="J88" s="454"/>
      <c r="K88" s="454"/>
      <c r="L88" s="454"/>
      <c r="M88" s="454"/>
      <c r="N88" s="454"/>
      <c r="O88" s="551"/>
      <c r="P88" s="454"/>
      <c r="Q88" s="454"/>
      <c r="R88" s="454"/>
      <c r="S88" s="454"/>
      <c r="T88" s="454"/>
      <c r="U88" s="454"/>
      <c r="V88" s="454"/>
    </row>
    <row r="89" spans="1:22" ht="15.75" customHeight="1" x14ac:dyDescent="0.25">
      <c r="A89" s="525" t="s">
        <v>885</v>
      </c>
      <c r="B89" s="456"/>
      <c r="C89" s="457">
        <f>+C77</f>
        <v>42735</v>
      </c>
      <c r="D89" s="457"/>
      <c r="E89" s="457">
        <f>+E77</f>
        <v>43100</v>
      </c>
      <c r="F89" s="457"/>
      <c r="G89" s="594">
        <f>+G77</f>
        <v>43465</v>
      </c>
      <c r="H89" s="597"/>
      <c r="I89" s="604">
        <f>+I77</f>
        <v>43830</v>
      </c>
      <c r="J89" s="597"/>
      <c r="K89" s="604">
        <f>+K77</f>
        <v>44196</v>
      </c>
      <c r="L89" s="597"/>
      <c r="M89" s="604">
        <f>+M77</f>
        <v>44561</v>
      </c>
      <c r="N89" s="597"/>
      <c r="O89" s="527"/>
      <c r="P89" s="597">
        <f>+P77</f>
        <v>43281</v>
      </c>
      <c r="Q89" s="597">
        <f>+Q77</f>
        <v>0</v>
      </c>
      <c r="R89" s="597">
        <f>+R77</f>
        <v>43646</v>
      </c>
      <c r="S89" s="597"/>
      <c r="T89" s="454"/>
      <c r="U89" s="454"/>
      <c r="V89" s="454"/>
    </row>
    <row r="90" spans="1:22" ht="15.75" customHeight="1" x14ac:dyDescent="0.25">
      <c r="A90" s="552" t="s">
        <v>886</v>
      </c>
      <c r="B90" s="553"/>
      <c r="C90" s="554">
        <f>+'Resumen EEFF'!B118</f>
        <v>0</v>
      </c>
      <c r="D90" s="554"/>
      <c r="E90" s="554">
        <f>+'Resumen EEFF'!C118</f>
        <v>0</v>
      </c>
      <c r="F90" s="554"/>
      <c r="G90" s="607">
        <f>+'Resumen EEFF'!D118</f>
        <v>0</v>
      </c>
      <c r="H90" s="557"/>
      <c r="I90" s="533">
        <f ca="1">IF('Resumen EEFF'!$F$10="SI",'Resumen EEFF'!E118,0)</f>
        <v>0</v>
      </c>
      <c r="J90" s="557"/>
      <c r="K90" s="533">
        <f ca="1">IF('Resumen EEFF'!$F$10="SI",'Resumen EEFF'!F118,0)</f>
        <v>0</v>
      </c>
      <c r="L90" s="557"/>
      <c r="M90" s="533">
        <f ca="1">IF('Resumen EEFF'!$F$10="SI",'Resumen EEFF'!G118,0)</f>
        <v>0</v>
      </c>
      <c r="N90" s="557"/>
      <c r="O90" s="555"/>
      <c r="P90" s="557">
        <f>+'Resumen EEFF'!U118</f>
        <v>0</v>
      </c>
      <c r="Q90" s="557"/>
      <c r="R90" s="557">
        <f>+'Resumen EEFF'!V118</f>
        <v>0</v>
      </c>
      <c r="S90" s="557"/>
      <c r="T90" s="454"/>
      <c r="U90" s="454"/>
      <c r="V90" s="454"/>
    </row>
    <row r="91" spans="1:22" ht="15.75" customHeight="1" x14ac:dyDescent="0.25">
      <c r="A91" s="556" t="s">
        <v>887</v>
      </c>
      <c r="B91" s="544"/>
      <c r="C91" s="557">
        <f>+'Resumen EEFF'!B119</f>
        <v>0</v>
      </c>
      <c r="D91" s="557"/>
      <c r="E91" s="557">
        <f>+'Resumen EEFF'!C119</f>
        <v>0</v>
      </c>
      <c r="F91" s="557"/>
      <c r="G91" s="608">
        <f>+'Resumen EEFF'!D119</f>
        <v>0</v>
      </c>
      <c r="H91" s="557"/>
      <c r="I91" s="533">
        <f ca="1">IF('Resumen EEFF'!$F$10="SI",'Resumen EEFF'!E119,0)</f>
        <v>0</v>
      </c>
      <c r="J91" s="557"/>
      <c r="K91" s="533">
        <f ca="1">IF('Resumen EEFF'!$F$10="SI",'Resumen EEFF'!F119,0)</f>
        <v>0</v>
      </c>
      <c r="L91" s="557"/>
      <c r="M91" s="533">
        <f ca="1">IF('Resumen EEFF'!$F$10="SI",'Resumen EEFF'!G119,0)</f>
        <v>0</v>
      </c>
      <c r="N91" s="557"/>
      <c r="O91" s="555"/>
      <c r="P91" s="557">
        <f>+'Resumen EEFF'!U119</f>
        <v>0</v>
      </c>
      <c r="Q91" s="557"/>
      <c r="R91" s="557">
        <f>+'Resumen EEFF'!V119</f>
        <v>0</v>
      </c>
      <c r="S91" s="557"/>
      <c r="T91" s="454"/>
      <c r="U91" s="454"/>
      <c r="V91" s="454"/>
    </row>
    <row r="92" spans="1:22" ht="15.75" customHeight="1" x14ac:dyDescent="0.25">
      <c r="A92" s="558" t="s">
        <v>1140</v>
      </c>
      <c r="B92" s="544"/>
      <c r="C92" s="559">
        <f>+'Resumen EEFF'!B120</f>
        <v>0</v>
      </c>
      <c r="D92" s="557"/>
      <c r="E92" s="559">
        <f>+'Resumen EEFF'!C120</f>
        <v>0</v>
      </c>
      <c r="F92" s="559"/>
      <c r="G92" s="609">
        <f>+'Resumen EEFF'!D120</f>
        <v>0</v>
      </c>
      <c r="H92" s="559"/>
      <c r="I92" s="533">
        <f ca="1">IF('Resumen EEFF'!$F$10="SI",'Resumen EEFF'!E120,0)</f>
        <v>0</v>
      </c>
      <c r="J92" s="559"/>
      <c r="K92" s="533">
        <f ca="1">IF('Resumen EEFF'!$F$10="SI",'Resumen EEFF'!F120,0)</f>
        <v>0</v>
      </c>
      <c r="L92" s="559"/>
      <c r="M92" s="533">
        <f ca="1">IF('Resumen EEFF'!$F$10="SI",'Resumen EEFF'!G120,0)</f>
        <v>0</v>
      </c>
      <c r="N92" s="559"/>
      <c r="O92" s="560"/>
      <c r="P92" s="559">
        <f>+'Resumen EEFF'!U120</f>
        <v>0</v>
      </c>
      <c r="Q92" s="559"/>
      <c r="R92" s="559">
        <f>+'Resumen EEFF'!V120</f>
        <v>0</v>
      </c>
      <c r="S92" s="559"/>
      <c r="T92" s="454"/>
      <c r="U92" s="454"/>
      <c r="V92" s="454"/>
    </row>
    <row r="93" spans="1:22" ht="15.75" customHeight="1" x14ac:dyDescent="0.25">
      <c r="A93" s="558" t="s">
        <v>1141</v>
      </c>
      <c r="B93" s="558"/>
      <c r="C93" s="559" t="str">
        <f>+'Resumen EEFF'!B121</f>
        <v>n.d.</v>
      </c>
      <c r="D93" s="561"/>
      <c r="E93" s="559" t="str">
        <f ca="1">+'Resumen EEFF'!C121</f>
        <v>n.d.</v>
      </c>
      <c r="F93" s="561"/>
      <c r="G93" s="609" t="str">
        <f ca="1">+'Resumen EEFF'!D121</f>
        <v>n.d.</v>
      </c>
      <c r="H93" s="610"/>
      <c r="I93" s="533" t="str">
        <f ca="1">IF('Resumen EEFF'!$F$10="SI",'Resumen EEFF'!E121,0)</f>
        <v>n.d.</v>
      </c>
      <c r="J93" s="610"/>
      <c r="K93" s="533" t="str">
        <f ca="1">IF('Resumen EEFF'!$F$10="SI",'Resumen EEFF'!F121,0)</f>
        <v>n.d.</v>
      </c>
      <c r="L93" s="610"/>
      <c r="M93" s="533" t="str">
        <f ca="1">IF('Resumen EEFF'!$F$10="SI",'Resumen EEFF'!G121,0)</f>
        <v>n.d.</v>
      </c>
      <c r="N93" s="610"/>
      <c r="O93" s="562"/>
      <c r="P93" s="559" t="str">
        <f>+'Resumen EEFF'!U121</f>
        <v>n.d.</v>
      </c>
      <c r="Q93" s="610"/>
      <c r="R93" s="559" t="str">
        <f ca="1">+'Resumen EEFF'!V121</f>
        <v>n.d.</v>
      </c>
      <c r="S93" s="610"/>
      <c r="T93" s="511"/>
      <c r="U93" s="511"/>
      <c r="V93" s="511"/>
    </row>
    <row r="94" spans="1:22" ht="15.75" customHeight="1" x14ac:dyDescent="0.25">
      <c r="A94" s="563"/>
      <c r="B94" s="511"/>
      <c r="C94" s="512"/>
      <c r="D94" s="512"/>
      <c r="E94" s="548"/>
      <c r="F94" s="512"/>
      <c r="G94" s="548"/>
      <c r="H94" s="548"/>
      <c r="I94" s="454"/>
      <c r="J94" s="454"/>
      <c r="K94" s="454"/>
      <c r="L94" s="454"/>
      <c r="M94" s="454"/>
      <c r="N94" s="454"/>
      <c r="O94" s="551"/>
      <c r="P94" s="454"/>
      <c r="Q94" s="454"/>
      <c r="R94" s="454"/>
      <c r="S94" s="454"/>
      <c r="T94" s="511"/>
      <c r="U94" s="511"/>
      <c r="V94" s="511"/>
    </row>
    <row r="95" spans="1:22" x14ac:dyDescent="0.25">
      <c r="O95" s="509"/>
    </row>
    <row r="96" spans="1:22" x14ac:dyDescent="0.25">
      <c r="O96" s="509"/>
    </row>
    <row r="97" spans="15:15" x14ac:dyDescent="0.25">
      <c r="O97" s="509"/>
    </row>
    <row r="98" spans="15:15" x14ac:dyDescent="0.25">
      <c r="O98" s="509"/>
    </row>
    <row r="99" spans="15:15" x14ac:dyDescent="0.25">
      <c r="O99" s="509"/>
    </row>
    <row r="100" spans="15:15" x14ac:dyDescent="0.25">
      <c r="O100" s="509"/>
    </row>
    <row r="101" spans="15:15" x14ac:dyDescent="0.25">
      <c r="O101" s="509"/>
    </row>
    <row r="102" spans="15:15" x14ac:dyDescent="0.25">
      <c r="O102" s="509"/>
    </row>
    <row r="103" spans="15:15" x14ac:dyDescent="0.25">
      <c r="O103" s="509"/>
    </row>
    <row r="104" spans="15:15" x14ac:dyDescent="0.25">
      <c r="O104" s="509"/>
    </row>
    <row r="105" spans="15:15" x14ac:dyDescent="0.25">
      <c r="O105" s="509"/>
    </row>
    <row r="106" spans="15:15" x14ac:dyDescent="0.25">
      <c r="O106" s="509"/>
    </row>
  </sheetData>
  <phoneticPr fontId="0" type="noConversion"/>
  <pageMargins left="0.75" right="0.75" top="1" bottom="1" header="0" footer="0"/>
  <pageSetup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Q46"/>
  <sheetViews>
    <sheetView zoomScale="75" workbookViewId="0">
      <selection activeCell="D7" sqref="D7"/>
    </sheetView>
  </sheetViews>
  <sheetFormatPr baseColWidth="10" defaultColWidth="14.85546875" defaultRowHeight="15.75" x14ac:dyDescent="0.25"/>
  <cols>
    <col min="1" max="1" width="66.5703125" style="590" customWidth="1"/>
    <col min="2" max="16384" width="14.85546875" style="439"/>
  </cols>
  <sheetData>
    <row r="1" spans="1:17" ht="16.5" thickTop="1" x14ac:dyDescent="0.25">
      <c r="A1" s="434" t="s">
        <v>890</v>
      </c>
      <c r="B1" s="435" t="e">
        <f>+'Resumen BBDD'!B1</f>
        <v>#REF!</v>
      </c>
      <c r="C1" s="435"/>
      <c r="D1" s="434"/>
      <c r="E1" s="434"/>
      <c r="F1" s="434"/>
    </row>
    <row r="2" spans="1:17" x14ac:dyDescent="0.25">
      <c r="A2" s="440" t="s">
        <v>106</v>
      </c>
      <c r="B2" s="441" t="e">
        <f>+'Resumen BBDD'!B2</f>
        <v>#REF!</v>
      </c>
      <c r="C2" s="441"/>
      <c r="D2" s="440"/>
      <c r="E2" s="440"/>
      <c r="F2" s="440"/>
    </row>
    <row r="3" spans="1:17" ht="16.5" thickBot="1" x14ac:dyDescent="0.3">
      <c r="A3" s="446" t="s">
        <v>858</v>
      </c>
      <c r="B3" s="447" t="e">
        <f>+'Resumen BBDD'!B3</f>
        <v>#REF!</v>
      </c>
      <c r="C3" s="447"/>
      <c r="D3" s="447"/>
      <c r="E3" s="449"/>
      <c r="F3" s="449"/>
    </row>
    <row r="4" spans="1:17" ht="16.5" thickTop="1" x14ac:dyDescent="0.25">
      <c r="A4" s="565"/>
      <c r="B4" s="565"/>
      <c r="C4" s="565"/>
      <c r="D4" s="565"/>
      <c r="E4" s="565"/>
      <c r="F4" s="565"/>
    </row>
    <row r="5" spans="1:17" x14ac:dyDescent="0.25">
      <c r="A5" s="566"/>
      <c r="B5" s="567">
        <f>+'Resumen BBDD'!C5</f>
        <v>42735</v>
      </c>
      <c r="C5" s="567"/>
      <c r="D5" s="567">
        <f>+'Resumen BBDD'!E5</f>
        <v>43100</v>
      </c>
      <c r="E5" s="567"/>
      <c r="F5" s="567">
        <f>+'Resumen BBDD'!G5</f>
        <v>43465</v>
      </c>
      <c r="G5" s="567"/>
      <c r="H5" s="599">
        <f>IF('Resumen EEFF'!$F$10="Si",'Resumen EEFF'!E12,0)</f>
        <v>43830</v>
      </c>
      <c r="I5" s="567"/>
      <c r="J5" s="599">
        <f>IF('Resumen EEFF'!$F$10="Si",'Resumen EEFF'!F12,0)</f>
        <v>44196</v>
      </c>
      <c r="K5" s="567"/>
      <c r="L5" s="599">
        <f>IF('Resumen EEFF'!$F$10="Si",'Resumen EEFF'!G12,0)</f>
        <v>44561</v>
      </c>
      <c r="N5" s="457">
        <f>+'Resumen BBDD'!P5</f>
        <v>43281</v>
      </c>
      <c r="O5" s="614"/>
      <c r="P5" s="457">
        <f>+'Resumen BBDD'!R5</f>
        <v>43646</v>
      </c>
      <c r="Q5" s="614"/>
    </row>
    <row r="6" spans="1:17" x14ac:dyDescent="0.25">
      <c r="A6" s="568" t="s">
        <v>1158</v>
      </c>
      <c r="B6" s="569">
        <f>+'Resumen EEFF'!B46</f>
        <v>0</v>
      </c>
      <c r="C6" s="569"/>
      <c r="D6" s="569">
        <f>+'Resumen EEFF'!C46</f>
        <v>0</v>
      </c>
      <c r="E6" s="571"/>
      <c r="F6" s="569">
        <f>+'Resumen EEFF'!D46</f>
        <v>0</v>
      </c>
      <c r="G6" s="571"/>
      <c r="H6" s="570">
        <f>IF('Resumen EEFF'!$F$10="Si",'Resumen EEFF'!E46,0)</f>
        <v>0</v>
      </c>
      <c r="I6" s="571"/>
      <c r="J6" s="570">
        <f>IF('Resumen EEFF'!$F$10="Si",'Resumen EEFF'!F46,0)</f>
        <v>0</v>
      </c>
      <c r="K6" s="571"/>
      <c r="L6" s="570">
        <f>IF('Resumen EEFF'!$F$10="Si",'Resumen EEFF'!G46,0)</f>
        <v>0</v>
      </c>
      <c r="N6" s="570">
        <f>+'Resumen EEFF'!U46</f>
        <v>0</v>
      </c>
      <c r="O6" s="571"/>
      <c r="P6" s="570">
        <f>+'Resumen EEFF'!V46</f>
        <v>0</v>
      </c>
      <c r="Q6" s="571"/>
    </row>
    <row r="7" spans="1:17" x14ac:dyDescent="0.25">
      <c r="A7" s="572" t="s">
        <v>1159</v>
      </c>
      <c r="B7" s="569">
        <f>+'Resumen EEFF'!B47</f>
        <v>0</v>
      </c>
      <c r="C7" s="569"/>
      <c r="D7" s="569">
        <f>+'Resumen EEFF'!C47</f>
        <v>0</v>
      </c>
      <c r="E7" s="571"/>
      <c r="F7" s="569">
        <f>+'Resumen EEFF'!D47</f>
        <v>0</v>
      </c>
      <c r="G7" s="571"/>
      <c r="H7" s="570">
        <f>IF('Resumen EEFF'!$F$10="Si",'Resumen EEFF'!E47,0)</f>
        <v>0</v>
      </c>
      <c r="I7" s="571"/>
      <c r="J7" s="570">
        <f>IF('Resumen EEFF'!$F$10="Si",'Resumen EEFF'!F47,0)</f>
        <v>0</v>
      </c>
      <c r="K7" s="571"/>
      <c r="L7" s="570">
        <f>IF('Resumen EEFF'!$F$10="Si",'Resumen EEFF'!G47,0)</f>
        <v>0</v>
      </c>
      <c r="N7" s="570">
        <f>+'Resumen EEFF'!U47</f>
        <v>0</v>
      </c>
      <c r="O7" s="571"/>
      <c r="P7" s="570">
        <f>+'Resumen EEFF'!V47</f>
        <v>0</v>
      </c>
      <c r="Q7" s="571"/>
    </row>
    <row r="8" spans="1:17" x14ac:dyDescent="0.25">
      <c r="A8" s="572" t="s">
        <v>891</v>
      </c>
      <c r="B8" s="569">
        <f>+'Resumen EEFF'!B48</f>
        <v>0</v>
      </c>
      <c r="C8" s="569"/>
      <c r="D8" s="569">
        <f ca="1">+'Resumen EEFF'!C48</f>
        <v>0</v>
      </c>
      <c r="E8" s="571"/>
      <c r="F8" s="569">
        <f ca="1">+'Resumen EEFF'!D48</f>
        <v>0</v>
      </c>
      <c r="G8" s="571"/>
      <c r="H8" s="570">
        <f>IF('Resumen EEFF'!$F$10="Si",'Resumen EEFF'!E48,0)</f>
        <v>0</v>
      </c>
      <c r="I8" s="571"/>
      <c r="J8" s="570">
        <f>IF('Resumen EEFF'!$F$10="Si",'Resumen EEFF'!F48,0)</f>
        <v>0</v>
      </c>
      <c r="K8" s="571"/>
      <c r="L8" s="570">
        <f>IF('Resumen EEFF'!$F$10="Si",'Resumen EEFF'!G48,0)</f>
        <v>0</v>
      </c>
      <c r="N8" s="570">
        <f>+'Resumen EEFF'!U48</f>
        <v>0</v>
      </c>
      <c r="O8" s="571"/>
      <c r="P8" s="570">
        <f ca="1">+'Resumen EEFF'!V48</f>
        <v>0</v>
      </c>
      <c r="Q8" s="571"/>
    </row>
    <row r="9" spans="1:17" x14ac:dyDescent="0.25">
      <c r="A9" s="572" t="s">
        <v>1161</v>
      </c>
      <c r="B9" s="569">
        <f>+'Resumen EEFF'!B49</f>
        <v>0</v>
      </c>
      <c r="C9" s="569"/>
      <c r="D9" s="569">
        <f>+'Resumen EEFF'!C49</f>
        <v>0</v>
      </c>
      <c r="E9" s="571"/>
      <c r="F9" s="569">
        <f>+'Resumen EEFF'!D49</f>
        <v>0</v>
      </c>
      <c r="G9" s="571"/>
      <c r="H9" s="570">
        <f>IF('Resumen EEFF'!$F$10="Si",'Resumen EEFF'!E49,0)</f>
        <v>0</v>
      </c>
      <c r="I9" s="571"/>
      <c r="J9" s="570">
        <f>IF('Resumen EEFF'!$F$10="Si",'Resumen EEFF'!F49,0)</f>
        <v>0</v>
      </c>
      <c r="K9" s="571"/>
      <c r="L9" s="570">
        <f>IF('Resumen EEFF'!$F$10="Si",'Resumen EEFF'!G49,0)</f>
        <v>0</v>
      </c>
      <c r="N9" s="570">
        <f>+'Resumen EEFF'!U49</f>
        <v>0</v>
      </c>
      <c r="O9" s="571"/>
      <c r="P9" s="570">
        <f>+'Resumen EEFF'!V49</f>
        <v>0</v>
      </c>
      <c r="Q9" s="571"/>
    </row>
    <row r="10" spans="1:17" x14ac:dyDescent="0.25">
      <c r="A10" s="572" t="s">
        <v>453</v>
      </c>
      <c r="B10" s="569">
        <f>+'Resumen EEFF'!B50</f>
        <v>0</v>
      </c>
      <c r="C10" s="569"/>
      <c r="D10" s="569">
        <f ca="1">+'Resumen EEFF'!C50</f>
        <v>0</v>
      </c>
      <c r="E10" s="571"/>
      <c r="F10" s="569">
        <f ca="1">+'Resumen EEFF'!D50</f>
        <v>0</v>
      </c>
      <c r="G10" s="571"/>
      <c r="H10" s="570">
        <f ca="1">IF('Resumen EEFF'!$F$10="Si",'Resumen EEFF'!E50,0)</f>
        <v>0</v>
      </c>
      <c r="I10" s="571"/>
      <c r="J10" s="570">
        <f ca="1">IF('Resumen EEFF'!$F$10="Si",'Resumen EEFF'!F50,0)</f>
        <v>0</v>
      </c>
      <c r="K10" s="571"/>
      <c r="L10" s="570">
        <f ca="1">IF('Resumen EEFF'!$F$10="Si",'Resumen EEFF'!G50,0)</f>
        <v>0</v>
      </c>
      <c r="N10" s="570">
        <f>+'Resumen EEFF'!U50</f>
        <v>0</v>
      </c>
      <c r="O10" s="571"/>
      <c r="P10" s="570">
        <f ca="1">+'Resumen EEFF'!V50</f>
        <v>0</v>
      </c>
      <c r="Q10" s="571"/>
    </row>
    <row r="11" spans="1:17" x14ac:dyDescent="0.25">
      <c r="A11" s="573" t="s">
        <v>892</v>
      </c>
      <c r="B11" s="575">
        <f>+'Resumen EEFF'!B51</f>
        <v>0</v>
      </c>
      <c r="C11" s="574"/>
      <c r="D11" s="575">
        <f ca="1">+'Resumen EEFF'!C51</f>
        <v>0</v>
      </c>
      <c r="E11" s="575"/>
      <c r="F11" s="575">
        <f ca="1">+'Resumen EEFF'!D51</f>
        <v>0</v>
      </c>
      <c r="G11" s="575"/>
      <c r="H11" s="575">
        <f ca="1">IF('Resumen EEFF'!$F$10="Si",'Resumen EEFF'!E51,0)</f>
        <v>0</v>
      </c>
      <c r="I11" s="575"/>
      <c r="J11" s="575">
        <f ca="1">IF('Resumen EEFF'!$F$10="Si",'Resumen EEFF'!F51,0)</f>
        <v>0</v>
      </c>
      <c r="K11" s="575"/>
      <c r="L11" s="611">
        <f ca="1">IF('Resumen EEFF'!$F$10="Si",'Resumen EEFF'!G51,0)</f>
        <v>0</v>
      </c>
      <c r="N11" s="611">
        <f>+'Resumen EEFF'!U51</f>
        <v>0</v>
      </c>
      <c r="O11" s="611"/>
      <c r="P11" s="611">
        <f ca="1">+'Resumen EEFF'!V51</f>
        <v>0</v>
      </c>
      <c r="Q11" s="611"/>
    </row>
    <row r="12" spans="1:17" x14ac:dyDescent="0.25">
      <c r="A12" s="572" t="s">
        <v>1163</v>
      </c>
      <c r="B12" s="569">
        <f>+'Resumen EEFF'!B52</f>
        <v>0</v>
      </c>
      <c r="C12" s="569"/>
      <c r="D12" s="569">
        <f ca="1">+'Resumen EEFF'!C52</f>
        <v>0</v>
      </c>
      <c r="E12" s="571"/>
      <c r="F12" s="569">
        <f ca="1">+'Resumen EEFF'!D52</f>
        <v>0</v>
      </c>
      <c r="G12" s="571"/>
      <c r="H12" s="570">
        <f ca="1">IF('Resumen EEFF'!$F$10="Si",'Resumen EEFF'!E52,0)</f>
        <v>0</v>
      </c>
      <c r="I12" s="571"/>
      <c r="J12" s="570">
        <f ca="1">IF('Resumen EEFF'!$F$10="Si",'Resumen EEFF'!F52,0)</f>
        <v>0</v>
      </c>
      <c r="K12" s="571"/>
      <c r="L12" s="570">
        <f ca="1">IF('Resumen EEFF'!$F$10="Si",'Resumen EEFF'!G52,0)</f>
        <v>0</v>
      </c>
      <c r="N12" s="570">
        <f>+'Resumen EEFF'!U52</f>
        <v>0</v>
      </c>
      <c r="O12" s="571"/>
      <c r="P12" s="570">
        <f ca="1">+'Resumen EEFF'!V52</f>
        <v>0</v>
      </c>
      <c r="Q12" s="571"/>
    </row>
    <row r="13" spans="1:17" x14ac:dyDescent="0.25">
      <c r="A13" s="572" t="s">
        <v>1164</v>
      </c>
      <c r="B13" s="569">
        <f>+'Resumen EEFF'!B53</f>
        <v>0</v>
      </c>
      <c r="C13" s="569"/>
      <c r="D13" s="569">
        <f>+'Resumen EEFF'!C53</f>
        <v>0</v>
      </c>
      <c r="E13" s="571"/>
      <c r="F13" s="569">
        <f>+'Resumen EEFF'!D53</f>
        <v>0</v>
      </c>
      <c r="G13" s="571"/>
      <c r="H13" s="570">
        <f>IF('Resumen EEFF'!$F$10="Si",'Resumen EEFF'!E53,0)</f>
        <v>0</v>
      </c>
      <c r="I13" s="571"/>
      <c r="J13" s="570">
        <f>IF('Resumen EEFF'!$F$10="Si",'Resumen EEFF'!F53,0)</f>
        <v>0</v>
      </c>
      <c r="K13" s="571"/>
      <c r="L13" s="570">
        <f>IF('Resumen EEFF'!$F$10="Si",'Resumen EEFF'!G53,0)</f>
        <v>0</v>
      </c>
      <c r="N13" s="570">
        <f>+'Resumen EEFF'!U53</f>
        <v>0</v>
      </c>
      <c r="O13" s="571"/>
      <c r="P13" s="570">
        <f>+'Resumen EEFF'!V53</f>
        <v>0</v>
      </c>
      <c r="Q13" s="571"/>
    </row>
    <row r="14" spans="1:17" x14ac:dyDescent="0.25">
      <c r="A14" s="572" t="s">
        <v>1165</v>
      </c>
      <c r="B14" s="569">
        <f>+'Resumen EEFF'!B54</f>
        <v>0</v>
      </c>
      <c r="C14" s="569"/>
      <c r="D14" s="569">
        <f ca="1">+'Resumen EEFF'!C54</f>
        <v>0</v>
      </c>
      <c r="E14" s="571"/>
      <c r="F14" s="569">
        <f ca="1">+'Resumen EEFF'!D54</f>
        <v>0</v>
      </c>
      <c r="G14" s="571"/>
      <c r="H14" s="570">
        <f ca="1">IF('Resumen EEFF'!$F$10="Si",'Resumen EEFF'!E54,0)</f>
        <v>0</v>
      </c>
      <c r="I14" s="571"/>
      <c r="J14" s="570">
        <f>IF('Resumen EEFF'!$F$10="Si",'Resumen EEFF'!F54,0)</f>
        <v>0</v>
      </c>
      <c r="K14" s="571"/>
      <c r="L14" s="570">
        <f>IF('Resumen EEFF'!$F$10="Si",'Resumen EEFF'!G54,0)</f>
        <v>0</v>
      </c>
      <c r="N14" s="570">
        <f>+'Resumen EEFF'!U54</f>
        <v>0</v>
      </c>
      <c r="O14" s="571"/>
      <c r="P14" s="570">
        <f ca="1">+'Resumen EEFF'!V54</f>
        <v>0</v>
      </c>
      <c r="Q14" s="571"/>
    </row>
    <row r="15" spans="1:17" x14ac:dyDescent="0.25">
      <c r="A15" s="572" t="s">
        <v>1166</v>
      </c>
      <c r="B15" s="569">
        <f>+'Resumen EEFF'!B55</f>
        <v>0</v>
      </c>
      <c r="C15" s="569"/>
      <c r="D15" s="569">
        <f ca="1">+'Resumen EEFF'!C55</f>
        <v>0</v>
      </c>
      <c r="E15" s="571"/>
      <c r="F15" s="569">
        <f ca="1">+'Resumen EEFF'!D55</f>
        <v>0</v>
      </c>
      <c r="G15" s="571"/>
      <c r="H15" s="570">
        <f ca="1">IF('Resumen EEFF'!$F$10="Si",'Resumen EEFF'!E55,0)</f>
        <v>0</v>
      </c>
      <c r="I15" s="571"/>
      <c r="J15" s="570">
        <f>IF('Resumen EEFF'!$F$10="Si",'Resumen EEFF'!F55,0)</f>
        <v>0</v>
      </c>
      <c r="K15" s="571"/>
      <c r="L15" s="570">
        <f>IF('Resumen EEFF'!$F$10="Si",'Resumen EEFF'!G55,0)</f>
        <v>0</v>
      </c>
      <c r="N15" s="570">
        <f>+'Resumen EEFF'!U55</f>
        <v>0</v>
      </c>
      <c r="O15" s="571"/>
      <c r="P15" s="570">
        <f ca="1">+'Resumen EEFF'!V55</f>
        <v>0</v>
      </c>
      <c r="Q15" s="571"/>
    </row>
    <row r="16" spans="1:17" x14ac:dyDescent="0.25">
      <c r="A16" s="572" t="s">
        <v>1167</v>
      </c>
      <c r="B16" s="569">
        <f>+'Resumen EEFF'!B56</f>
        <v>0</v>
      </c>
      <c r="C16" s="569"/>
      <c r="D16" s="569">
        <f>+'Resumen EEFF'!C56</f>
        <v>0</v>
      </c>
      <c r="E16" s="571"/>
      <c r="F16" s="569">
        <f>+'Resumen EEFF'!D56</f>
        <v>0</v>
      </c>
      <c r="G16" s="571"/>
      <c r="H16" s="570">
        <f ca="1">IF('Resumen EEFF'!$F$10="Si",'Resumen EEFF'!E56,0)</f>
        <v>0</v>
      </c>
      <c r="I16" s="571"/>
      <c r="J16" s="570">
        <f ca="1">IF('Resumen EEFF'!$F$10="Si",'Resumen EEFF'!F56,0)</f>
        <v>0</v>
      </c>
      <c r="K16" s="571"/>
      <c r="L16" s="570">
        <f ca="1">IF('Resumen EEFF'!$F$10="Si",'Resumen EEFF'!G56,0)</f>
        <v>0</v>
      </c>
      <c r="N16" s="570">
        <f>+'Resumen EEFF'!U56</f>
        <v>0</v>
      </c>
      <c r="O16" s="571"/>
      <c r="P16" s="570">
        <f>+'Resumen EEFF'!V56</f>
        <v>0</v>
      </c>
      <c r="Q16" s="571"/>
    </row>
    <row r="17" spans="1:17" x14ac:dyDescent="0.25">
      <c r="A17" s="572" t="s">
        <v>1168</v>
      </c>
      <c r="B17" s="569">
        <f>+'Resumen EEFF'!B57</f>
        <v>0</v>
      </c>
      <c r="C17" s="569"/>
      <c r="D17" s="569">
        <f>+'Resumen EEFF'!C57</f>
        <v>0</v>
      </c>
      <c r="E17" s="571"/>
      <c r="F17" s="569">
        <f>+'Resumen EEFF'!D57</f>
        <v>0</v>
      </c>
      <c r="G17" s="571"/>
      <c r="H17" s="570">
        <f>IF('Resumen EEFF'!$F$10="Si",'Resumen EEFF'!E57,0)</f>
        <v>0</v>
      </c>
      <c r="I17" s="571"/>
      <c r="J17" s="570">
        <f>IF('Resumen EEFF'!$F$10="Si",'Resumen EEFF'!F57,0)</f>
        <v>0</v>
      </c>
      <c r="K17" s="571"/>
      <c r="L17" s="570">
        <f>IF('Resumen EEFF'!$F$10="Si",'Resumen EEFF'!G57,0)</f>
        <v>0</v>
      </c>
      <c r="N17" s="570">
        <f>+'Resumen EEFF'!U57</f>
        <v>0</v>
      </c>
      <c r="O17" s="571"/>
      <c r="P17" s="570">
        <f>+'Resumen EEFF'!V57</f>
        <v>0</v>
      </c>
      <c r="Q17" s="571"/>
    </row>
    <row r="18" spans="1:17" x14ac:dyDescent="0.25">
      <c r="A18" s="572" t="s">
        <v>1169</v>
      </c>
      <c r="B18" s="569">
        <f>+'Resumen EEFF'!B58</f>
        <v>0</v>
      </c>
      <c r="C18" s="569"/>
      <c r="D18" s="569">
        <f>+'Resumen EEFF'!C58</f>
        <v>0</v>
      </c>
      <c r="E18" s="571"/>
      <c r="F18" s="569">
        <f>+'Resumen EEFF'!D58</f>
        <v>0</v>
      </c>
      <c r="G18" s="571"/>
      <c r="H18" s="570">
        <f>IF('Resumen EEFF'!$F$10="Si",'Resumen EEFF'!E58,0)</f>
        <v>0</v>
      </c>
      <c r="I18" s="571"/>
      <c r="J18" s="570">
        <f>IF('Resumen EEFF'!$F$10="Si",'Resumen EEFF'!F58,0)</f>
        <v>0</v>
      </c>
      <c r="K18" s="571"/>
      <c r="L18" s="570">
        <f>IF('Resumen EEFF'!$F$10="Si",'Resumen EEFF'!G58,0)</f>
        <v>0</v>
      </c>
      <c r="N18" s="570">
        <f>+'Resumen EEFF'!U58</f>
        <v>0</v>
      </c>
      <c r="O18" s="571"/>
      <c r="P18" s="570">
        <f>+'Resumen EEFF'!V58</f>
        <v>0</v>
      </c>
      <c r="Q18" s="571"/>
    </row>
    <row r="19" spans="1:17" x14ac:dyDescent="0.25">
      <c r="A19" s="576" t="s">
        <v>893</v>
      </c>
      <c r="B19" s="575">
        <f>+'Resumen EEFF'!B59</f>
        <v>0</v>
      </c>
      <c r="C19" s="574"/>
      <c r="D19" s="575">
        <f ca="1">+'Resumen EEFF'!C59</f>
        <v>0</v>
      </c>
      <c r="E19" s="575"/>
      <c r="F19" s="575">
        <f ca="1">+'Resumen EEFF'!D59</f>
        <v>0</v>
      </c>
      <c r="G19" s="575"/>
      <c r="H19" s="575">
        <f ca="1">IF('Resumen EEFF'!$F$10="Si",'Resumen EEFF'!E59,0)</f>
        <v>0</v>
      </c>
      <c r="I19" s="575"/>
      <c r="J19" s="575">
        <f ca="1">IF('Resumen EEFF'!$F$10="Si",'Resumen EEFF'!F59,0)</f>
        <v>0</v>
      </c>
      <c r="K19" s="575"/>
      <c r="L19" s="611">
        <f ca="1">IF('Resumen EEFF'!$F$10="Si",'Resumen EEFF'!G59,0)</f>
        <v>0</v>
      </c>
      <c r="N19" s="611">
        <f>+'Resumen EEFF'!U59</f>
        <v>0</v>
      </c>
      <c r="O19" s="611"/>
      <c r="P19" s="611">
        <f ca="1">+'Resumen EEFF'!V59</f>
        <v>0</v>
      </c>
      <c r="Q19" s="611"/>
    </row>
    <row r="20" spans="1:17" x14ac:dyDescent="0.25">
      <c r="A20" s="572"/>
      <c r="B20" s="569"/>
      <c r="C20" s="569"/>
      <c r="D20" s="577"/>
      <c r="E20" s="578"/>
      <c r="F20" s="577"/>
      <c r="G20" s="578"/>
      <c r="H20" s="577"/>
      <c r="I20" s="578"/>
      <c r="J20" s="577"/>
      <c r="K20" s="578"/>
      <c r="L20" s="577"/>
      <c r="N20" s="577"/>
      <c r="O20" s="578"/>
      <c r="P20" s="577"/>
      <c r="Q20" s="578"/>
    </row>
    <row r="21" spans="1:17" ht="26.25" x14ac:dyDescent="0.25">
      <c r="A21" s="573" t="s">
        <v>894</v>
      </c>
      <c r="B21" s="575">
        <f>+'Resumen EEFF'!B60</f>
        <v>0</v>
      </c>
      <c r="C21" s="574"/>
      <c r="D21" s="575">
        <f ca="1">+'Resumen EEFF'!C60</f>
        <v>0</v>
      </c>
      <c r="E21" s="579"/>
      <c r="F21" s="575">
        <f ca="1">+'Resumen EEFF'!D60</f>
        <v>0</v>
      </c>
      <c r="G21" s="579"/>
      <c r="H21" s="575">
        <f ca="1">IF('Resumen EEFF'!$F$10="Si",'Resumen EEFF'!E60,0)</f>
        <v>0</v>
      </c>
      <c r="I21" s="579"/>
      <c r="J21" s="575">
        <f ca="1">IF('Resumen EEFF'!$F$10="Si",'Resumen EEFF'!F60,0)</f>
        <v>0</v>
      </c>
      <c r="K21" s="579"/>
      <c r="L21" s="611">
        <f ca="1">IF('Resumen EEFF'!$F$10="Si",'Resumen EEFF'!G60,0)</f>
        <v>0</v>
      </c>
      <c r="N21" s="611">
        <f>+'Resumen EEFF'!U60</f>
        <v>0</v>
      </c>
      <c r="O21" s="615"/>
      <c r="P21" s="611">
        <f ca="1">+'Resumen EEFF'!V60</f>
        <v>0</v>
      </c>
      <c r="Q21" s="615"/>
    </row>
    <row r="22" spans="1:17" x14ac:dyDescent="0.25">
      <c r="A22" s="572" t="s">
        <v>1172</v>
      </c>
      <c r="B22" s="569">
        <f>+'Resumen EEFF'!B61</f>
        <v>0</v>
      </c>
      <c r="C22" s="569"/>
      <c r="D22" s="569">
        <f ca="1">+'Resumen EEFF'!C61</f>
        <v>0</v>
      </c>
      <c r="E22" s="571"/>
      <c r="F22" s="569">
        <f ca="1">+'Resumen EEFF'!D61</f>
        <v>0</v>
      </c>
      <c r="G22" s="571"/>
      <c r="H22" s="570">
        <f ca="1">IF('Resumen EEFF'!$F$10="Si",'Resumen EEFF'!E61,0)</f>
        <v>0</v>
      </c>
      <c r="I22" s="571"/>
      <c r="J22" s="570">
        <f ca="1">IF('Resumen EEFF'!$F$10="Si",'Resumen EEFF'!F61,0)</f>
        <v>0</v>
      </c>
      <c r="K22" s="571"/>
      <c r="L22" s="570">
        <f ca="1">IF('Resumen EEFF'!$F$10="Si",'Resumen EEFF'!G61,0)</f>
        <v>0</v>
      </c>
      <c r="N22" s="570">
        <f>+'Resumen EEFF'!U61</f>
        <v>0</v>
      </c>
      <c r="O22" s="571"/>
      <c r="P22" s="570">
        <f ca="1">+'Resumen EEFF'!V61</f>
        <v>0</v>
      </c>
      <c r="Q22" s="571"/>
    </row>
    <row r="23" spans="1:17" x14ac:dyDescent="0.25">
      <c r="A23" s="572" t="s">
        <v>1173</v>
      </c>
      <c r="B23" s="569">
        <f>+'Resumen EEFF'!B62</f>
        <v>0</v>
      </c>
      <c r="C23" s="569"/>
      <c r="D23" s="569">
        <f>+'Resumen EEFF'!C62</f>
        <v>0</v>
      </c>
      <c r="E23" s="571"/>
      <c r="F23" s="569">
        <f>+'Resumen EEFF'!D62</f>
        <v>0</v>
      </c>
      <c r="G23" s="571"/>
      <c r="H23" s="570">
        <f ca="1">IF('Resumen EEFF'!$F$10="Si",'Resumen EEFF'!E62,0)</f>
        <v>0</v>
      </c>
      <c r="I23" s="571"/>
      <c r="J23" s="570">
        <f ca="1">IF('Resumen EEFF'!$F$10="Si",'Resumen EEFF'!F62,0)</f>
        <v>0</v>
      </c>
      <c r="K23" s="571"/>
      <c r="L23" s="570">
        <f ca="1">IF('Resumen EEFF'!$F$10="Si",'Resumen EEFF'!G62,0)</f>
        <v>0</v>
      </c>
      <c r="N23" s="570">
        <f>+'Resumen EEFF'!U62</f>
        <v>0</v>
      </c>
      <c r="O23" s="571"/>
      <c r="P23" s="570">
        <f>+'Resumen EEFF'!V62</f>
        <v>0</v>
      </c>
      <c r="Q23" s="571"/>
    </row>
    <row r="24" spans="1:17" x14ac:dyDescent="0.25">
      <c r="A24" s="572" t="s">
        <v>1174</v>
      </c>
      <c r="B24" s="569">
        <f>+'Resumen EEFF'!B63</f>
        <v>0</v>
      </c>
      <c r="C24" s="569"/>
      <c r="D24" s="569">
        <f>+'Resumen EEFF'!C63</f>
        <v>0</v>
      </c>
      <c r="E24" s="571"/>
      <c r="F24" s="569">
        <f>+'Resumen EEFF'!D63</f>
        <v>0</v>
      </c>
      <c r="G24" s="571"/>
      <c r="H24" s="570">
        <f ca="1">IF('Resumen EEFF'!$F$10="Si",'Resumen EEFF'!E63,0)</f>
        <v>0</v>
      </c>
      <c r="I24" s="571"/>
      <c r="J24" s="570">
        <f ca="1">IF('Resumen EEFF'!$F$10="Si",'Resumen EEFF'!F63,0)</f>
        <v>0</v>
      </c>
      <c r="K24" s="571"/>
      <c r="L24" s="570">
        <f ca="1">IF('Resumen EEFF'!$F$10="Si",'Resumen EEFF'!G63,0)</f>
        <v>0</v>
      </c>
      <c r="N24" s="570">
        <f>+'Resumen EEFF'!U63</f>
        <v>0</v>
      </c>
      <c r="O24" s="571"/>
      <c r="P24" s="570">
        <f>+'Resumen EEFF'!V63</f>
        <v>0</v>
      </c>
      <c r="Q24" s="571"/>
    </row>
    <row r="25" spans="1:17" x14ac:dyDescent="0.25">
      <c r="A25" s="572" t="s">
        <v>1175</v>
      </c>
      <c r="B25" s="569">
        <f>+'Resumen EEFF'!B64</f>
        <v>0</v>
      </c>
      <c r="C25" s="569"/>
      <c r="D25" s="569">
        <f>+'Resumen EEFF'!C64</f>
        <v>0</v>
      </c>
      <c r="E25" s="571"/>
      <c r="F25" s="569">
        <f>+'Resumen EEFF'!D64</f>
        <v>0</v>
      </c>
      <c r="G25" s="571"/>
      <c r="H25" s="570">
        <f ca="1">IF('Resumen EEFF'!$F$10="Si",'Resumen EEFF'!E64,0)</f>
        <v>0</v>
      </c>
      <c r="I25" s="571"/>
      <c r="J25" s="570">
        <f ca="1">IF('Resumen EEFF'!$F$10="Si",'Resumen EEFF'!F64,0)</f>
        <v>0</v>
      </c>
      <c r="K25" s="571"/>
      <c r="L25" s="570">
        <f ca="1">IF('Resumen EEFF'!$F$10="Si",'Resumen EEFF'!G64,0)</f>
        <v>0</v>
      </c>
      <c r="N25" s="570">
        <f>+'Resumen EEFF'!U64</f>
        <v>0</v>
      </c>
      <c r="O25" s="571"/>
      <c r="P25" s="570">
        <f>+'Resumen EEFF'!V64</f>
        <v>0</v>
      </c>
      <c r="Q25" s="571"/>
    </row>
    <row r="26" spans="1:17" x14ac:dyDescent="0.25">
      <c r="A26" s="572" t="s">
        <v>895</v>
      </c>
      <c r="B26" s="569">
        <f>+'Resumen EEFF'!B65</f>
        <v>0</v>
      </c>
      <c r="C26" s="569"/>
      <c r="D26" s="569">
        <f>+'Resumen EEFF'!C65</f>
        <v>0</v>
      </c>
      <c r="E26" s="571"/>
      <c r="F26" s="569">
        <f>+'Resumen EEFF'!D65</f>
        <v>0</v>
      </c>
      <c r="G26" s="571"/>
      <c r="H26" s="570">
        <f ca="1">IF('Resumen EEFF'!$F$10="Si",'Resumen EEFF'!E65,0)</f>
        <v>0</v>
      </c>
      <c r="I26" s="571"/>
      <c r="J26" s="570">
        <f ca="1">IF('Resumen EEFF'!$F$10="Si",'Resumen EEFF'!F65,0)</f>
        <v>0</v>
      </c>
      <c r="K26" s="571"/>
      <c r="L26" s="570">
        <f ca="1">IF('Resumen EEFF'!$F$10="Si",'Resumen EEFF'!G65,0)</f>
        <v>0</v>
      </c>
      <c r="N26" s="570">
        <f>+'Resumen EEFF'!U65</f>
        <v>0</v>
      </c>
      <c r="O26" s="571"/>
      <c r="P26" s="570">
        <f>+'Resumen EEFF'!V65</f>
        <v>0</v>
      </c>
      <c r="Q26" s="571"/>
    </row>
    <row r="27" spans="1:17" x14ac:dyDescent="0.25">
      <c r="A27" s="572" t="s">
        <v>1177</v>
      </c>
      <c r="B27" s="569">
        <f>+'Resumen EEFF'!B66</f>
        <v>0</v>
      </c>
      <c r="C27" s="569"/>
      <c r="D27" s="569">
        <f ca="1">+'Resumen EEFF'!C66</f>
        <v>0</v>
      </c>
      <c r="E27" s="571"/>
      <c r="F27" s="569">
        <f ca="1">+'Resumen EEFF'!D66</f>
        <v>0</v>
      </c>
      <c r="G27" s="571"/>
      <c r="H27" s="570">
        <f ca="1">IF('Resumen EEFF'!$F$10="Si",'Resumen EEFF'!E66,0)</f>
        <v>0</v>
      </c>
      <c r="I27" s="571"/>
      <c r="J27" s="570">
        <f ca="1">IF('Resumen EEFF'!$F$10="Si",'Resumen EEFF'!F66,0)</f>
        <v>0</v>
      </c>
      <c r="K27" s="571"/>
      <c r="L27" s="570">
        <f ca="1">IF('Resumen EEFF'!$F$10="Si",'Resumen EEFF'!G66,0)</f>
        <v>0</v>
      </c>
      <c r="N27" s="570">
        <f>+'Resumen EEFF'!U66</f>
        <v>0</v>
      </c>
      <c r="O27" s="571"/>
      <c r="P27" s="570">
        <f ca="1">+'Resumen EEFF'!V66</f>
        <v>0</v>
      </c>
      <c r="Q27" s="571"/>
    </row>
    <row r="28" spans="1:17" x14ac:dyDescent="0.25">
      <c r="A28" s="580" t="s">
        <v>896</v>
      </c>
      <c r="B28" s="575">
        <f>+'Resumen EEFF'!B67</f>
        <v>0</v>
      </c>
      <c r="C28" s="574"/>
      <c r="D28" s="575">
        <f ca="1">+'Resumen EEFF'!C67</f>
        <v>0</v>
      </c>
      <c r="E28" s="574"/>
      <c r="F28" s="575">
        <f ca="1">+'Resumen EEFF'!D67</f>
        <v>0</v>
      </c>
      <c r="G28" s="574"/>
      <c r="H28" s="575">
        <f ca="1">IF('Resumen EEFF'!$F$10="Si",'Resumen EEFF'!E67,0)</f>
        <v>0</v>
      </c>
      <c r="I28" s="574"/>
      <c r="J28" s="575">
        <f ca="1">IF('Resumen EEFF'!$F$10="Si",'Resumen EEFF'!F67,0)</f>
        <v>0</v>
      </c>
      <c r="K28" s="574"/>
      <c r="L28" s="611">
        <f ca="1">IF('Resumen EEFF'!$F$10="Si",'Resumen EEFF'!G67,0)</f>
        <v>0</v>
      </c>
      <c r="N28" s="611">
        <f>+'Resumen EEFF'!U67</f>
        <v>0</v>
      </c>
      <c r="O28" s="616"/>
      <c r="P28" s="611">
        <f ca="1">+'Resumen EEFF'!V67</f>
        <v>0</v>
      </c>
      <c r="Q28" s="616"/>
    </row>
    <row r="29" spans="1:17" x14ac:dyDescent="0.25">
      <c r="A29" s="572"/>
      <c r="B29" s="569"/>
      <c r="C29" s="569"/>
      <c r="D29" s="577"/>
      <c r="E29" s="569"/>
      <c r="F29" s="577"/>
      <c r="G29" s="569"/>
      <c r="H29" s="577"/>
      <c r="I29" s="569"/>
      <c r="J29" s="577"/>
      <c r="K29" s="569"/>
      <c r="L29" s="577"/>
      <c r="N29" s="577"/>
      <c r="O29" s="569"/>
      <c r="P29" s="577"/>
      <c r="Q29" s="569"/>
    </row>
    <row r="30" spans="1:17" ht="26.25" x14ac:dyDescent="0.25">
      <c r="A30" s="573" t="s">
        <v>897</v>
      </c>
      <c r="B30" s="575">
        <f>+'Resumen EEFF'!B68</f>
        <v>0</v>
      </c>
      <c r="C30" s="574"/>
      <c r="D30" s="575">
        <f ca="1">+'Resumen EEFF'!C68</f>
        <v>0</v>
      </c>
      <c r="E30" s="581"/>
      <c r="F30" s="575">
        <f ca="1">+'Resumen EEFF'!D68</f>
        <v>0</v>
      </c>
      <c r="G30" s="581"/>
      <c r="H30" s="575">
        <f ca="1">IF('Resumen EEFF'!$F$10="Si",'Resumen EEFF'!E68,0)</f>
        <v>0</v>
      </c>
      <c r="I30" s="581"/>
      <c r="J30" s="575">
        <f ca="1">IF('Resumen EEFF'!$F$10="Si",'Resumen EEFF'!F68,0)</f>
        <v>0</v>
      </c>
      <c r="K30" s="581"/>
      <c r="L30" s="611">
        <f ca="1">IF('Resumen EEFF'!$F$10="Si",'Resumen EEFF'!G68,0)</f>
        <v>0</v>
      </c>
      <c r="N30" s="611">
        <f>+'Resumen EEFF'!U68</f>
        <v>0</v>
      </c>
      <c r="O30" s="617"/>
      <c r="P30" s="611">
        <f ca="1">+'Resumen EEFF'!V68</f>
        <v>0</v>
      </c>
      <c r="Q30" s="617"/>
    </row>
    <row r="31" spans="1:17" x14ac:dyDescent="0.25">
      <c r="A31" s="572"/>
      <c r="B31" s="569"/>
      <c r="C31" s="569"/>
      <c r="D31" s="577"/>
      <c r="E31" s="569"/>
      <c r="F31" s="577"/>
      <c r="G31" s="569"/>
      <c r="H31" s="577"/>
      <c r="I31" s="569"/>
      <c r="J31" s="577"/>
      <c r="K31" s="612"/>
      <c r="L31" s="577"/>
      <c r="N31" s="577"/>
      <c r="O31" s="569"/>
      <c r="P31" s="577"/>
      <c r="Q31" s="569"/>
    </row>
    <row r="32" spans="1:17" x14ac:dyDescent="0.25">
      <c r="A32" s="572" t="s">
        <v>1180</v>
      </c>
      <c r="B32" s="569">
        <f>+'Resumen EEFF'!B69</f>
        <v>0</v>
      </c>
      <c r="C32" s="569"/>
      <c r="D32" s="569">
        <f>+'Resumen EEFF'!C69</f>
        <v>0</v>
      </c>
      <c r="E32" s="569"/>
      <c r="F32" s="569">
        <f>+'Resumen EEFF'!D69</f>
        <v>0</v>
      </c>
      <c r="G32" s="569"/>
      <c r="H32" s="570">
        <f>IF('Resumen EEFF'!$F$10="Si",'Resumen EEFF'!E69,0)</f>
        <v>0</v>
      </c>
      <c r="I32" s="569"/>
      <c r="J32" s="570">
        <f>IF('Resumen EEFF'!$F$10="Si",'Resumen EEFF'!F69,0)</f>
        <v>0</v>
      </c>
      <c r="K32" s="612"/>
      <c r="L32" s="570">
        <f>IF('Resumen EEFF'!$F$10="Si",'Resumen EEFF'!G69,0)</f>
        <v>0</v>
      </c>
      <c r="N32" s="570">
        <f>+'Resumen EEFF'!U69</f>
        <v>0</v>
      </c>
      <c r="O32" s="569"/>
      <c r="P32" s="570">
        <f>+'Resumen EEFF'!V69</f>
        <v>0</v>
      </c>
      <c r="Q32" s="569"/>
    </row>
    <row r="33" spans="1:17" x14ac:dyDescent="0.25">
      <c r="A33" s="572"/>
      <c r="B33" s="569"/>
      <c r="C33" s="569"/>
      <c r="D33" s="577"/>
      <c r="E33" s="569"/>
      <c r="F33" s="577"/>
      <c r="G33" s="569"/>
      <c r="H33" s="577"/>
      <c r="I33" s="569"/>
      <c r="J33" s="577"/>
      <c r="K33" s="612"/>
      <c r="L33" s="577"/>
      <c r="N33" s="577"/>
      <c r="O33" s="569"/>
      <c r="P33" s="577"/>
      <c r="Q33" s="569"/>
    </row>
    <row r="34" spans="1:17" x14ac:dyDescent="0.25">
      <c r="A34" s="582" t="s">
        <v>898</v>
      </c>
      <c r="B34" s="591">
        <f>+'Resumen EEFF'!B70</f>
        <v>0</v>
      </c>
      <c r="C34" s="583"/>
      <c r="D34" s="591">
        <f ca="1">+'Resumen EEFF'!C70</f>
        <v>0</v>
      </c>
      <c r="E34" s="583"/>
      <c r="F34" s="591">
        <f ca="1">+'Resumen EEFF'!D70</f>
        <v>0</v>
      </c>
      <c r="G34" s="583"/>
      <c r="H34" s="575">
        <f ca="1">IF('Resumen EEFF'!$F$10="Si",'Resumen EEFF'!E70,0)</f>
        <v>0</v>
      </c>
      <c r="I34" s="583"/>
      <c r="J34" s="575">
        <f ca="1">IF('Resumen EEFF'!$F$10="Si",'Resumen EEFF'!F70,0)</f>
        <v>0</v>
      </c>
      <c r="K34" s="613"/>
      <c r="L34" s="611">
        <f ca="1">IF('Resumen EEFF'!$F$10="Si",'Resumen EEFF'!G70,0)</f>
        <v>0</v>
      </c>
      <c r="N34" s="611">
        <f>+'Resumen EEFF'!U70</f>
        <v>0</v>
      </c>
      <c r="O34" s="583"/>
      <c r="P34" s="611">
        <f ca="1">+'Resumen EEFF'!V70</f>
        <v>0</v>
      </c>
      <c r="Q34" s="583"/>
    </row>
    <row r="35" spans="1:17" x14ac:dyDescent="0.25">
      <c r="A35" s="584"/>
      <c r="B35" s="585"/>
      <c r="C35" s="585"/>
      <c r="D35" s="585"/>
      <c r="E35" s="585"/>
      <c r="F35" s="585"/>
      <c r="G35" s="585"/>
      <c r="H35" s="586"/>
      <c r="I35" s="585"/>
      <c r="J35" s="586"/>
      <c r="K35" s="585"/>
      <c r="L35" s="586"/>
      <c r="N35" s="586"/>
      <c r="O35" s="585"/>
      <c r="P35" s="586"/>
      <c r="Q35" s="585"/>
    </row>
    <row r="36" spans="1:17" x14ac:dyDescent="0.25">
      <c r="A36" s="587"/>
      <c r="E36" s="588"/>
      <c r="G36" s="588"/>
      <c r="H36" s="586"/>
      <c r="I36" s="588"/>
      <c r="J36" s="586"/>
      <c r="K36" s="588"/>
      <c r="L36" s="586"/>
      <c r="N36" s="586"/>
      <c r="O36" s="588"/>
      <c r="P36" s="586"/>
      <c r="Q36" s="588"/>
    </row>
    <row r="37" spans="1:17" x14ac:dyDescent="0.25">
      <c r="A37" s="573" t="s">
        <v>1182</v>
      </c>
      <c r="B37" s="592">
        <f>+'Resumen EEFF'!B71</f>
        <v>0</v>
      </c>
      <c r="C37" s="573"/>
      <c r="D37" s="592">
        <f>+'Resumen EEFF'!C71</f>
        <v>0</v>
      </c>
      <c r="E37" s="583"/>
      <c r="F37" s="592">
        <f>+'Resumen EEFF'!D71</f>
        <v>0</v>
      </c>
      <c r="G37" s="583"/>
      <c r="H37" s="575">
        <f>IF('Resumen EEFF'!$F$10="Si",'Resumen EEFF'!E71,0)</f>
        <v>0</v>
      </c>
      <c r="I37" s="583"/>
      <c r="J37" s="575">
        <f ca="1">IF('Resumen EEFF'!$F$10="Si",'Resumen EEFF'!F71,0)</f>
        <v>0</v>
      </c>
      <c r="K37" s="583"/>
      <c r="L37" s="611">
        <f ca="1">IF('Resumen EEFF'!$F$10="Si",'Resumen EEFF'!G71,0)</f>
        <v>0</v>
      </c>
      <c r="N37" s="575">
        <f>+'Resumen EEFF'!U71</f>
        <v>0</v>
      </c>
      <c r="O37" s="583"/>
      <c r="P37" s="575">
        <f>+'Resumen EEFF'!V71</f>
        <v>0</v>
      </c>
      <c r="Q37" s="583"/>
    </row>
    <row r="38" spans="1:17" x14ac:dyDescent="0.25">
      <c r="A38" s="587"/>
      <c r="B38" s="593"/>
      <c r="D38" s="593"/>
      <c r="E38" s="588"/>
      <c r="F38" s="593"/>
      <c r="G38" s="588"/>
      <c r="H38" s="586"/>
      <c r="I38" s="588"/>
      <c r="J38" s="586"/>
      <c r="K38" s="588"/>
      <c r="L38" s="586"/>
      <c r="N38" s="586"/>
      <c r="O38" s="588"/>
      <c r="P38" s="586"/>
      <c r="Q38" s="588"/>
    </row>
    <row r="39" spans="1:17" x14ac:dyDescent="0.25">
      <c r="A39" s="573" t="s">
        <v>1183</v>
      </c>
      <c r="B39" s="592">
        <f>+'Resumen EEFF'!B72</f>
        <v>0</v>
      </c>
      <c r="C39" s="573"/>
      <c r="D39" s="592">
        <f ca="1">+'Resumen EEFF'!C72</f>
        <v>0</v>
      </c>
      <c r="E39" s="583"/>
      <c r="F39" s="592">
        <f ca="1">+'Resumen EEFF'!D72</f>
        <v>0</v>
      </c>
      <c r="G39" s="583"/>
      <c r="H39" s="575">
        <f ca="1">IF('Resumen EEFF'!$F$10="Si",'Resumen EEFF'!E72,0)</f>
        <v>0</v>
      </c>
      <c r="I39" s="583"/>
      <c r="J39" s="575">
        <f ca="1">IF('Resumen EEFF'!$F$10="Si",'Resumen EEFF'!F72,0)</f>
        <v>0</v>
      </c>
      <c r="K39" s="583"/>
      <c r="L39" s="611">
        <f ca="1">IF('Resumen EEFF'!$F$10="Si",'Resumen EEFF'!G72,0)</f>
        <v>0</v>
      </c>
      <c r="N39" s="575">
        <f>+'Resumen EEFF'!U72</f>
        <v>0</v>
      </c>
      <c r="O39" s="583"/>
      <c r="P39" s="575">
        <f ca="1">+'Resumen EEFF'!V72</f>
        <v>0</v>
      </c>
      <c r="Q39" s="583"/>
    </row>
    <row r="40" spans="1:17" x14ac:dyDescent="0.25">
      <c r="A40" s="587"/>
      <c r="B40" s="593"/>
      <c r="D40" s="593"/>
      <c r="E40" s="588"/>
      <c r="F40" s="593"/>
      <c r="G40" s="588"/>
      <c r="H40" s="586"/>
      <c r="I40" s="588"/>
      <c r="J40" s="586"/>
      <c r="K40" s="588"/>
      <c r="L40" s="586"/>
      <c r="N40" s="586"/>
      <c r="O40" s="588"/>
      <c r="P40" s="586"/>
      <c r="Q40" s="588"/>
    </row>
    <row r="41" spans="1:17" x14ac:dyDescent="0.25">
      <c r="A41" s="587"/>
      <c r="B41" s="593"/>
      <c r="D41" s="593"/>
      <c r="E41" s="588"/>
      <c r="F41" s="593"/>
      <c r="G41" s="588"/>
      <c r="H41" s="586"/>
      <c r="I41" s="588"/>
      <c r="J41" s="586"/>
      <c r="K41" s="588"/>
      <c r="L41" s="586"/>
      <c r="N41" s="586"/>
      <c r="O41" s="588"/>
      <c r="P41" s="586"/>
      <c r="Q41" s="588"/>
    </row>
    <row r="42" spans="1:17" x14ac:dyDescent="0.25">
      <c r="A42" s="573" t="s">
        <v>1184</v>
      </c>
      <c r="B42" s="592">
        <f>+'Resumen EEFF'!B73</f>
        <v>0</v>
      </c>
      <c r="C42" s="573"/>
      <c r="D42" s="592">
        <f ca="1">+'Resumen EEFF'!C73</f>
        <v>0</v>
      </c>
      <c r="E42" s="583"/>
      <c r="F42" s="592">
        <f ca="1">+'Resumen EEFF'!D73</f>
        <v>0</v>
      </c>
      <c r="G42" s="583"/>
      <c r="H42" s="575">
        <f>IF('Resumen EEFF'!$F$10="Si",'Resumen EEFF'!E73,0)</f>
        <v>0</v>
      </c>
      <c r="I42" s="583"/>
      <c r="J42" s="575">
        <f>IF('Resumen EEFF'!$F$10="Si",'Resumen EEFF'!F73,0)</f>
        <v>0</v>
      </c>
      <c r="K42" s="583"/>
      <c r="L42" s="611">
        <f>IF('Resumen EEFF'!$F$10="Si",'Resumen EEFF'!G73,0)</f>
        <v>0</v>
      </c>
      <c r="N42" s="575">
        <f>+'Resumen EEFF'!U73</f>
        <v>0</v>
      </c>
      <c r="O42" s="583"/>
      <c r="P42" s="575">
        <f ca="1">+'Resumen EEFF'!V73</f>
        <v>0</v>
      </c>
      <c r="Q42" s="583"/>
    </row>
    <row r="43" spans="1:17" x14ac:dyDescent="0.25">
      <c r="A43" s="589" t="s">
        <v>899</v>
      </c>
    </row>
    <row r="44" spans="1:17" x14ac:dyDescent="0.25">
      <c r="A44" s="589" t="s">
        <v>900</v>
      </c>
    </row>
    <row r="45" spans="1:17" x14ac:dyDescent="0.25">
      <c r="A45" s="589" t="s">
        <v>901</v>
      </c>
    </row>
    <row r="46" spans="1:17" x14ac:dyDescent="0.25">
      <c r="A46" s="589" t="s">
        <v>902</v>
      </c>
    </row>
  </sheetData>
  <phoneticPr fontId="0" type="noConversion"/>
  <pageMargins left="0.75" right="0.75" top="1" bottom="1" header="0" footer="0"/>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J447"/>
  <sheetViews>
    <sheetView workbookViewId="0">
      <selection activeCell="B1" sqref="B1"/>
    </sheetView>
  </sheetViews>
  <sheetFormatPr baseColWidth="10" defaultRowHeight="11.25" x14ac:dyDescent="0.15"/>
  <sheetData>
    <row r="2" spans="1:10" ht="12" x14ac:dyDescent="0.2">
      <c r="A2" s="187">
        <v>10</v>
      </c>
      <c r="B2" s="3592" t="s">
        <v>601</v>
      </c>
      <c r="C2" s="3592"/>
      <c r="D2" s="3592"/>
      <c r="E2" s="3592"/>
      <c r="F2" s="3592"/>
      <c r="G2" s="3592"/>
      <c r="H2" s="3592"/>
      <c r="I2" s="3592"/>
      <c r="J2" s="3593"/>
    </row>
    <row r="3" spans="1:10" ht="12" x14ac:dyDescent="0.2">
      <c r="A3" s="187">
        <v>90</v>
      </c>
      <c r="B3" s="3592" t="s">
        <v>602</v>
      </c>
      <c r="C3" s="3592"/>
      <c r="D3" s="3592"/>
      <c r="E3" s="3592"/>
      <c r="F3" s="3592"/>
      <c r="G3" s="3592"/>
      <c r="H3" s="3592"/>
      <c r="I3" s="3592"/>
      <c r="J3" s="3593"/>
    </row>
    <row r="4" spans="1:10" ht="12" x14ac:dyDescent="0.2">
      <c r="A4" s="187">
        <v>111</v>
      </c>
      <c r="B4" s="3592" t="s">
        <v>603</v>
      </c>
      <c r="C4" s="3592"/>
      <c r="D4" s="3592"/>
      <c r="E4" s="3592"/>
      <c r="F4" s="3592"/>
      <c r="G4" s="3592"/>
      <c r="H4" s="3592"/>
      <c r="I4" s="3592"/>
      <c r="J4" s="3593"/>
    </row>
    <row r="5" spans="1:10" ht="12" x14ac:dyDescent="0.2">
      <c r="A5" s="187">
        <v>112</v>
      </c>
      <c r="B5" s="3592" t="s">
        <v>604</v>
      </c>
      <c r="C5" s="3592"/>
      <c r="D5" s="3592"/>
      <c r="E5" s="3592"/>
      <c r="F5" s="3592"/>
      <c r="G5" s="3592"/>
      <c r="H5" s="3592"/>
      <c r="I5" s="3592"/>
      <c r="J5" s="3593"/>
    </row>
    <row r="6" spans="1:10" ht="12" x14ac:dyDescent="0.2">
      <c r="A6" s="187">
        <v>113</v>
      </c>
      <c r="B6" s="3592" t="s">
        <v>605</v>
      </c>
      <c r="C6" s="3592"/>
      <c r="D6" s="3592"/>
      <c r="E6" s="3592"/>
      <c r="F6" s="3592"/>
      <c r="G6" s="3592"/>
      <c r="H6" s="3592"/>
      <c r="I6" s="3592"/>
      <c r="J6" s="3593"/>
    </row>
    <row r="7" spans="1:10" ht="12" x14ac:dyDescent="0.2">
      <c r="A7" s="187">
        <v>114</v>
      </c>
      <c r="B7" s="3592" t="s">
        <v>606</v>
      </c>
      <c r="C7" s="3592"/>
      <c r="D7" s="3592"/>
      <c r="E7" s="3592"/>
      <c r="F7" s="3592"/>
      <c r="G7" s="3592"/>
      <c r="H7" s="3592"/>
      <c r="I7" s="3592"/>
      <c r="J7" s="3593"/>
    </row>
    <row r="8" spans="1:10" ht="12" x14ac:dyDescent="0.2">
      <c r="A8" s="187">
        <v>115</v>
      </c>
      <c r="B8" s="3592" t="s">
        <v>607</v>
      </c>
      <c r="C8" s="3592"/>
      <c r="D8" s="3592"/>
      <c r="E8" s="3592"/>
      <c r="F8" s="3592"/>
      <c r="G8" s="3592"/>
      <c r="H8" s="3592"/>
      <c r="I8" s="3592"/>
      <c r="J8" s="3593"/>
    </row>
    <row r="9" spans="1:10" ht="12" x14ac:dyDescent="0.2">
      <c r="A9" s="187">
        <v>116</v>
      </c>
      <c r="B9" s="3592" t="s">
        <v>608</v>
      </c>
      <c r="C9" s="3592"/>
      <c r="D9" s="3592"/>
      <c r="E9" s="3592"/>
      <c r="F9" s="3592"/>
      <c r="G9" s="3592"/>
      <c r="H9" s="3592"/>
      <c r="I9" s="3592"/>
      <c r="J9" s="3593"/>
    </row>
    <row r="10" spans="1:10" ht="12" x14ac:dyDescent="0.2">
      <c r="A10" s="187">
        <v>117</v>
      </c>
      <c r="B10" s="3592" t="s">
        <v>609</v>
      </c>
      <c r="C10" s="3592"/>
      <c r="D10" s="3592"/>
      <c r="E10" s="3592"/>
      <c r="F10" s="3592"/>
      <c r="G10" s="3592"/>
      <c r="H10" s="3592"/>
      <c r="I10" s="3592"/>
      <c r="J10" s="3593"/>
    </row>
    <row r="11" spans="1:10" ht="12" x14ac:dyDescent="0.2">
      <c r="A11" s="187">
        <v>118</v>
      </c>
      <c r="B11" s="3592" t="s">
        <v>610</v>
      </c>
      <c r="C11" s="3592"/>
      <c r="D11" s="3592"/>
      <c r="E11" s="3592"/>
      <c r="F11" s="3592"/>
      <c r="G11" s="3592"/>
      <c r="H11" s="3592"/>
      <c r="I11" s="3592"/>
      <c r="J11" s="3593"/>
    </row>
    <row r="12" spans="1:10" ht="12" x14ac:dyDescent="0.2">
      <c r="A12" s="187">
        <v>119</v>
      </c>
      <c r="B12" s="3592" t="s">
        <v>611</v>
      </c>
      <c r="C12" s="3592"/>
      <c r="D12" s="3592"/>
      <c r="E12" s="3592"/>
      <c r="F12" s="3592"/>
      <c r="G12" s="3592"/>
      <c r="H12" s="3592"/>
      <c r="I12" s="3592"/>
      <c r="J12" s="3593"/>
    </row>
    <row r="13" spans="1:10" ht="12" x14ac:dyDescent="0.2">
      <c r="A13" s="187">
        <v>121</v>
      </c>
      <c r="B13" s="3592" t="s">
        <v>612</v>
      </c>
      <c r="C13" s="3592"/>
      <c r="D13" s="3592"/>
      <c r="E13" s="3592"/>
      <c r="F13" s="3592"/>
      <c r="G13" s="3592"/>
      <c r="H13" s="3592"/>
      <c r="I13" s="3592"/>
      <c r="J13" s="3593"/>
    </row>
    <row r="14" spans="1:10" ht="12" x14ac:dyDescent="0.2">
      <c r="A14" s="187">
        <v>122</v>
      </c>
      <c r="B14" s="3592" t="s">
        <v>613</v>
      </c>
      <c r="C14" s="3592"/>
      <c r="D14" s="3592"/>
      <c r="E14" s="3592"/>
      <c r="F14" s="3592"/>
      <c r="G14" s="3592"/>
      <c r="H14" s="3592"/>
      <c r="I14" s="3592"/>
      <c r="J14" s="3593"/>
    </row>
    <row r="15" spans="1:10" ht="12" x14ac:dyDescent="0.2">
      <c r="A15" s="187">
        <v>123</v>
      </c>
      <c r="B15" s="3592" t="s">
        <v>614</v>
      </c>
      <c r="C15" s="3592"/>
      <c r="D15" s="3592"/>
      <c r="E15" s="3592"/>
      <c r="F15" s="3592"/>
      <c r="G15" s="3592"/>
      <c r="H15" s="3592"/>
      <c r="I15" s="3592"/>
      <c r="J15" s="3593"/>
    </row>
    <row r="16" spans="1:10" ht="12" x14ac:dyDescent="0.2">
      <c r="A16" s="187">
        <v>124</v>
      </c>
      <c r="B16" s="3592" t="s">
        <v>615</v>
      </c>
      <c r="C16" s="3592"/>
      <c r="D16" s="3592"/>
      <c r="E16" s="3592"/>
      <c r="F16" s="3592"/>
      <c r="G16" s="3592"/>
      <c r="H16" s="3592"/>
      <c r="I16" s="3592"/>
      <c r="J16" s="3593"/>
    </row>
    <row r="17" spans="1:10" ht="12" x14ac:dyDescent="0.2">
      <c r="A17" s="187">
        <v>125</v>
      </c>
      <c r="B17" s="3592" t="s">
        <v>616</v>
      </c>
      <c r="C17" s="3592"/>
      <c r="D17" s="3592"/>
      <c r="E17" s="3592"/>
      <c r="F17" s="3592"/>
      <c r="G17" s="3592"/>
      <c r="H17" s="3592"/>
      <c r="I17" s="3592"/>
      <c r="J17" s="3593"/>
    </row>
    <row r="18" spans="1:10" ht="12" x14ac:dyDescent="0.2">
      <c r="A18" s="187">
        <v>129</v>
      </c>
      <c r="B18" s="3592" t="s">
        <v>637</v>
      </c>
      <c r="C18" s="3592"/>
      <c r="D18" s="3592"/>
      <c r="E18" s="3592"/>
      <c r="F18" s="3592"/>
      <c r="G18" s="3592"/>
      <c r="H18" s="3592"/>
      <c r="I18" s="3592"/>
      <c r="J18" s="3593"/>
    </row>
    <row r="19" spans="1:10" ht="12" x14ac:dyDescent="0.2">
      <c r="A19" s="187">
        <v>130</v>
      </c>
      <c r="B19" s="3592" t="s">
        <v>638</v>
      </c>
      <c r="C19" s="3592"/>
      <c r="D19" s="3592"/>
      <c r="E19" s="3592"/>
      <c r="F19" s="3592"/>
      <c r="G19" s="3592"/>
      <c r="H19" s="3592"/>
      <c r="I19" s="3592"/>
      <c r="J19" s="3593"/>
    </row>
    <row r="20" spans="1:10" ht="12" x14ac:dyDescent="0.2">
      <c r="A20" s="187">
        <v>140</v>
      </c>
      <c r="B20" s="3592" t="s">
        <v>641</v>
      </c>
      <c r="C20" s="3592"/>
      <c r="D20" s="3592"/>
      <c r="E20" s="3592"/>
      <c r="F20" s="3592"/>
      <c r="G20" s="3592"/>
      <c r="H20" s="3592"/>
      <c r="I20" s="3592"/>
      <c r="J20" s="3593"/>
    </row>
    <row r="21" spans="1:10" ht="12" x14ac:dyDescent="0.2">
      <c r="A21" s="187">
        <v>150</v>
      </c>
      <c r="B21" s="3592" t="s">
        <v>642</v>
      </c>
      <c r="C21" s="3592"/>
      <c r="D21" s="3592"/>
      <c r="E21" s="3592"/>
      <c r="F21" s="3592"/>
      <c r="G21" s="3592"/>
      <c r="H21" s="3592"/>
      <c r="I21" s="3592"/>
      <c r="J21" s="3593"/>
    </row>
    <row r="22" spans="1:10" ht="12" x14ac:dyDescent="0.2">
      <c r="A22" s="187">
        <v>201</v>
      </c>
      <c r="B22" s="3592" t="s">
        <v>643</v>
      </c>
      <c r="C22" s="3592"/>
      <c r="D22" s="3592"/>
      <c r="E22" s="3592"/>
      <c r="F22" s="3592"/>
      <c r="G22" s="3592"/>
      <c r="H22" s="3592"/>
      <c r="I22" s="3592"/>
      <c r="J22" s="3593"/>
    </row>
    <row r="23" spans="1:10" ht="12" x14ac:dyDescent="0.2">
      <c r="A23" s="187">
        <v>202</v>
      </c>
      <c r="B23" s="3592" t="s">
        <v>644</v>
      </c>
      <c r="C23" s="3592"/>
      <c r="D23" s="3592"/>
      <c r="E23" s="3592"/>
      <c r="F23" s="3592"/>
      <c r="G23" s="3592"/>
      <c r="H23" s="3592"/>
      <c r="I23" s="3592"/>
      <c r="J23" s="3593"/>
    </row>
    <row r="24" spans="1:10" ht="12" x14ac:dyDescent="0.2">
      <c r="A24" s="187">
        <v>501</v>
      </c>
      <c r="B24" s="3592" t="s">
        <v>645</v>
      </c>
      <c r="C24" s="3592"/>
      <c r="D24" s="3592"/>
      <c r="E24" s="3592"/>
      <c r="F24" s="3592"/>
      <c r="G24" s="3592"/>
      <c r="H24" s="3592"/>
      <c r="I24" s="3592"/>
      <c r="J24" s="3593"/>
    </row>
    <row r="25" spans="1:10" ht="12" x14ac:dyDescent="0.2">
      <c r="A25" s="187">
        <v>502</v>
      </c>
      <c r="B25" s="3592" t="s">
        <v>646</v>
      </c>
      <c r="C25" s="3592"/>
      <c r="D25" s="3592"/>
      <c r="E25" s="3592"/>
      <c r="F25" s="3592"/>
      <c r="G25" s="3592"/>
      <c r="H25" s="3592"/>
      <c r="I25" s="3592"/>
      <c r="J25" s="3593"/>
    </row>
    <row r="26" spans="1:10" ht="12" x14ac:dyDescent="0.2">
      <c r="A26" s="187">
        <v>1010</v>
      </c>
      <c r="B26" s="3592" t="s">
        <v>647</v>
      </c>
      <c r="C26" s="3592"/>
      <c r="D26" s="3592"/>
      <c r="E26" s="3592"/>
      <c r="F26" s="3592"/>
      <c r="G26" s="3592"/>
      <c r="H26" s="3592"/>
      <c r="I26" s="3592"/>
      <c r="J26" s="3593"/>
    </row>
    <row r="27" spans="1:10" ht="12" x14ac:dyDescent="0.2">
      <c r="A27" s="187">
        <v>1020</v>
      </c>
      <c r="B27" s="3592" t="s">
        <v>648</v>
      </c>
      <c r="C27" s="3592"/>
      <c r="D27" s="3592"/>
      <c r="E27" s="3592"/>
      <c r="F27" s="3592"/>
      <c r="G27" s="3592"/>
      <c r="H27" s="3592"/>
      <c r="I27" s="3592"/>
      <c r="J27" s="3593"/>
    </row>
    <row r="28" spans="1:10" ht="12" x14ac:dyDescent="0.2">
      <c r="A28" s="187">
        <v>1030</v>
      </c>
      <c r="B28" s="3592" t="s">
        <v>649</v>
      </c>
      <c r="C28" s="3592"/>
      <c r="D28" s="3592"/>
      <c r="E28" s="3592"/>
      <c r="F28" s="3592"/>
      <c r="G28" s="3592"/>
      <c r="H28" s="3592"/>
      <c r="I28" s="3592"/>
      <c r="J28" s="3593"/>
    </row>
    <row r="29" spans="1:10" ht="12" x14ac:dyDescent="0.2">
      <c r="A29" s="187">
        <v>1110</v>
      </c>
      <c r="B29" s="3592" t="s">
        <v>650</v>
      </c>
      <c r="C29" s="3592"/>
      <c r="D29" s="3592"/>
      <c r="E29" s="3592"/>
      <c r="F29" s="3592"/>
      <c r="G29" s="3592"/>
      <c r="H29" s="3592"/>
      <c r="I29" s="3592"/>
      <c r="J29" s="3593"/>
    </row>
    <row r="30" spans="1:10" ht="12" x14ac:dyDescent="0.2">
      <c r="A30" s="187">
        <v>1120</v>
      </c>
      <c r="B30" s="3592" t="s">
        <v>651</v>
      </c>
      <c r="C30" s="3592"/>
      <c r="D30" s="3592"/>
      <c r="E30" s="3592"/>
      <c r="F30" s="3592"/>
      <c r="G30" s="3592"/>
      <c r="H30" s="3592"/>
      <c r="I30" s="3592"/>
      <c r="J30" s="3593"/>
    </row>
    <row r="31" spans="1:10" ht="12" x14ac:dyDescent="0.2">
      <c r="A31" s="187">
        <v>1200</v>
      </c>
      <c r="B31" s="3592" t="s">
        <v>652</v>
      </c>
      <c r="C31" s="3592"/>
      <c r="D31" s="3592"/>
      <c r="E31" s="3592"/>
      <c r="F31" s="3592"/>
      <c r="G31" s="3592"/>
      <c r="H31" s="3592"/>
      <c r="I31" s="3592"/>
      <c r="J31" s="3593"/>
    </row>
    <row r="32" spans="1:10" ht="12" x14ac:dyDescent="0.2">
      <c r="A32" s="187">
        <v>1310</v>
      </c>
      <c r="B32" s="3592" t="s">
        <v>653</v>
      </c>
      <c r="C32" s="3592"/>
      <c r="D32" s="3592"/>
      <c r="E32" s="3592"/>
      <c r="F32" s="3592"/>
      <c r="G32" s="3592"/>
      <c r="H32" s="3592"/>
      <c r="I32" s="3592"/>
      <c r="J32" s="3593"/>
    </row>
    <row r="33" spans="1:10" ht="12" x14ac:dyDescent="0.2">
      <c r="A33" s="187">
        <v>1320</v>
      </c>
      <c r="B33" s="3592" t="s">
        <v>654</v>
      </c>
      <c r="C33" s="3592"/>
      <c r="D33" s="3592"/>
      <c r="E33" s="3592"/>
      <c r="F33" s="3592"/>
      <c r="G33" s="3592"/>
      <c r="H33" s="3592"/>
      <c r="I33" s="3592"/>
      <c r="J33" s="3593"/>
    </row>
    <row r="34" spans="1:10" ht="12" x14ac:dyDescent="0.2">
      <c r="A34" s="187">
        <v>1331</v>
      </c>
      <c r="B34" s="3592" t="s">
        <v>655</v>
      </c>
      <c r="C34" s="3592"/>
      <c r="D34" s="3592"/>
      <c r="E34" s="3592"/>
      <c r="F34" s="3592"/>
      <c r="G34" s="3592"/>
      <c r="H34" s="3592"/>
      <c r="I34" s="3592"/>
      <c r="J34" s="3593"/>
    </row>
    <row r="35" spans="1:10" ht="12" x14ac:dyDescent="0.2">
      <c r="A35" s="187">
        <v>1339</v>
      </c>
      <c r="B35" s="3592" t="s">
        <v>656</v>
      </c>
      <c r="C35" s="3592"/>
      <c r="D35" s="3592"/>
      <c r="E35" s="3592"/>
      <c r="F35" s="3592"/>
      <c r="G35" s="3592"/>
      <c r="H35" s="3592"/>
      <c r="I35" s="3592"/>
      <c r="J35" s="3593"/>
    </row>
    <row r="36" spans="1:10" ht="12" x14ac:dyDescent="0.2">
      <c r="A36" s="187">
        <v>1411</v>
      </c>
      <c r="B36" s="3592" t="s">
        <v>657</v>
      </c>
      <c r="C36" s="3592"/>
      <c r="D36" s="3592"/>
      <c r="E36" s="3592"/>
      <c r="F36" s="3592"/>
      <c r="G36" s="3592"/>
      <c r="H36" s="3592"/>
      <c r="I36" s="3592"/>
      <c r="J36" s="3593"/>
    </row>
    <row r="37" spans="1:10" ht="12" x14ac:dyDescent="0.2">
      <c r="A37" s="187">
        <v>1412</v>
      </c>
      <c r="B37" s="3592" t="s">
        <v>658</v>
      </c>
      <c r="C37" s="3592"/>
      <c r="D37" s="3592"/>
      <c r="E37" s="3592"/>
      <c r="F37" s="3592"/>
      <c r="G37" s="3592"/>
      <c r="H37" s="3592"/>
      <c r="I37" s="3592"/>
      <c r="J37" s="3593"/>
    </row>
    <row r="38" spans="1:10" ht="12" x14ac:dyDescent="0.2">
      <c r="A38" s="187">
        <v>1413</v>
      </c>
      <c r="B38" s="3592" t="s">
        <v>659</v>
      </c>
      <c r="C38" s="3592"/>
      <c r="D38" s="3592"/>
      <c r="E38" s="3592"/>
      <c r="F38" s="3592"/>
      <c r="G38" s="3592"/>
      <c r="H38" s="3592"/>
      <c r="I38" s="3592"/>
      <c r="J38" s="3593"/>
    </row>
    <row r="39" spans="1:10" ht="12" x14ac:dyDescent="0.2">
      <c r="A39" s="187">
        <v>1414</v>
      </c>
      <c r="B39" s="3592" t="s">
        <v>660</v>
      </c>
      <c r="C39" s="3592"/>
      <c r="D39" s="3592"/>
      <c r="E39" s="3592"/>
      <c r="F39" s="3592"/>
      <c r="G39" s="3592"/>
      <c r="H39" s="3592"/>
      <c r="I39" s="3592"/>
      <c r="J39" s="3593"/>
    </row>
    <row r="40" spans="1:10" ht="12" x14ac:dyDescent="0.2">
      <c r="A40" s="187">
        <v>1415</v>
      </c>
      <c r="B40" s="3592" t="s">
        <v>661</v>
      </c>
      <c r="C40" s="3592"/>
      <c r="D40" s="3592"/>
      <c r="E40" s="3592"/>
      <c r="F40" s="3592"/>
      <c r="G40" s="3592"/>
      <c r="H40" s="3592"/>
      <c r="I40" s="3592"/>
      <c r="J40" s="3593"/>
    </row>
    <row r="41" spans="1:10" ht="12" x14ac:dyDescent="0.2">
      <c r="A41" s="187">
        <v>1421</v>
      </c>
      <c r="B41" s="3592" t="s">
        <v>707</v>
      </c>
      <c r="C41" s="3592"/>
      <c r="D41" s="3592"/>
      <c r="E41" s="3592"/>
      <c r="F41" s="3592"/>
      <c r="G41" s="3592"/>
      <c r="H41" s="3592"/>
      <c r="I41" s="3592"/>
      <c r="J41" s="3593"/>
    </row>
    <row r="42" spans="1:10" ht="12" x14ac:dyDescent="0.2">
      <c r="A42" s="187">
        <v>1422</v>
      </c>
      <c r="B42" s="3592" t="s">
        <v>708</v>
      </c>
      <c r="C42" s="3592"/>
      <c r="D42" s="3592"/>
      <c r="E42" s="3592"/>
      <c r="F42" s="3592"/>
      <c r="G42" s="3592"/>
      <c r="H42" s="3592"/>
      <c r="I42" s="3592"/>
      <c r="J42" s="3593"/>
    </row>
    <row r="43" spans="1:10" ht="12" x14ac:dyDescent="0.2">
      <c r="A43" s="187">
        <v>1431</v>
      </c>
      <c r="B43" s="3592" t="s">
        <v>709</v>
      </c>
      <c r="C43" s="3592"/>
      <c r="D43" s="3592"/>
      <c r="E43" s="3592"/>
      <c r="F43" s="3592"/>
      <c r="G43" s="3592"/>
      <c r="H43" s="3592"/>
      <c r="I43" s="3592"/>
      <c r="J43" s="3593"/>
    </row>
    <row r="44" spans="1:10" ht="12" x14ac:dyDescent="0.2">
      <c r="A44" s="187">
        <v>1432</v>
      </c>
      <c r="B44" s="3592" t="s">
        <v>710</v>
      </c>
      <c r="C44" s="3592"/>
      <c r="D44" s="3592"/>
      <c r="E44" s="3592"/>
      <c r="F44" s="3592"/>
      <c r="G44" s="3592"/>
      <c r="H44" s="3592"/>
      <c r="I44" s="3592"/>
      <c r="J44" s="3593"/>
    </row>
    <row r="45" spans="1:10" ht="12" x14ac:dyDescent="0.2">
      <c r="A45" s="187">
        <v>1490</v>
      </c>
      <c r="B45" s="3592" t="s">
        <v>711</v>
      </c>
      <c r="C45" s="3592"/>
      <c r="D45" s="3592"/>
      <c r="E45" s="3592"/>
      <c r="F45" s="3592"/>
      <c r="G45" s="3592"/>
      <c r="H45" s="3592"/>
      <c r="I45" s="3592"/>
      <c r="J45" s="3593"/>
    </row>
    <row r="46" spans="1:10" ht="12" x14ac:dyDescent="0.2">
      <c r="A46" s="187">
        <v>1511</v>
      </c>
      <c r="B46" s="3592" t="s">
        <v>712</v>
      </c>
      <c r="C46" s="3592"/>
      <c r="D46" s="3592"/>
      <c r="E46" s="3592"/>
      <c r="F46" s="3592"/>
      <c r="G46" s="3592"/>
      <c r="H46" s="3592"/>
      <c r="I46" s="3592"/>
      <c r="J46" s="3593"/>
    </row>
    <row r="47" spans="1:10" ht="12" x14ac:dyDescent="0.2">
      <c r="A47" s="187">
        <v>1512</v>
      </c>
      <c r="B47" s="3592" t="s">
        <v>713</v>
      </c>
      <c r="C47" s="3592"/>
      <c r="D47" s="3592"/>
      <c r="E47" s="3592"/>
      <c r="F47" s="3592"/>
      <c r="G47" s="3592"/>
      <c r="H47" s="3592"/>
      <c r="I47" s="3592"/>
      <c r="J47" s="3593"/>
    </row>
    <row r="48" spans="1:10" ht="12" x14ac:dyDescent="0.2">
      <c r="A48" s="187">
        <v>1521</v>
      </c>
      <c r="B48" s="3592" t="s">
        <v>714</v>
      </c>
      <c r="C48" s="3592"/>
      <c r="D48" s="3592"/>
      <c r="E48" s="3592"/>
      <c r="F48" s="3592"/>
      <c r="G48" s="3592"/>
      <c r="H48" s="3592"/>
      <c r="I48" s="3592"/>
      <c r="J48" s="3593"/>
    </row>
    <row r="49" spans="1:10" ht="12" x14ac:dyDescent="0.2">
      <c r="A49" s="187">
        <v>1522</v>
      </c>
      <c r="B49" s="3592" t="s">
        <v>715</v>
      </c>
      <c r="C49" s="3592"/>
      <c r="D49" s="3592"/>
      <c r="E49" s="3592"/>
      <c r="F49" s="3592"/>
      <c r="G49" s="3592"/>
      <c r="H49" s="3592"/>
      <c r="I49" s="3592"/>
      <c r="J49" s="3593"/>
    </row>
    <row r="50" spans="1:10" ht="12" x14ac:dyDescent="0.2">
      <c r="A50" s="187">
        <v>1530</v>
      </c>
      <c r="B50" s="3592" t="s">
        <v>716</v>
      </c>
      <c r="C50" s="3592"/>
      <c r="D50" s="3592"/>
      <c r="E50" s="3592"/>
      <c r="F50" s="3592"/>
      <c r="G50" s="3592"/>
      <c r="H50" s="3592"/>
      <c r="I50" s="3592"/>
      <c r="J50" s="3593"/>
    </row>
    <row r="51" spans="1:10" ht="12" x14ac:dyDescent="0.2">
      <c r="A51" s="187">
        <v>1541</v>
      </c>
      <c r="B51" s="3592" t="s">
        <v>717</v>
      </c>
      <c r="C51" s="3592"/>
      <c r="D51" s="3592"/>
      <c r="E51" s="3592"/>
      <c r="F51" s="3592"/>
      <c r="G51" s="3592"/>
      <c r="H51" s="3592"/>
      <c r="I51" s="3592"/>
      <c r="J51" s="3593"/>
    </row>
    <row r="52" spans="1:10" ht="12" x14ac:dyDescent="0.2">
      <c r="A52" s="187">
        <v>1542</v>
      </c>
      <c r="B52" s="3592" t="s">
        <v>718</v>
      </c>
      <c r="C52" s="3592"/>
      <c r="D52" s="3592"/>
      <c r="E52" s="3592"/>
      <c r="F52" s="3592"/>
      <c r="G52" s="3592"/>
      <c r="H52" s="3592"/>
      <c r="I52" s="3592"/>
      <c r="J52" s="3593"/>
    </row>
    <row r="53" spans="1:10" ht="12" x14ac:dyDescent="0.2">
      <c r="A53" s="187">
        <v>1543</v>
      </c>
      <c r="B53" s="3592" t="s">
        <v>719</v>
      </c>
      <c r="C53" s="3592"/>
      <c r="D53" s="3592"/>
      <c r="E53" s="3592"/>
      <c r="F53" s="3592"/>
      <c r="G53" s="3592"/>
      <c r="H53" s="3592"/>
      <c r="I53" s="3592"/>
      <c r="J53" s="3593"/>
    </row>
    <row r="54" spans="1:10" ht="12" x14ac:dyDescent="0.2">
      <c r="A54" s="187">
        <v>1551</v>
      </c>
      <c r="B54" s="3592" t="s">
        <v>720</v>
      </c>
      <c r="C54" s="3592"/>
      <c r="D54" s="3592"/>
      <c r="E54" s="3592"/>
      <c r="F54" s="3592"/>
      <c r="G54" s="3592"/>
      <c r="H54" s="3592"/>
      <c r="I54" s="3592"/>
      <c r="J54" s="3593"/>
    </row>
    <row r="55" spans="1:10" ht="12" x14ac:dyDescent="0.2">
      <c r="A55" s="187">
        <v>1552</v>
      </c>
      <c r="B55" s="3592" t="s">
        <v>721</v>
      </c>
      <c r="C55" s="3592"/>
      <c r="D55" s="3592"/>
      <c r="E55" s="3592"/>
      <c r="F55" s="3592"/>
      <c r="G55" s="3592"/>
      <c r="H55" s="3592"/>
      <c r="I55" s="3592"/>
      <c r="J55" s="3593"/>
    </row>
    <row r="56" spans="1:10" ht="12" x14ac:dyDescent="0.2">
      <c r="A56" s="187">
        <v>1561</v>
      </c>
      <c r="B56" s="3592" t="s">
        <v>722</v>
      </c>
      <c r="C56" s="3592"/>
      <c r="D56" s="3592"/>
      <c r="E56" s="3592"/>
      <c r="F56" s="3592"/>
      <c r="G56" s="3592"/>
      <c r="H56" s="3592"/>
      <c r="I56" s="3592"/>
      <c r="J56" s="3593"/>
    </row>
    <row r="57" spans="1:10" ht="12" x14ac:dyDescent="0.2">
      <c r="A57" s="187">
        <v>1562</v>
      </c>
      <c r="B57" s="3592" t="s">
        <v>723</v>
      </c>
      <c r="C57" s="3592"/>
      <c r="D57" s="3592"/>
      <c r="E57" s="3592"/>
      <c r="F57" s="3592"/>
      <c r="G57" s="3592"/>
      <c r="H57" s="3592"/>
      <c r="I57" s="3592"/>
      <c r="J57" s="3593"/>
    </row>
    <row r="58" spans="1:10" ht="12" x14ac:dyDescent="0.2">
      <c r="A58" s="187">
        <v>1563</v>
      </c>
      <c r="B58" s="3592" t="s">
        <v>724</v>
      </c>
      <c r="C58" s="3592"/>
      <c r="D58" s="3592"/>
      <c r="E58" s="3592"/>
      <c r="F58" s="3592"/>
      <c r="G58" s="3592"/>
      <c r="H58" s="3592"/>
      <c r="I58" s="3592"/>
      <c r="J58" s="3593"/>
    </row>
    <row r="59" spans="1:10" ht="12" x14ac:dyDescent="0.2">
      <c r="A59" s="187">
        <v>1564</v>
      </c>
      <c r="B59" s="3592" t="s">
        <v>725</v>
      </c>
      <c r="C59" s="3592"/>
      <c r="D59" s="3592"/>
      <c r="E59" s="3592"/>
      <c r="F59" s="3592"/>
      <c r="G59" s="3592"/>
      <c r="H59" s="3592"/>
      <c r="I59" s="3592"/>
      <c r="J59" s="3593"/>
    </row>
    <row r="60" spans="1:10" ht="12" x14ac:dyDescent="0.2">
      <c r="A60" s="187">
        <v>1571</v>
      </c>
      <c r="B60" s="3592" t="s">
        <v>726</v>
      </c>
      <c r="C60" s="3592"/>
      <c r="D60" s="3592"/>
      <c r="E60" s="3592"/>
      <c r="F60" s="3592"/>
      <c r="G60" s="3592"/>
      <c r="H60" s="3592"/>
      <c r="I60" s="3592"/>
      <c r="J60" s="3593"/>
    </row>
    <row r="61" spans="1:10" ht="12" x14ac:dyDescent="0.2">
      <c r="A61" s="187">
        <v>1572</v>
      </c>
      <c r="B61" s="3592" t="s">
        <v>727</v>
      </c>
      <c r="C61" s="3592"/>
      <c r="D61" s="3592"/>
      <c r="E61" s="3592"/>
      <c r="F61" s="3592"/>
      <c r="G61" s="3592"/>
      <c r="H61" s="3592"/>
      <c r="I61" s="3592"/>
      <c r="J61" s="3593"/>
    </row>
    <row r="62" spans="1:10" ht="12" x14ac:dyDescent="0.2">
      <c r="A62" s="187">
        <v>1581</v>
      </c>
      <c r="B62" s="3592" t="s">
        <v>728</v>
      </c>
      <c r="C62" s="3592"/>
      <c r="D62" s="3592"/>
      <c r="E62" s="3592"/>
      <c r="F62" s="3592"/>
      <c r="G62" s="3592"/>
      <c r="H62" s="3592"/>
      <c r="I62" s="3592"/>
      <c r="J62" s="3593"/>
    </row>
    <row r="63" spans="1:10" ht="12" x14ac:dyDescent="0.2">
      <c r="A63" s="187">
        <v>1589</v>
      </c>
      <c r="B63" s="3592" t="s">
        <v>729</v>
      </c>
      <c r="C63" s="3592"/>
      <c r="D63" s="3592"/>
      <c r="E63" s="3592"/>
      <c r="F63" s="3592"/>
      <c r="G63" s="3592"/>
      <c r="H63" s="3592"/>
      <c r="I63" s="3592"/>
      <c r="J63" s="3593"/>
    </row>
    <row r="64" spans="1:10" ht="12" x14ac:dyDescent="0.2">
      <c r="A64" s="187">
        <v>1591</v>
      </c>
      <c r="B64" s="3592" t="s">
        <v>730</v>
      </c>
      <c r="C64" s="3592"/>
      <c r="D64" s="3592"/>
      <c r="E64" s="3592"/>
      <c r="F64" s="3592"/>
      <c r="G64" s="3592"/>
      <c r="H64" s="3592"/>
      <c r="I64" s="3592"/>
      <c r="J64" s="3593"/>
    </row>
    <row r="65" spans="1:10" ht="12" x14ac:dyDescent="0.2">
      <c r="A65" s="187">
        <v>1592</v>
      </c>
      <c r="B65" s="3592" t="s">
        <v>731</v>
      </c>
      <c r="C65" s="3592"/>
      <c r="D65" s="3592"/>
      <c r="E65" s="3592"/>
      <c r="F65" s="3592"/>
      <c r="G65" s="3592"/>
      <c r="H65" s="3592"/>
      <c r="I65" s="3592"/>
      <c r="J65" s="3593"/>
    </row>
    <row r="66" spans="1:10" ht="12" x14ac:dyDescent="0.2">
      <c r="A66" s="187">
        <v>1593</v>
      </c>
      <c r="B66" s="3592" t="s">
        <v>732</v>
      </c>
      <c r="C66" s="3592"/>
      <c r="D66" s="3592"/>
      <c r="E66" s="3592"/>
      <c r="F66" s="3592"/>
      <c r="G66" s="3592"/>
      <c r="H66" s="3592"/>
      <c r="I66" s="3592"/>
      <c r="J66" s="3593"/>
    </row>
    <row r="67" spans="1:10" ht="12" x14ac:dyDescent="0.2">
      <c r="A67" s="187">
        <v>1594</v>
      </c>
      <c r="B67" s="3592" t="s">
        <v>733</v>
      </c>
      <c r="C67" s="3592"/>
      <c r="D67" s="3592"/>
      <c r="E67" s="3592"/>
      <c r="F67" s="3592"/>
      <c r="G67" s="3592"/>
      <c r="H67" s="3592"/>
      <c r="I67" s="3592"/>
      <c r="J67" s="3593"/>
    </row>
    <row r="68" spans="1:10" ht="12" x14ac:dyDescent="0.2">
      <c r="A68" s="187">
        <v>1600</v>
      </c>
      <c r="B68" s="3592" t="s">
        <v>734</v>
      </c>
      <c r="C68" s="3592"/>
      <c r="D68" s="3592"/>
      <c r="E68" s="3592"/>
      <c r="F68" s="3592"/>
      <c r="G68" s="3592"/>
      <c r="H68" s="3592"/>
      <c r="I68" s="3592"/>
      <c r="J68" s="3593"/>
    </row>
    <row r="69" spans="1:10" ht="12" x14ac:dyDescent="0.2">
      <c r="A69" s="187">
        <v>1710</v>
      </c>
      <c r="B69" s="3592" t="s">
        <v>735</v>
      </c>
      <c r="C69" s="3592"/>
      <c r="D69" s="3592"/>
      <c r="E69" s="3592"/>
      <c r="F69" s="3592"/>
      <c r="G69" s="3592"/>
      <c r="H69" s="3592"/>
      <c r="I69" s="3592"/>
      <c r="J69" s="3593"/>
    </row>
    <row r="70" spans="1:10" ht="12" x14ac:dyDescent="0.2">
      <c r="A70" s="187">
        <v>1720</v>
      </c>
      <c r="B70" s="3592" t="s">
        <v>736</v>
      </c>
      <c r="C70" s="3592"/>
      <c r="D70" s="3592"/>
      <c r="E70" s="3592"/>
      <c r="F70" s="3592"/>
      <c r="G70" s="3592"/>
      <c r="H70" s="3592"/>
      <c r="I70" s="3592"/>
      <c r="J70" s="3593"/>
    </row>
    <row r="71" spans="1:10" ht="12" x14ac:dyDescent="0.2">
      <c r="A71" s="187">
        <v>1730</v>
      </c>
      <c r="B71" s="3592" t="s">
        <v>737</v>
      </c>
      <c r="C71" s="3592"/>
      <c r="D71" s="3592"/>
      <c r="E71" s="3592"/>
      <c r="F71" s="3592"/>
      <c r="G71" s="3592"/>
      <c r="H71" s="3592"/>
      <c r="I71" s="3592"/>
      <c r="J71" s="3593"/>
    </row>
    <row r="72" spans="1:10" ht="12" x14ac:dyDescent="0.2">
      <c r="A72" s="187">
        <v>1741</v>
      </c>
      <c r="B72" s="3592" t="s">
        <v>738</v>
      </c>
      <c r="C72" s="3592"/>
      <c r="D72" s="3592"/>
      <c r="E72" s="3592"/>
      <c r="F72" s="3592"/>
      <c r="G72" s="3592"/>
      <c r="H72" s="3592"/>
      <c r="I72" s="3592"/>
      <c r="J72" s="3593"/>
    </row>
    <row r="73" spans="1:10" ht="12" x14ac:dyDescent="0.2">
      <c r="A73" s="187">
        <v>1742</v>
      </c>
      <c r="B73" s="3592" t="s">
        <v>742</v>
      </c>
      <c r="C73" s="3592"/>
      <c r="D73" s="3592"/>
      <c r="E73" s="3592"/>
      <c r="F73" s="3592"/>
      <c r="G73" s="3592"/>
      <c r="H73" s="3592"/>
      <c r="I73" s="3592"/>
      <c r="J73" s="3593"/>
    </row>
    <row r="74" spans="1:10" ht="12" x14ac:dyDescent="0.2">
      <c r="A74" s="187">
        <v>1743</v>
      </c>
      <c r="B74" s="3592" t="s">
        <v>743</v>
      </c>
      <c r="C74" s="3592"/>
      <c r="D74" s="3592"/>
      <c r="E74" s="3592"/>
      <c r="F74" s="3592"/>
      <c r="G74" s="3592"/>
      <c r="H74" s="3592"/>
      <c r="I74" s="3592"/>
      <c r="J74" s="3593"/>
    </row>
    <row r="75" spans="1:10" ht="12" x14ac:dyDescent="0.2">
      <c r="A75" s="187">
        <v>1749</v>
      </c>
      <c r="B75" s="3592" t="s">
        <v>744</v>
      </c>
      <c r="C75" s="3592"/>
      <c r="D75" s="3592"/>
      <c r="E75" s="3592"/>
      <c r="F75" s="3592"/>
      <c r="G75" s="3592"/>
      <c r="H75" s="3592"/>
      <c r="I75" s="3592"/>
      <c r="J75" s="3593"/>
    </row>
    <row r="76" spans="1:10" ht="12" x14ac:dyDescent="0.2">
      <c r="A76" s="187">
        <v>1750</v>
      </c>
      <c r="B76" s="3592" t="s">
        <v>745</v>
      </c>
      <c r="C76" s="3592"/>
      <c r="D76" s="3592"/>
      <c r="E76" s="3592"/>
      <c r="F76" s="3592"/>
      <c r="G76" s="3592"/>
      <c r="H76" s="3592"/>
      <c r="I76" s="3592"/>
      <c r="J76" s="3593"/>
    </row>
    <row r="77" spans="1:10" ht="12" x14ac:dyDescent="0.2">
      <c r="A77" s="187">
        <v>1810</v>
      </c>
      <c r="B77" s="3592" t="s">
        <v>747</v>
      </c>
      <c r="C77" s="3592"/>
      <c r="D77" s="3592"/>
      <c r="E77" s="3592"/>
      <c r="F77" s="3592"/>
      <c r="G77" s="3592"/>
      <c r="H77" s="3592"/>
      <c r="I77" s="3592"/>
      <c r="J77" s="3593"/>
    </row>
    <row r="78" spans="1:10" ht="12" x14ac:dyDescent="0.2">
      <c r="A78" s="187">
        <v>1820</v>
      </c>
      <c r="B78" s="3592" t="s">
        <v>748</v>
      </c>
      <c r="C78" s="3592"/>
      <c r="D78" s="3592"/>
      <c r="E78" s="3592"/>
      <c r="F78" s="3592"/>
      <c r="G78" s="3592"/>
      <c r="H78" s="3592"/>
      <c r="I78" s="3592"/>
      <c r="J78" s="3593"/>
    </row>
    <row r="79" spans="1:10" ht="12" x14ac:dyDescent="0.2">
      <c r="A79" s="187">
        <v>1910</v>
      </c>
      <c r="B79" s="3592" t="s">
        <v>749</v>
      </c>
      <c r="C79" s="3592"/>
      <c r="D79" s="3592"/>
      <c r="E79" s="3592"/>
      <c r="F79" s="3592"/>
      <c r="G79" s="3592"/>
      <c r="H79" s="3592"/>
      <c r="I79" s="3592"/>
      <c r="J79" s="3593"/>
    </row>
    <row r="80" spans="1:10" ht="12" x14ac:dyDescent="0.2">
      <c r="A80" s="187">
        <v>1921</v>
      </c>
      <c r="B80" s="3592" t="s">
        <v>750</v>
      </c>
      <c r="C80" s="3592"/>
      <c r="D80" s="3592"/>
      <c r="E80" s="3592"/>
      <c r="F80" s="3592"/>
      <c r="G80" s="3592"/>
      <c r="H80" s="3592"/>
      <c r="I80" s="3592"/>
      <c r="J80" s="3593"/>
    </row>
    <row r="81" spans="1:10" ht="12" x14ac:dyDescent="0.2">
      <c r="A81" s="187">
        <v>1922</v>
      </c>
      <c r="B81" s="3592" t="s">
        <v>751</v>
      </c>
      <c r="C81" s="3592"/>
      <c r="D81" s="3592"/>
      <c r="E81" s="3592"/>
      <c r="F81" s="3592"/>
      <c r="G81" s="3592"/>
      <c r="H81" s="3592"/>
      <c r="I81" s="3592"/>
      <c r="J81" s="3593"/>
    </row>
    <row r="82" spans="1:10" ht="12" x14ac:dyDescent="0.2">
      <c r="A82" s="187">
        <v>1923</v>
      </c>
      <c r="B82" s="3592" t="s">
        <v>752</v>
      </c>
      <c r="C82" s="3592"/>
      <c r="D82" s="3592"/>
      <c r="E82" s="3592"/>
      <c r="F82" s="3592"/>
      <c r="G82" s="3592"/>
      <c r="H82" s="3592"/>
      <c r="I82" s="3592"/>
      <c r="J82" s="3593"/>
    </row>
    <row r="83" spans="1:10" ht="12" x14ac:dyDescent="0.2">
      <c r="A83" s="187">
        <v>1924</v>
      </c>
      <c r="B83" s="3592" t="s">
        <v>753</v>
      </c>
      <c r="C83" s="3592"/>
      <c r="D83" s="3592"/>
      <c r="E83" s="3592"/>
      <c r="F83" s="3592"/>
      <c r="G83" s="3592"/>
      <c r="H83" s="3592"/>
      <c r="I83" s="3592"/>
      <c r="J83" s="3593"/>
    </row>
    <row r="84" spans="1:10" ht="12" x14ac:dyDescent="0.2">
      <c r="A84" s="187">
        <v>1925</v>
      </c>
      <c r="B84" s="3592" t="s">
        <v>754</v>
      </c>
      <c r="C84" s="3592"/>
      <c r="D84" s="3592"/>
      <c r="E84" s="3592"/>
      <c r="F84" s="3592"/>
      <c r="G84" s="3592"/>
      <c r="H84" s="3592"/>
      <c r="I84" s="3592"/>
      <c r="J84" s="3593"/>
    </row>
    <row r="85" spans="1:10" ht="12" x14ac:dyDescent="0.2">
      <c r="A85" s="187">
        <v>1926</v>
      </c>
      <c r="B85" s="3592" t="s">
        <v>755</v>
      </c>
      <c r="C85" s="3592"/>
      <c r="D85" s="3592"/>
      <c r="E85" s="3592"/>
      <c r="F85" s="3592"/>
      <c r="G85" s="3592"/>
      <c r="H85" s="3592"/>
      <c r="I85" s="3592"/>
      <c r="J85" s="3593"/>
    </row>
    <row r="86" spans="1:10" ht="12" x14ac:dyDescent="0.2">
      <c r="A86" s="187">
        <v>1929</v>
      </c>
      <c r="B86" s="3592" t="s">
        <v>756</v>
      </c>
      <c r="C86" s="3592"/>
      <c r="D86" s="3592"/>
      <c r="E86" s="3592"/>
      <c r="F86" s="3592"/>
      <c r="G86" s="3592"/>
      <c r="H86" s="3592"/>
      <c r="I86" s="3592"/>
      <c r="J86" s="3593"/>
    </row>
    <row r="87" spans="1:10" ht="12" x14ac:dyDescent="0.2">
      <c r="A87" s="187">
        <v>1931</v>
      </c>
      <c r="B87" s="3592" t="s">
        <v>757</v>
      </c>
      <c r="C87" s="3592"/>
      <c r="D87" s="3592"/>
      <c r="E87" s="3592"/>
      <c r="F87" s="3592"/>
      <c r="G87" s="3592"/>
      <c r="H87" s="3592"/>
      <c r="I87" s="3592"/>
      <c r="J87" s="3593"/>
    </row>
    <row r="88" spans="1:10" ht="12" x14ac:dyDescent="0.2">
      <c r="A88" s="187">
        <v>1932</v>
      </c>
      <c r="B88" s="3592" t="s">
        <v>775</v>
      </c>
      <c r="C88" s="3592"/>
      <c r="D88" s="3592"/>
      <c r="E88" s="3592"/>
      <c r="F88" s="3592"/>
      <c r="G88" s="3592"/>
      <c r="H88" s="3592"/>
      <c r="I88" s="3592"/>
      <c r="J88" s="3593"/>
    </row>
    <row r="89" spans="1:10" ht="12" x14ac:dyDescent="0.2">
      <c r="A89" s="187">
        <v>1939</v>
      </c>
      <c r="B89" s="3592" t="s">
        <v>776</v>
      </c>
      <c r="C89" s="3592"/>
      <c r="D89" s="3592"/>
      <c r="E89" s="3592"/>
      <c r="F89" s="3592"/>
      <c r="G89" s="3592"/>
      <c r="H89" s="3592"/>
      <c r="I89" s="3592"/>
      <c r="J89" s="3593"/>
    </row>
    <row r="90" spans="1:10" ht="12" x14ac:dyDescent="0.2">
      <c r="A90" s="187">
        <v>2010</v>
      </c>
      <c r="B90" s="3592" t="s">
        <v>777</v>
      </c>
      <c r="C90" s="3592"/>
      <c r="D90" s="3592"/>
      <c r="E90" s="3592"/>
      <c r="F90" s="3592"/>
      <c r="G90" s="3592"/>
      <c r="H90" s="3592"/>
      <c r="I90" s="3592"/>
      <c r="J90" s="3593"/>
    </row>
    <row r="91" spans="1:10" ht="12" x14ac:dyDescent="0.2">
      <c r="A91" s="187">
        <v>2020</v>
      </c>
      <c r="B91" s="3592" t="s">
        <v>778</v>
      </c>
      <c r="C91" s="3592"/>
      <c r="D91" s="3592"/>
      <c r="E91" s="3592"/>
      <c r="F91" s="3592"/>
      <c r="G91" s="3592"/>
      <c r="H91" s="3592"/>
      <c r="I91" s="3592"/>
      <c r="J91" s="3593"/>
    </row>
    <row r="92" spans="1:10" ht="12" x14ac:dyDescent="0.2">
      <c r="A92" s="187">
        <v>2030</v>
      </c>
      <c r="B92" s="3592" t="s">
        <v>779</v>
      </c>
      <c r="C92" s="3592"/>
      <c r="D92" s="3592"/>
      <c r="E92" s="3592"/>
      <c r="F92" s="3592"/>
      <c r="G92" s="3592"/>
      <c r="H92" s="3592"/>
      <c r="I92" s="3592"/>
      <c r="J92" s="3593"/>
    </row>
    <row r="93" spans="1:10" ht="12" x14ac:dyDescent="0.2">
      <c r="A93" s="187">
        <v>2040</v>
      </c>
      <c r="B93" s="3592" t="s">
        <v>780</v>
      </c>
      <c r="C93" s="3592"/>
      <c r="D93" s="3592"/>
      <c r="E93" s="3592"/>
      <c r="F93" s="3592"/>
      <c r="G93" s="3592"/>
      <c r="H93" s="3592"/>
      <c r="I93" s="3592"/>
      <c r="J93" s="3593"/>
    </row>
    <row r="94" spans="1:10" ht="12" x14ac:dyDescent="0.2">
      <c r="A94" s="187">
        <v>2090</v>
      </c>
      <c r="B94" s="3592" t="s">
        <v>781</v>
      </c>
      <c r="C94" s="3592"/>
      <c r="D94" s="3592"/>
      <c r="E94" s="3592"/>
      <c r="F94" s="3592"/>
      <c r="G94" s="3592"/>
      <c r="H94" s="3592"/>
      <c r="I94" s="3592"/>
      <c r="J94" s="3593"/>
    </row>
    <row r="95" spans="1:10" ht="12" x14ac:dyDescent="0.2">
      <c r="A95" s="187">
        <v>2101</v>
      </c>
      <c r="B95" s="3592" t="s">
        <v>782</v>
      </c>
      <c r="C95" s="3592"/>
      <c r="D95" s="3592"/>
      <c r="E95" s="3592"/>
      <c r="F95" s="3592"/>
      <c r="G95" s="3592"/>
      <c r="H95" s="3592"/>
      <c r="I95" s="3592"/>
      <c r="J95" s="3593"/>
    </row>
    <row r="96" spans="1:10" ht="12" x14ac:dyDescent="0.2">
      <c r="A96" s="187">
        <v>2102</v>
      </c>
      <c r="B96" s="3592" t="s">
        <v>783</v>
      </c>
      <c r="C96" s="3592"/>
      <c r="D96" s="3592"/>
      <c r="E96" s="3592"/>
      <c r="F96" s="3592"/>
      <c r="G96" s="3592"/>
      <c r="H96" s="3592"/>
      <c r="I96" s="3592"/>
      <c r="J96" s="3593"/>
    </row>
    <row r="97" spans="1:10" ht="12" x14ac:dyDescent="0.2">
      <c r="A97" s="187">
        <v>2109</v>
      </c>
      <c r="B97" s="3592" t="s">
        <v>784</v>
      </c>
      <c r="C97" s="3592"/>
      <c r="D97" s="3592"/>
      <c r="E97" s="3592"/>
      <c r="F97" s="3592"/>
      <c r="G97" s="3592"/>
      <c r="H97" s="3592"/>
      <c r="I97" s="3592"/>
      <c r="J97" s="3593"/>
    </row>
    <row r="98" spans="1:10" ht="12" x14ac:dyDescent="0.2">
      <c r="A98" s="187">
        <v>2211</v>
      </c>
      <c r="B98" s="3592" t="s">
        <v>785</v>
      </c>
      <c r="C98" s="3592"/>
      <c r="D98" s="3592"/>
      <c r="E98" s="3592"/>
      <c r="F98" s="3592"/>
      <c r="G98" s="3592"/>
      <c r="H98" s="3592"/>
      <c r="I98" s="3592"/>
      <c r="J98" s="3593"/>
    </row>
    <row r="99" spans="1:10" ht="12" x14ac:dyDescent="0.2">
      <c r="A99" s="187">
        <v>2212</v>
      </c>
      <c r="B99" s="3592" t="s">
        <v>786</v>
      </c>
      <c r="C99" s="3592"/>
      <c r="D99" s="3592"/>
      <c r="E99" s="3592"/>
      <c r="F99" s="3592"/>
      <c r="G99" s="3592"/>
      <c r="H99" s="3592"/>
      <c r="I99" s="3592"/>
      <c r="J99" s="3593"/>
    </row>
    <row r="100" spans="1:10" ht="12" x14ac:dyDescent="0.2">
      <c r="A100" s="187">
        <v>2213</v>
      </c>
      <c r="B100" s="3592" t="s">
        <v>787</v>
      </c>
      <c r="C100" s="3592"/>
      <c r="D100" s="3592"/>
      <c r="E100" s="3592"/>
      <c r="F100" s="3592"/>
      <c r="G100" s="3592"/>
      <c r="H100" s="3592"/>
      <c r="I100" s="3592"/>
      <c r="J100" s="3593"/>
    </row>
    <row r="101" spans="1:10" ht="12" x14ac:dyDescent="0.2">
      <c r="A101" s="187">
        <v>2219</v>
      </c>
      <c r="B101" s="3592" t="s">
        <v>788</v>
      </c>
      <c r="C101" s="3592"/>
      <c r="D101" s="3592"/>
      <c r="E101" s="3592"/>
      <c r="F101" s="3592"/>
      <c r="G101" s="3592"/>
      <c r="H101" s="3592"/>
      <c r="I101" s="3592"/>
      <c r="J101" s="3593"/>
    </row>
    <row r="102" spans="1:10" ht="12" x14ac:dyDescent="0.2">
      <c r="A102" s="187">
        <v>2220</v>
      </c>
      <c r="B102" s="3592" t="s">
        <v>789</v>
      </c>
      <c r="C102" s="3592"/>
      <c r="D102" s="3592"/>
      <c r="E102" s="3592"/>
      <c r="F102" s="3592"/>
      <c r="G102" s="3592"/>
      <c r="H102" s="3592"/>
      <c r="I102" s="3592"/>
      <c r="J102" s="3593"/>
    </row>
    <row r="103" spans="1:10" ht="12" x14ac:dyDescent="0.2">
      <c r="A103" s="187">
        <v>2231</v>
      </c>
      <c r="B103" s="3592" t="s">
        <v>790</v>
      </c>
      <c r="C103" s="3592"/>
      <c r="D103" s="3592"/>
      <c r="E103" s="3592"/>
      <c r="F103" s="3592"/>
      <c r="G103" s="3592"/>
      <c r="H103" s="3592"/>
      <c r="I103" s="3592"/>
      <c r="J103" s="3593"/>
    </row>
    <row r="104" spans="1:10" ht="12" x14ac:dyDescent="0.2">
      <c r="A104" s="187">
        <v>2232</v>
      </c>
      <c r="B104" s="3592" t="s">
        <v>791</v>
      </c>
      <c r="C104" s="3592"/>
      <c r="D104" s="3592"/>
      <c r="E104" s="3592"/>
      <c r="F104" s="3592"/>
      <c r="G104" s="3592"/>
      <c r="H104" s="3592"/>
      <c r="I104" s="3592"/>
      <c r="J104" s="3593"/>
    </row>
    <row r="105" spans="1:10" ht="12" x14ac:dyDescent="0.2">
      <c r="A105" s="187">
        <v>2233</v>
      </c>
      <c r="B105" s="3592" t="s">
        <v>792</v>
      </c>
      <c r="C105" s="3592"/>
      <c r="D105" s="3592"/>
      <c r="E105" s="3592"/>
      <c r="F105" s="3592"/>
      <c r="G105" s="3592"/>
      <c r="H105" s="3592"/>
      <c r="I105" s="3592"/>
      <c r="J105" s="3593"/>
    </row>
    <row r="106" spans="1:10" ht="12" x14ac:dyDescent="0.2">
      <c r="A106" s="187">
        <v>2234</v>
      </c>
      <c r="B106" s="3592" t="s">
        <v>793</v>
      </c>
      <c r="C106" s="3592"/>
      <c r="D106" s="3592"/>
      <c r="E106" s="3592"/>
      <c r="F106" s="3592"/>
      <c r="G106" s="3592"/>
      <c r="H106" s="3592"/>
      <c r="I106" s="3592"/>
      <c r="J106" s="3593"/>
    </row>
    <row r="107" spans="1:10" ht="12" x14ac:dyDescent="0.2">
      <c r="A107" s="187">
        <v>2239</v>
      </c>
      <c r="B107" s="3592" t="s">
        <v>794</v>
      </c>
      <c r="C107" s="3592"/>
      <c r="D107" s="3592"/>
      <c r="E107" s="3592"/>
      <c r="F107" s="3592"/>
      <c r="G107" s="3592"/>
      <c r="H107" s="3592"/>
      <c r="I107" s="3592"/>
      <c r="J107" s="3593"/>
    </row>
    <row r="108" spans="1:10" ht="12" x14ac:dyDescent="0.2">
      <c r="A108" s="187">
        <v>2240</v>
      </c>
      <c r="B108" s="3592" t="s">
        <v>795</v>
      </c>
      <c r="C108" s="3592"/>
      <c r="D108" s="3592"/>
      <c r="E108" s="3592"/>
      <c r="F108" s="3592"/>
      <c r="G108" s="3592"/>
      <c r="H108" s="3592"/>
      <c r="I108" s="3592"/>
      <c r="J108" s="3593"/>
    </row>
    <row r="109" spans="1:10" ht="12" x14ac:dyDescent="0.2">
      <c r="A109" s="187">
        <v>2310</v>
      </c>
      <c r="B109" s="3592" t="s">
        <v>796</v>
      </c>
      <c r="C109" s="3592"/>
      <c r="D109" s="3592"/>
      <c r="E109" s="3592"/>
      <c r="F109" s="3592"/>
      <c r="G109" s="3592"/>
      <c r="H109" s="3592"/>
      <c r="I109" s="3592"/>
      <c r="J109" s="3593"/>
    </row>
    <row r="110" spans="1:10" ht="12" x14ac:dyDescent="0.2">
      <c r="A110" s="187">
        <v>2321</v>
      </c>
      <c r="B110" s="3592" t="s">
        <v>797</v>
      </c>
      <c r="C110" s="3592"/>
      <c r="D110" s="3592"/>
      <c r="E110" s="3592"/>
      <c r="F110" s="3592"/>
      <c r="G110" s="3592"/>
      <c r="H110" s="3592"/>
      <c r="I110" s="3592"/>
      <c r="J110" s="3593"/>
    </row>
    <row r="111" spans="1:10" ht="12" x14ac:dyDescent="0.2">
      <c r="A111" s="187">
        <v>2322</v>
      </c>
      <c r="B111" s="3592" t="s">
        <v>798</v>
      </c>
      <c r="C111" s="3592"/>
      <c r="D111" s="3592"/>
      <c r="E111" s="3592"/>
      <c r="F111" s="3592"/>
      <c r="G111" s="3592"/>
      <c r="H111" s="3592"/>
      <c r="I111" s="3592"/>
      <c r="J111" s="3593"/>
    </row>
    <row r="112" spans="1:10" ht="12" x14ac:dyDescent="0.2">
      <c r="A112" s="187">
        <v>2330</v>
      </c>
      <c r="B112" s="3592" t="s">
        <v>799</v>
      </c>
      <c r="C112" s="3592"/>
      <c r="D112" s="3592"/>
      <c r="E112" s="3592"/>
      <c r="F112" s="3592"/>
      <c r="G112" s="3592"/>
      <c r="H112" s="3592"/>
      <c r="I112" s="3592"/>
      <c r="J112" s="3593"/>
    </row>
    <row r="113" spans="1:10" ht="12" x14ac:dyDescent="0.2">
      <c r="A113" s="187">
        <v>2411</v>
      </c>
      <c r="B113" s="3592" t="s">
        <v>800</v>
      </c>
      <c r="C113" s="3592"/>
      <c r="D113" s="3592"/>
      <c r="E113" s="3592"/>
      <c r="F113" s="3592"/>
      <c r="G113" s="3592"/>
      <c r="H113" s="3592"/>
      <c r="I113" s="3592"/>
      <c r="J113" s="3593"/>
    </row>
    <row r="114" spans="1:10" ht="12" x14ac:dyDescent="0.2">
      <c r="A114" s="187">
        <v>2412</v>
      </c>
      <c r="B114" s="3592" t="s">
        <v>801</v>
      </c>
      <c r="C114" s="3592"/>
      <c r="D114" s="3592"/>
      <c r="E114" s="3592"/>
      <c r="F114" s="3592"/>
      <c r="G114" s="3592"/>
      <c r="H114" s="3592"/>
      <c r="I114" s="3592"/>
      <c r="J114" s="3593"/>
    </row>
    <row r="115" spans="1:10" ht="12" x14ac:dyDescent="0.2">
      <c r="A115" s="187">
        <v>2413</v>
      </c>
      <c r="B115" s="3592" t="s">
        <v>803</v>
      </c>
      <c r="C115" s="3592"/>
      <c r="D115" s="3592"/>
      <c r="E115" s="3592"/>
      <c r="F115" s="3592"/>
      <c r="G115" s="3592"/>
      <c r="H115" s="3592"/>
      <c r="I115" s="3592"/>
      <c r="J115" s="3593"/>
    </row>
    <row r="116" spans="1:10" ht="12" x14ac:dyDescent="0.2">
      <c r="A116" s="187">
        <v>2414</v>
      </c>
      <c r="B116" s="3592" t="s">
        <v>804</v>
      </c>
      <c r="C116" s="3592"/>
      <c r="D116" s="3592"/>
      <c r="E116" s="3592"/>
      <c r="F116" s="3592"/>
      <c r="G116" s="3592"/>
      <c r="H116" s="3592"/>
      <c r="I116" s="3592"/>
      <c r="J116" s="3593"/>
    </row>
    <row r="117" spans="1:10" ht="12" x14ac:dyDescent="0.2">
      <c r="A117" s="187">
        <v>2421</v>
      </c>
      <c r="B117" s="3592" t="s">
        <v>805</v>
      </c>
      <c r="C117" s="3592"/>
      <c r="D117" s="3592"/>
      <c r="E117" s="3592"/>
      <c r="F117" s="3592"/>
      <c r="G117" s="3592"/>
      <c r="H117" s="3592"/>
      <c r="I117" s="3592"/>
      <c r="J117" s="3593"/>
    </row>
    <row r="118" spans="1:10" ht="12" x14ac:dyDescent="0.2">
      <c r="A118" s="187">
        <v>2422</v>
      </c>
      <c r="B118" s="3592" t="s">
        <v>806</v>
      </c>
      <c r="C118" s="3592"/>
      <c r="D118" s="3592"/>
      <c r="E118" s="3592"/>
      <c r="F118" s="3592"/>
      <c r="G118" s="3592"/>
      <c r="H118" s="3592"/>
      <c r="I118" s="3592"/>
      <c r="J118" s="3593"/>
    </row>
    <row r="119" spans="1:10" ht="12" x14ac:dyDescent="0.2">
      <c r="A119" s="187">
        <v>2423</v>
      </c>
      <c r="B119" s="3592" t="s">
        <v>600</v>
      </c>
      <c r="C119" s="3592"/>
      <c r="D119" s="3592"/>
      <c r="E119" s="3592"/>
      <c r="F119" s="3592"/>
      <c r="G119" s="3592"/>
      <c r="H119" s="3592"/>
      <c r="I119" s="3592"/>
      <c r="J119" s="3593"/>
    </row>
    <row r="120" spans="1:10" ht="12" x14ac:dyDescent="0.2">
      <c r="A120" s="187">
        <v>2424</v>
      </c>
      <c r="B120" s="3592" t="s">
        <v>807</v>
      </c>
      <c r="C120" s="3592"/>
      <c r="D120" s="3592"/>
      <c r="E120" s="3592"/>
      <c r="F120" s="3592"/>
      <c r="G120" s="3592"/>
      <c r="H120" s="3592"/>
      <c r="I120" s="3592"/>
      <c r="J120" s="3593"/>
    </row>
    <row r="121" spans="1:10" ht="12" x14ac:dyDescent="0.2">
      <c r="A121" s="187">
        <v>2429</v>
      </c>
      <c r="B121" s="3592" t="s">
        <v>808</v>
      </c>
      <c r="C121" s="3592"/>
      <c r="D121" s="3592"/>
      <c r="E121" s="3592"/>
      <c r="F121" s="3592"/>
      <c r="G121" s="3592"/>
      <c r="H121" s="3592"/>
      <c r="I121" s="3592"/>
      <c r="J121" s="3593"/>
    </row>
    <row r="122" spans="1:10" ht="12" x14ac:dyDescent="0.2">
      <c r="A122" s="187">
        <v>2430</v>
      </c>
      <c r="B122" s="3592" t="s">
        <v>809</v>
      </c>
      <c r="C122" s="3592"/>
      <c r="D122" s="3592"/>
      <c r="E122" s="3592"/>
      <c r="F122" s="3592"/>
      <c r="G122" s="3592"/>
      <c r="H122" s="3592"/>
      <c r="I122" s="3592"/>
      <c r="J122" s="3593"/>
    </row>
    <row r="123" spans="1:10" ht="12" x14ac:dyDescent="0.2">
      <c r="A123" s="187">
        <v>2511</v>
      </c>
      <c r="B123" s="3592" t="s">
        <v>810</v>
      </c>
      <c r="C123" s="3592"/>
      <c r="D123" s="3592"/>
      <c r="E123" s="3592"/>
      <c r="F123" s="3592"/>
      <c r="G123" s="3592"/>
      <c r="H123" s="3592"/>
      <c r="I123" s="3592"/>
      <c r="J123" s="3593"/>
    </row>
    <row r="124" spans="1:10" ht="12" x14ac:dyDescent="0.2">
      <c r="A124" s="187">
        <v>2512</v>
      </c>
      <c r="B124" s="3592" t="s">
        <v>811</v>
      </c>
      <c r="C124" s="3592"/>
      <c r="D124" s="3592"/>
      <c r="E124" s="3592"/>
      <c r="F124" s="3592"/>
      <c r="G124" s="3592"/>
      <c r="H124" s="3592"/>
      <c r="I124" s="3592"/>
      <c r="J124" s="3593"/>
    </row>
    <row r="125" spans="1:10" ht="12" x14ac:dyDescent="0.2">
      <c r="A125" s="187">
        <v>2513</v>
      </c>
      <c r="B125" s="3592" t="s">
        <v>812</v>
      </c>
      <c r="C125" s="3592"/>
      <c r="D125" s="3592"/>
      <c r="E125" s="3592"/>
      <c r="F125" s="3592"/>
      <c r="G125" s="3592"/>
      <c r="H125" s="3592"/>
      <c r="I125" s="3592"/>
      <c r="J125" s="3593"/>
    </row>
    <row r="126" spans="1:10" ht="12" x14ac:dyDescent="0.2">
      <c r="A126" s="187">
        <v>2519</v>
      </c>
      <c r="B126" s="3592" t="s">
        <v>813</v>
      </c>
      <c r="C126" s="3592"/>
      <c r="D126" s="3592"/>
      <c r="E126" s="3592"/>
      <c r="F126" s="3592"/>
      <c r="G126" s="3592"/>
      <c r="H126" s="3592"/>
      <c r="I126" s="3592"/>
      <c r="J126" s="3593"/>
    </row>
    <row r="127" spans="1:10" ht="12" x14ac:dyDescent="0.2">
      <c r="A127" s="187">
        <v>2521</v>
      </c>
      <c r="B127" s="3592" t="s">
        <v>814</v>
      </c>
      <c r="C127" s="3592"/>
      <c r="D127" s="3592"/>
      <c r="E127" s="3592"/>
      <c r="F127" s="3592"/>
      <c r="G127" s="3592"/>
      <c r="H127" s="3592"/>
      <c r="I127" s="3592"/>
      <c r="J127" s="3593"/>
    </row>
    <row r="128" spans="1:10" ht="12" x14ac:dyDescent="0.2">
      <c r="A128" s="187">
        <v>2529</v>
      </c>
      <c r="B128" s="3592" t="s">
        <v>815</v>
      </c>
      <c r="C128" s="3592"/>
      <c r="D128" s="3592"/>
      <c r="E128" s="3592"/>
      <c r="F128" s="3592"/>
      <c r="G128" s="3592"/>
      <c r="H128" s="3592"/>
      <c r="I128" s="3592"/>
      <c r="J128" s="3593"/>
    </row>
    <row r="129" spans="1:10" ht="12" x14ac:dyDescent="0.2">
      <c r="A129" s="187">
        <v>2610</v>
      </c>
      <c r="B129" s="3592" t="s">
        <v>816</v>
      </c>
      <c r="C129" s="3592"/>
      <c r="D129" s="3592"/>
      <c r="E129" s="3592"/>
      <c r="F129" s="3592"/>
      <c r="G129" s="3592"/>
      <c r="H129" s="3592"/>
      <c r="I129" s="3592"/>
      <c r="J129" s="3593"/>
    </row>
    <row r="130" spans="1:10" ht="12" x14ac:dyDescent="0.2">
      <c r="A130" s="187">
        <v>2691</v>
      </c>
      <c r="B130" s="3592" t="s">
        <v>817</v>
      </c>
      <c r="C130" s="3592"/>
      <c r="D130" s="3592"/>
      <c r="E130" s="3592"/>
      <c r="F130" s="3592"/>
      <c r="G130" s="3592"/>
      <c r="H130" s="3592"/>
      <c r="I130" s="3592"/>
      <c r="J130" s="3593"/>
    </row>
    <row r="131" spans="1:10" ht="12" x14ac:dyDescent="0.2">
      <c r="A131" s="187">
        <v>2692</v>
      </c>
      <c r="B131" s="3592" t="s">
        <v>818</v>
      </c>
      <c r="C131" s="3592"/>
      <c r="D131" s="3592"/>
      <c r="E131" s="3592"/>
      <c r="F131" s="3592"/>
      <c r="G131" s="3592"/>
      <c r="H131" s="3592"/>
      <c r="I131" s="3592"/>
      <c r="J131" s="3593"/>
    </row>
    <row r="132" spans="1:10" ht="12" x14ac:dyDescent="0.2">
      <c r="A132" s="187">
        <v>2693</v>
      </c>
      <c r="B132" s="3592" t="s">
        <v>819</v>
      </c>
      <c r="C132" s="3592"/>
      <c r="D132" s="3592"/>
      <c r="E132" s="3592"/>
      <c r="F132" s="3592"/>
      <c r="G132" s="3592"/>
      <c r="H132" s="3592"/>
      <c r="I132" s="3592"/>
      <c r="J132" s="3593"/>
    </row>
    <row r="133" spans="1:10" ht="12" x14ac:dyDescent="0.2">
      <c r="A133" s="187">
        <v>2694</v>
      </c>
      <c r="B133" s="3592" t="s">
        <v>820</v>
      </c>
      <c r="C133" s="3592"/>
      <c r="D133" s="3592"/>
      <c r="E133" s="3592"/>
      <c r="F133" s="3592"/>
      <c r="G133" s="3592"/>
      <c r="H133" s="3592"/>
      <c r="I133" s="3592"/>
      <c r="J133" s="3593"/>
    </row>
    <row r="134" spans="1:10" ht="12" x14ac:dyDescent="0.2">
      <c r="A134" s="187">
        <v>2695</v>
      </c>
      <c r="B134" s="3592" t="s">
        <v>821</v>
      </c>
      <c r="C134" s="3592"/>
      <c r="D134" s="3592"/>
      <c r="E134" s="3592"/>
      <c r="F134" s="3592"/>
      <c r="G134" s="3592"/>
      <c r="H134" s="3592"/>
      <c r="I134" s="3592"/>
      <c r="J134" s="3593"/>
    </row>
    <row r="135" spans="1:10" ht="12" x14ac:dyDescent="0.2">
      <c r="A135" s="187">
        <v>2696</v>
      </c>
      <c r="B135" s="3592" t="s">
        <v>822</v>
      </c>
      <c r="C135" s="3592"/>
      <c r="D135" s="3592"/>
      <c r="E135" s="3592"/>
      <c r="F135" s="3592"/>
      <c r="G135" s="3592"/>
      <c r="H135" s="3592"/>
      <c r="I135" s="3592"/>
      <c r="J135" s="3593"/>
    </row>
    <row r="136" spans="1:10" ht="12" x14ac:dyDescent="0.2">
      <c r="A136" s="187">
        <v>2699</v>
      </c>
      <c r="B136" s="3592" t="s">
        <v>823</v>
      </c>
      <c r="C136" s="3592"/>
      <c r="D136" s="3592"/>
      <c r="E136" s="3592"/>
      <c r="F136" s="3592"/>
      <c r="G136" s="3592"/>
      <c r="H136" s="3592"/>
      <c r="I136" s="3592"/>
      <c r="J136" s="3593"/>
    </row>
    <row r="137" spans="1:10" ht="12" x14ac:dyDescent="0.2">
      <c r="A137" s="187">
        <v>2710</v>
      </c>
      <c r="B137" s="3592" t="s">
        <v>824</v>
      </c>
      <c r="C137" s="3592"/>
      <c r="D137" s="3592"/>
      <c r="E137" s="3592"/>
      <c r="F137" s="3592"/>
      <c r="G137" s="3592"/>
      <c r="H137" s="3592"/>
      <c r="I137" s="3592"/>
      <c r="J137" s="3593"/>
    </row>
    <row r="138" spans="1:10" ht="12" x14ac:dyDescent="0.2">
      <c r="A138" s="187">
        <v>2721</v>
      </c>
      <c r="B138" s="3592" t="s">
        <v>825</v>
      </c>
      <c r="C138" s="3592"/>
      <c r="D138" s="3592"/>
      <c r="E138" s="3592"/>
      <c r="F138" s="3592"/>
      <c r="G138" s="3592"/>
      <c r="H138" s="3592"/>
      <c r="I138" s="3592"/>
      <c r="J138" s="3593"/>
    </row>
    <row r="139" spans="1:10" ht="12" x14ac:dyDescent="0.2">
      <c r="A139" s="187">
        <v>2729</v>
      </c>
      <c r="B139" s="3592" t="s">
        <v>826</v>
      </c>
      <c r="C139" s="3592"/>
      <c r="D139" s="3592"/>
      <c r="E139" s="3592"/>
      <c r="F139" s="3592"/>
      <c r="G139" s="3592"/>
      <c r="H139" s="3592"/>
      <c r="I139" s="3592"/>
      <c r="J139" s="3593"/>
    </row>
    <row r="140" spans="1:10" ht="12" x14ac:dyDescent="0.2">
      <c r="A140" s="187">
        <v>2731</v>
      </c>
      <c r="B140" s="3592" t="s">
        <v>827</v>
      </c>
      <c r="C140" s="3592"/>
      <c r="D140" s="3592"/>
      <c r="E140" s="3592"/>
      <c r="F140" s="3592"/>
      <c r="G140" s="3592"/>
      <c r="H140" s="3592"/>
      <c r="I140" s="3592"/>
      <c r="J140" s="3593"/>
    </row>
    <row r="141" spans="1:10" ht="12" x14ac:dyDescent="0.2">
      <c r="A141" s="187">
        <v>2732</v>
      </c>
      <c r="B141" s="3592" t="s">
        <v>828</v>
      </c>
      <c r="C141" s="3592"/>
      <c r="D141" s="3592"/>
      <c r="E141" s="3592"/>
      <c r="F141" s="3592"/>
      <c r="G141" s="3592"/>
      <c r="H141" s="3592"/>
      <c r="I141" s="3592"/>
      <c r="J141" s="3593"/>
    </row>
    <row r="142" spans="1:10" ht="12" x14ac:dyDescent="0.2">
      <c r="A142" s="187">
        <v>2811</v>
      </c>
      <c r="B142" s="3592" t="s">
        <v>829</v>
      </c>
      <c r="C142" s="3592"/>
      <c r="D142" s="3592"/>
      <c r="E142" s="3592"/>
      <c r="F142" s="3592"/>
      <c r="G142" s="3592"/>
      <c r="H142" s="3592"/>
      <c r="I142" s="3592"/>
      <c r="J142" s="3593"/>
    </row>
    <row r="143" spans="1:10" ht="12" x14ac:dyDescent="0.2">
      <c r="A143" s="187">
        <v>2812</v>
      </c>
      <c r="B143" s="3592" t="s">
        <v>830</v>
      </c>
      <c r="C143" s="3592"/>
      <c r="D143" s="3592"/>
      <c r="E143" s="3592"/>
      <c r="F143" s="3592"/>
      <c r="G143" s="3592"/>
      <c r="H143" s="3592"/>
      <c r="I143" s="3592"/>
      <c r="J143" s="3593"/>
    </row>
    <row r="144" spans="1:10" ht="12" x14ac:dyDescent="0.2">
      <c r="A144" s="187">
        <v>2813</v>
      </c>
      <c r="B144" s="3592" t="s">
        <v>831</v>
      </c>
      <c r="C144" s="3592"/>
      <c r="D144" s="3592"/>
      <c r="E144" s="3592"/>
      <c r="F144" s="3592"/>
      <c r="G144" s="3592"/>
      <c r="H144" s="3592"/>
      <c r="I144" s="3592"/>
      <c r="J144" s="3593"/>
    </row>
    <row r="145" spans="1:10" ht="12" x14ac:dyDescent="0.2">
      <c r="A145" s="187">
        <v>2891</v>
      </c>
      <c r="B145" s="3592" t="s">
        <v>832</v>
      </c>
      <c r="C145" s="3592"/>
      <c r="D145" s="3592"/>
      <c r="E145" s="3592"/>
      <c r="F145" s="3592"/>
      <c r="G145" s="3592"/>
      <c r="H145" s="3592"/>
      <c r="I145" s="3592"/>
      <c r="J145" s="3593"/>
    </row>
    <row r="146" spans="1:10" ht="12" x14ac:dyDescent="0.2">
      <c r="A146" s="187">
        <v>2892</v>
      </c>
      <c r="B146" s="3592" t="s">
        <v>833</v>
      </c>
      <c r="C146" s="3592"/>
      <c r="D146" s="3592"/>
      <c r="E146" s="3592"/>
      <c r="F146" s="3592"/>
      <c r="G146" s="3592"/>
      <c r="H146" s="3592"/>
      <c r="I146" s="3592"/>
      <c r="J146" s="3593"/>
    </row>
    <row r="147" spans="1:10" ht="12" x14ac:dyDescent="0.2">
      <c r="A147" s="187">
        <v>2893</v>
      </c>
      <c r="B147" s="3592" t="s">
        <v>834</v>
      </c>
      <c r="C147" s="3592"/>
      <c r="D147" s="3592"/>
      <c r="E147" s="3592"/>
      <c r="F147" s="3592"/>
      <c r="G147" s="3592"/>
      <c r="H147" s="3592"/>
      <c r="I147" s="3592"/>
      <c r="J147" s="3593"/>
    </row>
    <row r="148" spans="1:10" ht="12" x14ac:dyDescent="0.2">
      <c r="A148" s="187">
        <v>2899</v>
      </c>
      <c r="B148" s="3592" t="s">
        <v>835</v>
      </c>
      <c r="C148" s="3592"/>
      <c r="D148" s="3592"/>
      <c r="E148" s="3592"/>
      <c r="F148" s="3592"/>
      <c r="G148" s="3592"/>
      <c r="H148" s="3592"/>
      <c r="I148" s="3592"/>
      <c r="J148" s="3593"/>
    </row>
    <row r="149" spans="1:10" ht="12" x14ac:dyDescent="0.2">
      <c r="A149" s="187">
        <v>2911</v>
      </c>
      <c r="B149" s="3592" t="s">
        <v>836</v>
      </c>
      <c r="C149" s="3592"/>
      <c r="D149" s="3592"/>
      <c r="E149" s="3592"/>
      <c r="F149" s="3592"/>
      <c r="G149" s="3592"/>
      <c r="H149" s="3592"/>
      <c r="I149" s="3592"/>
      <c r="J149" s="3593"/>
    </row>
    <row r="150" spans="1:10" ht="12" x14ac:dyDescent="0.2">
      <c r="A150" s="187">
        <v>2912</v>
      </c>
      <c r="B150" s="3592" t="s">
        <v>837</v>
      </c>
      <c r="C150" s="3592"/>
      <c r="D150" s="3592"/>
      <c r="E150" s="3592"/>
      <c r="F150" s="3592"/>
      <c r="G150" s="3592"/>
      <c r="H150" s="3592"/>
      <c r="I150" s="3592"/>
      <c r="J150" s="3593"/>
    </row>
    <row r="151" spans="1:10" ht="12" x14ac:dyDescent="0.2">
      <c r="A151" s="187">
        <v>2913</v>
      </c>
      <c r="B151" s="3592" t="s">
        <v>838</v>
      </c>
      <c r="C151" s="3592"/>
      <c r="D151" s="3592"/>
      <c r="E151" s="3592"/>
      <c r="F151" s="3592"/>
      <c r="G151" s="3592"/>
      <c r="H151" s="3592"/>
      <c r="I151" s="3592"/>
      <c r="J151" s="3593"/>
    </row>
    <row r="152" spans="1:10" ht="12" x14ac:dyDescent="0.2">
      <c r="A152" s="187">
        <v>2914</v>
      </c>
      <c r="B152" s="3592" t="s">
        <v>839</v>
      </c>
      <c r="C152" s="3592"/>
      <c r="D152" s="3592"/>
      <c r="E152" s="3592"/>
      <c r="F152" s="3592"/>
      <c r="G152" s="3592"/>
      <c r="H152" s="3592"/>
      <c r="I152" s="3592"/>
      <c r="J152" s="3593"/>
    </row>
    <row r="153" spans="1:10" ht="12" x14ac:dyDescent="0.2">
      <c r="A153" s="187">
        <v>2915</v>
      </c>
      <c r="B153" s="3592" t="s">
        <v>840</v>
      </c>
      <c r="C153" s="3592"/>
      <c r="D153" s="3592"/>
      <c r="E153" s="3592"/>
      <c r="F153" s="3592"/>
      <c r="G153" s="3592"/>
      <c r="H153" s="3592"/>
      <c r="I153" s="3592"/>
      <c r="J153" s="3593"/>
    </row>
    <row r="154" spans="1:10" ht="12" x14ac:dyDescent="0.2">
      <c r="A154" s="187">
        <v>2919</v>
      </c>
      <c r="B154" s="3592" t="s">
        <v>841</v>
      </c>
      <c r="C154" s="3592"/>
      <c r="D154" s="3592"/>
      <c r="E154" s="3592"/>
      <c r="F154" s="3592"/>
      <c r="G154" s="3592"/>
      <c r="H154" s="3592"/>
      <c r="I154" s="3592"/>
      <c r="J154" s="3593"/>
    </row>
    <row r="155" spans="1:10" ht="12" x14ac:dyDescent="0.2">
      <c r="A155" s="187">
        <v>2921</v>
      </c>
      <c r="B155" s="3592" t="s">
        <v>842</v>
      </c>
      <c r="C155" s="3592"/>
      <c r="D155" s="3592"/>
      <c r="E155" s="3592"/>
      <c r="F155" s="3592"/>
      <c r="G155" s="3592"/>
      <c r="H155" s="3592"/>
      <c r="I155" s="3592"/>
      <c r="J155" s="3593"/>
    </row>
    <row r="156" spans="1:10" ht="12" x14ac:dyDescent="0.2">
      <c r="A156" s="187">
        <v>2922</v>
      </c>
      <c r="B156" s="3592" t="s">
        <v>843</v>
      </c>
      <c r="C156" s="3592"/>
      <c r="D156" s="3592"/>
      <c r="E156" s="3592"/>
      <c r="F156" s="3592"/>
      <c r="G156" s="3592"/>
      <c r="H156" s="3592"/>
      <c r="I156" s="3592"/>
      <c r="J156" s="3593"/>
    </row>
    <row r="157" spans="1:10" ht="12" x14ac:dyDescent="0.2">
      <c r="A157" s="187">
        <v>2923</v>
      </c>
      <c r="B157" s="3592" t="s">
        <v>844</v>
      </c>
      <c r="C157" s="3592"/>
      <c r="D157" s="3592"/>
      <c r="E157" s="3592"/>
      <c r="F157" s="3592"/>
      <c r="G157" s="3592"/>
      <c r="H157" s="3592"/>
      <c r="I157" s="3592"/>
      <c r="J157" s="3593"/>
    </row>
    <row r="158" spans="1:10" ht="12" x14ac:dyDescent="0.2">
      <c r="A158" s="187">
        <v>2924</v>
      </c>
      <c r="B158" s="3592" t="s">
        <v>903</v>
      </c>
      <c r="C158" s="3592"/>
      <c r="D158" s="3592"/>
      <c r="E158" s="3592"/>
      <c r="F158" s="3592"/>
      <c r="G158" s="3592"/>
      <c r="H158" s="3592"/>
      <c r="I158" s="3592"/>
      <c r="J158" s="3593"/>
    </row>
    <row r="159" spans="1:10" ht="12" x14ac:dyDescent="0.2">
      <c r="A159" s="187">
        <v>2925</v>
      </c>
      <c r="B159" s="3592" t="s">
        <v>904</v>
      </c>
      <c r="C159" s="3592"/>
      <c r="D159" s="3592"/>
      <c r="E159" s="3592"/>
      <c r="F159" s="3592"/>
      <c r="G159" s="3592"/>
      <c r="H159" s="3592"/>
      <c r="I159" s="3592"/>
      <c r="J159" s="3593"/>
    </row>
    <row r="160" spans="1:10" ht="12" x14ac:dyDescent="0.2">
      <c r="A160" s="187">
        <v>2926</v>
      </c>
      <c r="B160" s="3592" t="s">
        <v>905</v>
      </c>
      <c r="C160" s="3592"/>
      <c r="D160" s="3592"/>
      <c r="E160" s="3592"/>
      <c r="F160" s="3592"/>
      <c r="G160" s="3592"/>
      <c r="H160" s="3592"/>
      <c r="I160" s="3592"/>
      <c r="J160" s="3593"/>
    </row>
    <row r="161" spans="1:10" ht="12" x14ac:dyDescent="0.2">
      <c r="A161" s="187">
        <v>2927</v>
      </c>
      <c r="B161" s="3592" t="s">
        <v>906</v>
      </c>
      <c r="C161" s="3592"/>
      <c r="D161" s="3592"/>
      <c r="E161" s="3592"/>
      <c r="F161" s="3592"/>
      <c r="G161" s="3592"/>
      <c r="H161" s="3592"/>
      <c r="I161" s="3592"/>
      <c r="J161" s="3593"/>
    </row>
    <row r="162" spans="1:10" ht="12" x14ac:dyDescent="0.2">
      <c r="A162" s="187">
        <v>2929</v>
      </c>
      <c r="B162" s="3592" t="s">
        <v>907</v>
      </c>
      <c r="C162" s="3592"/>
      <c r="D162" s="3592"/>
      <c r="E162" s="3592"/>
      <c r="F162" s="3592"/>
      <c r="G162" s="3592"/>
      <c r="H162" s="3592"/>
      <c r="I162" s="3592"/>
      <c r="J162" s="3593"/>
    </row>
    <row r="163" spans="1:10" ht="12" x14ac:dyDescent="0.2">
      <c r="A163" s="187">
        <v>2930</v>
      </c>
      <c r="B163" s="3592" t="s">
        <v>908</v>
      </c>
      <c r="C163" s="3592"/>
      <c r="D163" s="3592"/>
      <c r="E163" s="3592"/>
      <c r="F163" s="3592"/>
      <c r="G163" s="3592"/>
      <c r="H163" s="3592"/>
      <c r="I163" s="3592"/>
      <c r="J163" s="3593"/>
    </row>
    <row r="164" spans="1:10" ht="12" x14ac:dyDescent="0.2">
      <c r="A164" s="187">
        <v>3000</v>
      </c>
      <c r="B164" s="3592" t="s">
        <v>909</v>
      </c>
      <c r="C164" s="3592"/>
      <c r="D164" s="3592"/>
      <c r="E164" s="3592"/>
      <c r="F164" s="3592"/>
      <c r="G164" s="3592"/>
      <c r="H164" s="3592"/>
      <c r="I164" s="3592"/>
      <c r="J164" s="3593"/>
    </row>
    <row r="165" spans="1:10" ht="12" x14ac:dyDescent="0.2">
      <c r="A165" s="187">
        <v>3110</v>
      </c>
      <c r="B165" s="3592" t="s">
        <v>910</v>
      </c>
      <c r="C165" s="3592"/>
      <c r="D165" s="3592"/>
      <c r="E165" s="3592"/>
      <c r="F165" s="3592"/>
      <c r="G165" s="3592"/>
      <c r="H165" s="3592"/>
      <c r="I165" s="3592"/>
      <c r="J165" s="3593"/>
    </row>
    <row r="166" spans="1:10" ht="12" x14ac:dyDescent="0.2">
      <c r="A166" s="187">
        <v>3120</v>
      </c>
      <c r="B166" s="3592" t="s">
        <v>911</v>
      </c>
      <c r="C166" s="3592"/>
      <c r="D166" s="3592"/>
      <c r="E166" s="3592"/>
      <c r="F166" s="3592"/>
      <c r="G166" s="3592"/>
      <c r="H166" s="3592"/>
      <c r="I166" s="3592"/>
      <c r="J166" s="3593"/>
    </row>
    <row r="167" spans="1:10" ht="12" x14ac:dyDescent="0.2">
      <c r="A167" s="187">
        <v>3130</v>
      </c>
      <c r="B167" s="3592" t="s">
        <v>912</v>
      </c>
      <c r="C167" s="3592"/>
      <c r="D167" s="3592"/>
      <c r="E167" s="3592"/>
      <c r="F167" s="3592"/>
      <c r="G167" s="3592"/>
      <c r="H167" s="3592"/>
      <c r="I167" s="3592"/>
      <c r="J167" s="3593"/>
    </row>
    <row r="168" spans="1:10" ht="12" x14ac:dyDescent="0.2">
      <c r="A168" s="187">
        <v>3140</v>
      </c>
      <c r="B168" s="3592" t="s">
        <v>913</v>
      </c>
      <c r="C168" s="3592"/>
      <c r="D168" s="3592"/>
      <c r="E168" s="3592"/>
      <c r="F168" s="3592"/>
      <c r="G168" s="3592"/>
      <c r="H168" s="3592"/>
      <c r="I168" s="3592"/>
      <c r="J168" s="3593"/>
    </row>
    <row r="169" spans="1:10" ht="12" x14ac:dyDescent="0.2">
      <c r="A169" s="187">
        <v>3150</v>
      </c>
      <c r="B169" s="3592" t="s">
        <v>914</v>
      </c>
      <c r="C169" s="3592"/>
      <c r="D169" s="3592"/>
      <c r="E169" s="3592"/>
      <c r="F169" s="3592"/>
      <c r="G169" s="3592"/>
      <c r="H169" s="3592"/>
      <c r="I169" s="3592"/>
      <c r="J169" s="3593"/>
    </row>
    <row r="170" spans="1:10" ht="12" x14ac:dyDescent="0.2">
      <c r="A170" s="187">
        <v>3190</v>
      </c>
      <c r="B170" s="3592" t="s">
        <v>915</v>
      </c>
      <c r="C170" s="3592"/>
      <c r="D170" s="3592"/>
      <c r="E170" s="3592"/>
      <c r="F170" s="3592"/>
      <c r="G170" s="3592"/>
      <c r="H170" s="3592"/>
      <c r="I170" s="3592"/>
      <c r="J170" s="3593"/>
    </row>
    <row r="171" spans="1:10" ht="12" x14ac:dyDescent="0.2">
      <c r="A171" s="187">
        <v>3210</v>
      </c>
      <c r="B171" s="3592" t="s">
        <v>916</v>
      </c>
      <c r="C171" s="3592"/>
      <c r="D171" s="3592"/>
      <c r="E171" s="3592"/>
      <c r="F171" s="3592"/>
      <c r="G171" s="3592"/>
      <c r="H171" s="3592"/>
      <c r="I171" s="3592"/>
      <c r="J171" s="3593"/>
    </row>
    <row r="172" spans="1:10" ht="12" x14ac:dyDescent="0.2">
      <c r="A172" s="187">
        <v>3220</v>
      </c>
      <c r="B172" s="3592" t="s">
        <v>917</v>
      </c>
      <c r="C172" s="3592"/>
      <c r="D172" s="3592"/>
      <c r="E172" s="3592"/>
      <c r="F172" s="3592"/>
      <c r="G172" s="3592"/>
      <c r="H172" s="3592"/>
      <c r="I172" s="3592"/>
      <c r="J172" s="3593"/>
    </row>
    <row r="173" spans="1:10" ht="12" x14ac:dyDescent="0.2">
      <c r="A173" s="187">
        <v>3230</v>
      </c>
      <c r="B173" s="3592" t="s">
        <v>918</v>
      </c>
      <c r="C173" s="3592"/>
      <c r="D173" s="3592"/>
      <c r="E173" s="3592"/>
      <c r="F173" s="3592"/>
      <c r="G173" s="3592"/>
      <c r="H173" s="3592"/>
      <c r="I173" s="3592"/>
      <c r="J173" s="3593"/>
    </row>
    <row r="174" spans="1:10" ht="12" x14ac:dyDescent="0.2">
      <c r="A174" s="187">
        <v>3311</v>
      </c>
      <c r="B174" s="3592" t="s">
        <v>919</v>
      </c>
      <c r="C174" s="3592"/>
      <c r="D174" s="3592"/>
      <c r="E174" s="3592"/>
      <c r="F174" s="3592"/>
      <c r="G174" s="3592"/>
      <c r="H174" s="3592"/>
      <c r="I174" s="3592"/>
      <c r="J174" s="3593"/>
    </row>
    <row r="175" spans="1:10" ht="12" x14ac:dyDescent="0.2">
      <c r="A175" s="187">
        <v>3312</v>
      </c>
      <c r="B175" s="3592" t="s">
        <v>920</v>
      </c>
      <c r="C175" s="3592"/>
      <c r="D175" s="3592"/>
      <c r="E175" s="3592"/>
      <c r="F175" s="3592"/>
      <c r="G175" s="3592"/>
      <c r="H175" s="3592"/>
      <c r="I175" s="3592"/>
      <c r="J175" s="3593"/>
    </row>
    <row r="176" spans="1:10" ht="12" x14ac:dyDescent="0.2">
      <c r="A176" s="187">
        <v>3313</v>
      </c>
      <c r="B176" s="3592" t="s">
        <v>921</v>
      </c>
      <c r="C176" s="3592"/>
      <c r="D176" s="3592"/>
      <c r="E176" s="3592"/>
      <c r="F176" s="3592"/>
      <c r="G176" s="3592"/>
      <c r="H176" s="3592"/>
      <c r="I176" s="3592"/>
      <c r="J176" s="3593"/>
    </row>
    <row r="177" spans="1:10" ht="12" x14ac:dyDescent="0.2">
      <c r="A177" s="187">
        <v>3320</v>
      </c>
      <c r="B177" s="3592" t="s">
        <v>922</v>
      </c>
      <c r="C177" s="3592"/>
      <c r="D177" s="3592"/>
      <c r="E177" s="3592"/>
      <c r="F177" s="3592"/>
      <c r="G177" s="3592"/>
      <c r="H177" s="3592"/>
      <c r="I177" s="3592"/>
      <c r="J177" s="3593"/>
    </row>
    <row r="178" spans="1:10" ht="12" x14ac:dyDescent="0.2">
      <c r="A178" s="187">
        <v>3330</v>
      </c>
      <c r="B178" s="3592" t="s">
        <v>923</v>
      </c>
      <c r="C178" s="3592"/>
      <c r="D178" s="3592"/>
      <c r="E178" s="3592"/>
      <c r="F178" s="3592"/>
      <c r="G178" s="3592"/>
      <c r="H178" s="3592"/>
      <c r="I178" s="3592"/>
      <c r="J178" s="3593"/>
    </row>
    <row r="179" spans="1:10" ht="12" x14ac:dyDescent="0.2">
      <c r="A179" s="187">
        <v>3410</v>
      </c>
      <c r="B179" s="3592" t="s">
        <v>924</v>
      </c>
      <c r="C179" s="3592"/>
      <c r="D179" s="3592"/>
      <c r="E179" s="3592"/>
      <c r="F179" s="3592"/>
      <c r="G179" s="3592"/>
      <c r="H179" s="3592"/>
      <c r="I179" s="3592"/>
      <c r="J179" s="3593"/>
    </row>
    <row r="180" spans="1:10" ht="12" x14ac:dyDescent="0.2">
      <c r="A180" s="187">
        <v>3420</v>
      </c>
      <c r="B180" s="3592" t="s">
        <v>925</v>
      </c>
      <c r="C180" s="3592"/>
      <c r="D180" s="3592"/>
      <c r="E180" s="3592"/>
      <c r="F180" s="3592"/>
      <c r="G180" s="3592"/>
      <c r="H180" s="3592"/>
      <c r="I180" s="3592"/>
      <c r="J180" s="3593"/>
    </row>
    <row r="181" spans="1:10" ht="12" x14ac:dyDescent="0.2">
      <c r="A181" s="187">
        <v>3430</v>
      </c>
      <c r="B181" s="3592" t="s">
        <v>926</v>
      </c>
      <c r="C181" s="3592"/>
      <c r="D181" s="3592"/>
      <c r="E181" s="3592"/>
      <c r="F181" s="3592"/>
      <c r="G181" s="3592"/>
      <c r="H181" s="3592"/>
      <c r="I181" s="3592"/>
      <c r="J181" s="3593"/>
    </row>
    <row r="182" spans="1:10" ht="12" x14ac:dyDescent="0.2">
      <c r="A182" s="187">
        <v>3511</v>
      </c>
      <c r="B182" s="3592" t="s">
        <v>927</v>
      </c>
      <c r="C182" s="3592"/>
      <c r="D182" s="3592"/>
      <c r="E182" s="3592"/>
      <c r="F182" s="3592"/>
      <c r="G182" s="3592"/>
      <c r="H182" s="3592"/>
      <c r="I182" s="3592"/>
      <c r="J182" s="3593"/>
    </row>
    <row r="183" spans="1:10" ht="12" x14ac:dyDescent="0.2">
      <c r="A183" s="187">
        <v>3512</v>
      </c>
      <c r="B183" s="3592" t="s">
        <v>928</v>
      </c>
      <c r="C183" s="3592"/>
      <c r="D183" s="3592"/>
      <c r="E183" s="3592"/>
      <c r="F183" s="3592"/>
      <c r="G183" s="3592"/>
      <c r="H183" s="3592"/>
      <c r="I183" s="3592"/>
      <c r="J183" s="3593"/>
    </row>
    <row r="184" spans="1:10" ht="12" x14ac:dyDescent="0.2">
      <c r="A184" s="187">
        <v>3520</v>
      </c>
      <c r="B184" s="3592" t="s">
        <v>929</v>
      </c>
      <c r="C184" s="3592"/>
      <c r="D184" s="3592"/>
      <c r="E184" s="3592"/>
      <c r="F184" s="3592"/>
      <c r="G184" s="3592"/>
      <c r="H184" s="3592"/>
      <c r="I184" s="3592"/>
      <c r="J184" s="3593"/>
    </row>
    <row r="185" spans="1:10" ht="12" x14ac:dyDescent="0.2">
      <c r="A185" s="187">
        <v>3530</v>
      </c>
      <c r="B185" s="3592" t="s">
        <v>930</v>
      </c>
      <c r="C185" s="3592"/>
      <c r="D185" s="3592"/>
      <c r="E185" s="3592"/>
      <c r="F185" s="3592"/>
      <c r="G185" s="3592"/>
      <c r="H185" s="3592"/>
      <c r="I185" s="3592"/>
      <c r="J185" s="3593"/>
    </row>
    <row r="186" spans="1:10" ht="12" x14ac:dyDescent="0.2">
      <c r="A186" s="187">
        <v>3591</v>
      </c>
      <c r="B186" s="3592" t="s">
        <v>931</v>
      </c>
      <c r="C186" s="3592"/>
      <c r="D186" s="3592"/>
      <c r="E186" s="3592"/>
      <c r="F186" s="3592"/>
      <c r="G186" s="3592"/>
      <c r="H186" s="3592"/>
      <c r="I186" s="3592"/>
      <c r="J186" s="3593"/>
    </row>
    <row r="187" spans="1:10" ht="12" x14ac:dyDescent="0.2">
      <c r="A187" s="187">
        <v>3592</v>
      </c>
      <c r="B187" s="3592" t="s">
        <v>932</v>
      </c>
      <c r="C187" s="3592"/>
      <c r="D187" s="3592"/>
      <c r="E187" s="3592"/>
      <c r="F187" s="3592"/>
      <c r="G187" s="3592"/>
      <c r="H187" s="3592"/>
      <c r="I187" s="3592"/>
      <c r="J187" s="3593"/>
    </row>
    <row r="188" spans="1:10" ht="12" x14ac:dyDescent="0.2">
      <c r="A188" s="187">
        <v>3599</v>
      </c>
      <c r="B188" s="3592" t="s">
        <v>933</v>
      </c>
      <c r="C188" s="3592"/>
      <c r="D188" s="3592"/>
      <c r="E188" s="3592"/>
      <c r="F188" s="3592"/>
      <c r="G188" s="3592"/>
      <c r="H188" s="3592"/>
      <c r="I188" s="3592"/>
      <c r="J188" s="3593"/>
    </row>
    <row r="189" spans="1:10" ht="12" x14ac:dyDescent="0.2">
      <c r="A189" s="187">
        <v>3611</v>
      </c>
      <c r="B189" s="3592" t="s">
        <v>934</v>
      </c>
      <c r="C189" s="3592"/>
      <c r="D189" s="3592"/>
      <c r="E189" s="3592"/>
      <c r="F189" s="3592"/>
      <c r="G189" s="3592"/>
      <c r="H189" s="3592"/>
      <c r="I189" s="3592"/>
      <c r="J189" s="3593"/>
    </row>
    <row r="190" spans="1:10" ht="12" x14ac:dyDescent="0.2">
      <c r="A190" s="187">
        <v>3612</v>
      </c>
      <c r="B190" s="3592" t="s">
        <v>935</v>
      </c>
      <c r="C190" s="3592"/>
      <c r="D190" s="3592"/>
      <c r="E190" s="3592"/>
      <c r="F190" s="3592"/>
      <c r="G190" s="3592"/>
      <c r="H190" s="3592"/>
      <c r="I190" s="3592"/>
      <c r="J190" s="3593"/>
    </row>
    <row r="191" spans="1:10" ht="12" x14ac:dyDescent="0.2">
      <c r="A191" s="187">
        <v>3613</v>
      </c>
      <c r="B191" s="3592" t="s">
        <v>936</v>
      </c>
      <c r="C191" s="3592"/>
      <c r="D191" s="3592"/>
      <c r="E191" s="3592"/>
      <c r="F191" s="3592"/>
      <c r="G191" s="3592"/>
      <c r="H191" s="3592"/>
      <c r="I191" s="3592"/>
      <c r="J191" s="3593"/>
    </row>
    <row r="192" spans="1:10" ht="12" x14ac:dyDescent="0.2">
      <c r="A192" s="187">
        <v>3614</v>
      </c>
      <c r="B192" s="3592" t="s">
        <v>937</v>
      </c>
      <c r="C192" s="3592"/>
      <c r="D192" s="3592"/>
      <c r="E192" s="3592"/>
      <c r="F192" s="3592"/>
      <c r="G192" s="3592"/>
      <c r="H192" s="3592"/>
      <c r="I192" s="3592"/>
      <c r="J192" s="3593"/>
    </row>
    <row r="193" spans="1:10" ht="12" x14ac:dyDescent="0.2">
      <c r="A193" s="187">
        <v>3619</v>
      </c>
      <c r="B193" s="3592" t="s">
        <v>938</v>
      </c>
      <c r="C193" s="3592"/>
      <c r="D193" s="3592"/>
      <c r="E193" s="3592"/>
      <c r="F193" s="3592"/>
      <c r="G193" s="3592"/>
      <c r="H193" s="3592"/>
      <c r="I193" s="3592"/>
      <c r="J193" s="3593"/>
    </row>
    <row r="194" spans="1:10" ht="12" x14ac:dyDescent="0.2">
      <c r="A194" s="187">
        <v>3691</v>
      </c>
      <c r="B194" s="3592" t="s">
        <v>939</v>
      </c>
      <c r="C194" s="3592"/>
      <c r="D194" s="3592"/>
      <c r="E194" s="3592"/>
      <c r="F194" s="3592"/>
      <c r="G194" s="3592"/>
      <c r="H194" s="3592"/>
      <c r="I194" s="3592"/>
      <c r="J194" s="3593"/>
    </row>
    <row r="195" spans="1:10" ht="12" x14ac:dyDescent="0.2">
      <c r="A195" s="187">
        <v>3692</v>
      </c>
      <c r="B195" s="3592" t="s">
        <v>940</v>
      </c>
      <c r="C195" s="3592"/>
      <c r="D195" s="3592"/>
      <c r="E195" s="3592"/>
      <c r="F195" s="3592"/>
      <c r="G195" s="3592"/>
      <c r="H195" s="3592"/>
      <c r="I195" s="3592"/>
      <c r="J195" s="3593"/>
    </row>
    <row r="196" spans="1:10" ht="12" x14ac:dyDescent="0.2">
      <c r="A196" s="187">
        <v>3693</v>
      </c>
      <c r="B196" s="3592" t="s">
        <v>941</v>
      </c>
      <c r="C196" s="3592"/>
      <c r="D196" s="3592"/>
      <c r="E196" s="3592"/>
      <c r="F196" s="3592"/>
      <c r="G196" s="3592"/>
      <c r="H196" s="3592"/>
      <c r="I196" s="3592"/>
      <c r="J196" s="3593"/>
    </row>
    <row r="197" spans="1:10" ht="12" x14ac:dyDescent="0.2">
      <c r="A197" s="187">
        <v>3694</v>
      </c>
      <c r="B197" s="3592" t="s">
        <v>942</v>
      </c>
      <c r="C197" s="3592"/>
      <c r="D197" s="3592"/>
      <c r="E197" s="3592"/>
      <c r="F197" s="3592"/>
      <c r="G197" s="3592"/>
      <c r="H197" s="3592"/>
      <c r="I197" s="3592"/>
      <c r="J197" s="3593"/>
    </row>
    <row r="198" spans="1:10" ht="12" x14ac:dyDescent="0.2">
      <c r="A198" s="187">
        <v>3699</v>
      </c>
      <c r="B198" s="3592" t="s">
        <v>943</v>
      </c>
      <c r="C198" s="3592"/>
      <c r="D198" s="3592"/>
      <c r="E198" s="3592"/>
      <c r="F198" s="3592"/>
      <c r="G198" s="3592"/>
      <c r="H198" s="3592"/>
      <c r="I198" s="3592"/>
      <c r="J198" s="3593"/>
    </row>
    <row r="199" spans="1:10" ht="12" x14ac:dyDescent="0.2">
      <c r="A199" s="187">
        <v>3710</v>
      </c>
      <c r="B199" s="3592" t="s">
        <v>944</v>
      </c>
      <c r="C199" s="3592"/>
      <c r="D199" s="3592"/>
      <c r="E199" s="3592"/>
      <c r="F199" s="3592"/>
      <c r="G199" s="3592"/>
      <c r="H199" s="3592"/>
      <c r="I199" s="3592"/>
      <c r="J199" s="3593"/>
    </row>
    <row r="200" spans="1:10" ht="12" x14ac:dyDescent="0.2">
      <c r="A200" s="187">
        <v>3720</v>
      </c>
      <c r="B200" s="3592" t="s">
        <v>945</v>
      </c>
      <c r="C200" s="3592"/>
      <c r="D200" s="3592"/>
      <c r="E200" s="3592"/>
      <c r="F200" s="3592"/>
      <c r="G200" s="3592"/>
      <c r="H200" s="3592"/>
      <c r="I200" s="3592"/>
      <c r="J200" s="3593"/>
    </row>
    <row r="201" spans="1:10" ht="12" x14ac:dyDescent="0.2">
      <c r="A201" s="187">
        <v>4010</v>
      </c>
      <c r="B201" s="3592" t="s">
        <v>946</v>
      </c>
      <c r="C201" s="3592"/>
      <c r="D201" s="3592"/>
      <c r="E201" s="3592"/>
      <c r="F201" s="3592"/>
      <c r="G201" s="3592"/>
      <c r="H201" s="3592"/>
      <c r="I201" s="3592"/>
      <c r="J201" s="3593"/>
    </row>
    <row r="202" spans="1:10" ht="12" x14ac:dyDescent="0.2">
      <c r="A202" s="187">
        <v>4020</v>
      </c>
      <c r="B202" s="3592" t="s">
        <v>947</v>
      </c>
      <c r="C202" s="3592"/>
      <c r="D202" s="3592"/>
      <c r="E202" s="3592"/>
      <c r="F202" s="3592"/>
      <c r="G202" s="3592"/>
      <c r="H202" s="3592"/>
      <c r="I202" s="3592"/>
      <c r="J202" s="3593"/>
    </row>
    <row r="203" spans="1:10" ht="12" x14ac:dyDescent="0.2">
      <c r="A203" s="187">
        <v>4030</v>
      </c>
      <c r="B203" s="3592" t="s">
        <v>948</v>
      </c>
      <c r="C203" s="3592"/>
      <c r="D203" s="3592"/>
      <c r="E203" s="3592"/>
      <c r="F203" s="3592"/>
      <c r="G203" s="3592"/>
      <c r="H203" s="3592"/>
      <c r="I203" s="3592"/>
      <c r="J203" s="3593"/>
    </row>
    <row r="204" spans="1:10" ht="12" x14ac:dyDescent="0.2">
      <c r="A204" s="187">
        <v>4100</v>
      </c>
      <c r="B204" s="3592" t="s">
        <v>955</v>
      </c>
      <c r="C204" s="3592"/>
      <c r="D204" s="3592"/>
      <c r="E204" s="3592"/>
      <c r="F204" s="3592"/>
      <c r="G204" s="3592"/>
      <c r="H204" s="3592"/>
      <c r="I204" s="3592"/>
      <c r="J204" s="3593"/>
    </row>
    <row r="205" spans="1:10" ht="12" x14ac:dyDescent="0.2">
      <c r="A205" s="187">
        <v>4511</v>
      </c>
      <c r="B205" s="3592" t="s">
        <v>956</v>
      </c>
      <c r="C205" s="3592"/>
      <c r="D205" s="3592"/>
      <c r="E205" s="3592"/>
      <c r="F205" s="3592"/>
      <c r="G205" s="3592"/>
      <c r="H205" s="3592"/>
      <c r="I205" s="3592"/>
      <c r="J205" s="3593"/>
    </row>
    <row r="206" spans="1:10" ht="12" x14ac:dyDescent="0.2">
      <c r="A206" s="187">
        <v>4512</v>
      </c>
      <c r="B206" s="3592" t="s">
        <v>958</v>
      </c>
      <c r="C206" s="3592"/>
      <c r="D206" s="3592"/>
      <c r="E206" s="3592"/>
      <c r="F206" s="3592"/>
      <c r="G206" s="3592"/>
      <c r="H206" s="3592"/>
      <c r="I206" s="3592"/>
      <c r="J206" s="3593"/>
    </row>
    <row r="207" spans="1:10" ht="12" x14ac:dyDescent="0.2">
      <c r="A207" s="187">
        <v>4521</v>
      </c>
      <c r="B207" s="3592" t="s">
        <v>959</v>
      </c>
      <c r="C207" s="3592"/>
      <c r="D207" s="3592"/>
      <c r="E207" s="3592"/>
      <c r="F207" s="3592"/>
      <c r="G207" s="3592"/>
      <c r="H207" s="3592"/>
      <c r="I207" s="3592"/>
      <c r="J207" s="3593"/>
    </row>
    <row r="208" spans="1:10" ht="12" x14ac:dyDescent="0.2">
      <c r="A208" s="187">
        <v>4522</v>
      </c>
      <c r="B208" s="3592" t="s">
        <v>960</v>
      </c>
      <c r="C208" s="3592"/>
      <c r="D208" s="3592"/>
      <c r="E208" s="3592"/>
      <c r="F208" s="3592"/>
      <c r="G208" s="3592"/>
      <c r="H208" s="3592"/>
      <c r="I208" s="3592"/>
      <c r="J208" s="3593"/>
    </row>
    <row r="209" spans="1:10" ht="12" x14ac:dyDescent="0.2">
      <c r="A209" s="187">
        <v>4530</v>
      </c>
      <c r="B209" s="3592" t="s">
        <v>961</v>
      </c>
      <c r="C209" s="3592"/>
      <c r="D209" s="3592"/>
      <c r="E209" s="3592"/>
      <c r="F209" s="3592"/>
      <c r="G209" s="3592"/>
      <c r="H209" s="3592"/>
      <c r="I209" s="3592"/>
      <c r="J209" s="3593"/>
    </row>
    <row r="210" spans="1:10" ht="12" x14ac:dyDescent="0.2">
      <c r="A210" s="187">
        <v>4541</v>
      </c>
      <c r="B210" s="3592" t="s">
        <v>962</v>
      </c>
      <c r="C210" s="3592"/>
      <c r="D210" s="3592"/>
      <c r="E210" s="3592"/>
      <c r="F210" s="3592"/>
      <c r="G210" s="3592"/>
      <c r="H210" s="3592"/>
      <c r="I210" s="3592"/>
      <c r="J210" s="3593"/>
    </row>
    <row r="211" spans="1:10" ht="12" x14ac:dyDescent="0.2">
      <c r="A211" s="187">
        <v>4542</v>
      </c>
      <c r="B211" s="3592" t="s">
        <v>963</v>
      </c>
      <c r="C211" s="3592"/>
      <c r="D211" s="3592"/>
      <c r="E211" s="3592"/>
      <c r="F211" s="3592"/>
      <c r="G211" s="3592"/>
      <c r="H211" s="3592"/>
      <c r="I211" s="3592"/>
      <c r="J211" s="3593"/>
    </row>
    <row r="212" spans="1:10" ht="12" x14ac:dyDescent="0.2">
      <c r="A212" s="187">
        <v>4543</v>
      </c>
      <c r="B212" s="3592" t="s">
        <v>964</v>
      </c>
      <c r="C212" s="3592"/>
      <c r="D212" s="3592"/>
      <c r="E212" s="3592"/>
      <c r="F212" s="3592"/>
      <c r="G212" s="3592"/>
      <c r="H212" s="3592"/>
      <c r="I212" s="3592"/>
      <c r="J212" s="3593"/>
    </row>
    <row r="213" spans="1:10" ht="12" x14ac:dyDescent="0.2">
      <c r="A213" s="187">
        <v>4549</v>
      </c>
      <c r="B213" s="3592" t="s">
        <v>965</v>
      </c>
      <c r="C213" s="3592"/>
      <c r="D213" s="3592"/>
      <c r="E213" s="3592"/>
      <c r="F213" s="3592"/>
      <c r="G213" s="3592"/>
      <c r="H213" s="3592"/>
      <c r="I213" s="3592"/>
      <c r="J213" s="3593"/>
    </row>
    <row r="214" spans="1:10" ht="12" x14ac:dyDescent="0.2">
      <c r="A214" s="187">
        <v>4551</v>
      </c>
      <c r="B214" s="3592" t="s">
        <v>966</v>
      </c>
      <c r="C214" s="3592"/>
      <c r="D214" s="3592"/>
      <c r="E214" s="3592"/>
      <c r="F214" s="3592"/>
      <c r="G214" s="3592"/>
      <c r="H214" s="3592"/>
      <c r="I214" s="3592"/>
      <c r="J214" s="3593"/>
    </row>
    <row r="215" spans="1:10" ht="12" x14ac:dyDescent="0.2">
      <c r="A215" s="187">
        <v>4552</v>
      </c>
      <c r="B215" s="3592" t="s">
        <v>967</v>
      </c>
      <c r="C215" s="3592"/>
      <c r="D215" s="3592"/>
      <c r="E215" s="3592"/>
      <c r="F215" s="3592"/>
      <c r="G215" s="3592"/>
      <c r="H215" s="3592"/>
      <c r="I215" s="3592"/>
      <c r="J215" s="3593"/>
    </row>
    <row r="216" spans="1:10" ht="12" x14ac:dyDescent="0.2">
      <c r="A216" s="187">
        <v>4559</v>
      </c>
      <c r="B216" s="3592" t="s">
        <v>968</v>
      </c>
      <c r="C216" s="3592"/>
      <c r="D216" s="3592"/>
      <c r="E216" s="3592"/>
      <c r="F216" s="3592"/>
      <c r="G216" s="3592"/>
      <c r="H216" s="3592"/>
      <c r="I216" s="3592"/>
      <c r="J216" s="3593"/>
    </row>
    <row r="217" spans="1:10" ht="12" x14ac:dyDescent="0.2">
      <c r="A217" s="187">
        <v>4560</v>
      </c>
      <c r="B217" s="3592" t="s">
        <v>969</v>
      </c>
      <c r="C217" s="3592"/>
      <c r="D217" s="3592"/>
      <c r="E217" s="3592"/>
      <c r="F217" s="3592"/>
      <c r="G217" s="3592"/>
      <c r="H217" s="3592"/>
      <c r="I217" s="3592"/>
      <c r="J217" s="3593"/>
    </row>
    <row r="218" spans="1:10" ht="12" x14ac:dyDescent="0.2">
      <c r="A218" s="187">
        <v>5011</v>
      </c>
      <c r="B218" s="3592" t="s">
        <v>970</v>
      </c>
      <c r="C218" s="3592"/>
      <c r="D218" s="3592"/>
      <c r="E218" s="3592"/>
      <c r="F218" s="3592"/>
      <c r="G218" s="3592"/>
      <c r="H218" s="3592"/>
      <c r="I218" s="3592"/>
      <c r="J218" s="3593"/>
    </row>
    <row r="219" spans="1:10" ht="12" x14ac:dyDescent="0.2">
      <c r="A219" s="187">
        <v>5012</v>
      </c>
      <c r="B219" s="3592" t="s">
        <v>971</v>
      </c>
      <c r="C219" s="3592"/>
      <c r="D219" s="3592"/>
      <c r="E219" s="3592"/>
      <c r="F219" s="3592"/>
      <c r="G219" s="3592"/>
      <c r="H219" s="3592"/>
      <c r="I219" s="3592"/>
      <c r="J219" s="3593"/>
    </row>
    <row r="220" spans="1:10" ht="12" x14ac:dyDescent="0.2">
      <c r="A220" s="187">
        <v>5020</v>
      </c>
      <c r="B220" s="3592" t="s">
        <v>972</v>
      </c>
      <c r="C220" s="3592"/>
      <c r="D220" s="3592"/>
      <c r="E220" s="3592"/>
      <c r="F220" s="3592"/>
      <c r="G220" s="3592"/>
      <c r="H220" s="3592"/>
      <c r="I220" s="3592"/>
      <c r="J220" s="3593"/>
    </row>
    <row r="221" spans="1:10" ht="12" x14ac:dyDescent="0.2">
      <c r="A221" s="187">
        <v>5030</v>
      </c>
      <c r="B221" s="3592" t="s">
        <v>973</v>
      </c>
      <c r="C221" s="3592"/>
      <c r="D221" s="3592"/>
      <c r="E221" s="3592"/>
      <c r="F221" s="3592"/>
      <c r="G221" s="3592"/>
      <c r="H221" s="3592"/>
      <c r="I221" s="3592"/>
      <c r="J221" s="3593"/>
    </row>
    <row r="222" spans="1:10" ht="12" x14ac:dyDescent="0.2">
      <c r="A222" s="187">
        <v>5040</v>
      </c>
      <c r="B222" s="3592" t="s">
        <v>978</v>
      </c>
      <c r="C222" s="3592"/>
      <c r="D222" s="3592"/>
      <c r="E222" s="3592"/>
      <c r="F222" s="3592"/>
      <c r="G222" s="3592"/>
      <c r="H222" s="3592"/>
      <c r="I222" s="3592"/>
      <c r="J222" s="3593"/>
    </row>
    <row r="223" spans="1:10" ht="12" x14ac:dyDescent="0.2">
      <c r="A223" s="187">
        <v>5051</v>
      </c>
      <c r="B223" s="3592" t="s">
        <v>979</v>
      </c>
      <c r="C223" s="3592"/>
      <c r="D223" s="3592"/>
      <c r="E223" s="3592"/>
      <c r="F223" s="3592"/>
      <c r="G223" s="3592"/>
      <c r="H223" s="3592"/>
      <c r="I223" s="3592"/>
      <c r="J223" s="3593"/>
    </row>
    <row r="224" spans="1:10" ht="12" x14ac:dyDescent="0.2">
      <c r="A224" s="187">
        <v>5052</v>
      </c>
      <c r="B224" s="3592" t="s">
        <v>980</v>
      </c>
      <c r="C224" s="3592"/>
      <c r="D224" s="3592"/>
      <c r="E224" s="3592"/>
      <c r="F224" s="3592"/>
      <c r="G224" s="3592"/>
      <c r="H224" s="3592"/>
      <c r="I224" s="3592"/>
      <c r="J224" s="3593"/>
    </row>
    <row r="225" spans="1:10" ht="12" x14ac:dyDescent="0.2">
      <c r="A225" s="187">
        <v>5111</v>
      </c>
      <c r="B225" s="3592" t="s">
        <v>981</v>
      </c>
      <c r="C225" s="3592"/>
      <c r="D225" s="3592"/>
      <c r="E225" s="3592"/>
      <c r="F225" s="3592"/>
      <c r="G225" s="3592"/>
      <c r="H225" s="3592"/>
      <c r="I225" s="3592"/>
      <c r="J225" s="3593"/>
    </row>
    <row r="226" spans="1:10" ht="12" x14ac:dyDescent="0.2">
      <c r="A226" s="187">
        <v>5112</v>
      </c>
      <c r="B226" s="3592" t="s">
        <v>982</v>
      </c>
      <c r="C226" s="3592"/>
      <c r="D226" s="3592"/>
      <c r="E226" s="3592"/>
      <c r="F226" s="3592"/>
      <c r="G226" s="3592"/>
      <c r="H226" s="3592"/>
      <c r="I226" s="3592"/>
      <c r="J226" s="3593"/>
    </row>
    <row r="227" spans="1:10" ht="12" x14ac:dyDescent="0.2">
      <c r="A227" s="187">
        <v>5113</v>
      </c>
      <c r="B227" s="3592" t="s">
        <v>983</v>
      </c>
      <c r="C227" s="3592"/>
      <c r="D227" s="3592"/>
      <c r="E227" s="3592"/>
      <c r="F227" s="3592"/>
      <c r="G227" s="3592"/>
      <c r="H227" s="3592"/>
      <c r="I227" s="3592"/>
      <c r="J227" s="3593"/>
    </row>
    <row r="228" spans="1:10" ht="12" x14ac:dyDescent="0.2">
      <c r="A228" s="187">
        <v>5119</v>
      </c>
      <c r="B228" s="3592" t="s">
        <v>984</v>
      </c>
      <c r="C228" s="3592"/>
      <c r="D228" s="3592"/>
      <c r="E228" s="3592"/>
      <c r="F228" s="3592"/>
      <c r="G228" s="3592"/>
      <c r="H228" s="3592"/>
      <c r="I228" s="3592"/>
      <c r="J228" s="3593"/>
    </row>
    <row r="229" spans="1:10" ht="12" x14ac:dyDescent="0.2">
      <c r="A229" s="187">
        <v>5121</v>
      </c>
      <c r="B229" s="3592" t="s">
        <v>985</v>
      </c>
      <c r="C229" s="3592"/>
      <c r="D229" s="3592"/>
      <c r="E229" s="3592"/>
      <c r="F229" s="3592"/>
      <c r="G229" s="3592"/>
      <c r="H229" s="3592"/>
      <c r="I229" s="3592"/>
      <c r="J229" s="3593"/>
    </row>
    <row r="230" spans="1:10" ht="12" x14ac:dyDescent="0.2">
      <c r="A230" s="187">
        <v>5122</v>
      </c>
      <c r="B230" s="3592" t="s">
        <v>986</v>
      </c>
      <c r="C230" s="3592"/>
      <c r="D230" s="3592"/>
      <c r="E230" s="3592"/>
      <c r="F230" s="3592"/>
      <c r="G230" s="3592"/>
      <c r="H230" s="3592"/>
      <c r="I230" s="3592"/>
      <c r="J230" s="3593"/>
    </row>
    <row r="231" spans="1:10" ht="12" x14ac:dyDescent="0.2">
      <c r="A231" s="187">
        <v>5123</v>
      </c>
      <c r="B231" s="3592" t="s">
        <v>987</v>
      </c>
      <c r="C231" s="3592"/>
      <c r="D231" s="3592"/>
      <c r="E231" s="3592"/>
      <c r="F231" s="3592"/>
      <c r="G231" s="3592"/>
      <c r="H231" s="3592"/>
      <c r="I231" s="3592"/>
      <c r="J231" s="3593"/>
    </row>
    <row r="232" spans="1:10" ht="12" x14ac:dyDescent="0.2">
      <c r="A232" s="187">
        <v>5124</v>
      </c>
      <c r="B232" s="3592" t="s">
        <v>994</v>
      </c>
      <c r="C232" s="3592"/>
      <c r="D232" s="3592"/>
      <c r="E232" s="3592"/>
      <c r="F232" s="3592"/>
      <c r="G232" s="3592"/>
      <c r="H232" s="3592"/>
      <c r="I232" s="3592"/>
      <c r="J232" s="3593"/>
    </row>
    <row r="233" spans="1:10" ht="12" x14ac:dyDescent="0.2">
      <c r="A233" s="187">
        <v>5125</v>
      </c>
      <c r="B233" s="3592" t="s">
        <v>995</v>
      </c>
      <c r="C233" s="3592"/>
      <c r="D233" s="3592"/>
      <c r="E233" s="3592"/>
      <c r="F233" s="3592"/>
      <c r="G233" s="3592"/>
      <c r="H233" s="3592"/>
      <c r="I233" s="3592"/>
      <c r="J233" s="3593"/>
    </row>
    <row r="234" spans="1:10" ht="12" x14ac:dyDescent="0.2">
      <c r="A234" s="187">
        <v>5126</v>
      </c>
      <c r="B234" s="3592" t="s">
        <v>996</v>
      </c>
      <c r="C234" s="3592"/>
      <c r="D234" s="3592"/>
      <c r="E234" s="3592"/>
      <c r="F234" s="3592"/>
      <c r="G234" s="3592"/>
      <c r="H234" s="3592"/>
      <c r="I234" s="3592"/>
      <c r="J234" s="3593"/>
    </row>
    <row r="235" spans="1:10" ht="12" x14ac:dyDescent="0.2">
      <c r="A235" s="187">
        <v>5127</v>
      </c>
      <c r="B235" s="3592" t="s">
        <v>997</v>
      </c>
      <c r="C235" s="3592"/>
      <c r="D235" s="3592"/>
      <c r="E235" s="3592"/>
      <c r="F235" s="3592"/>
      <c r="G235" s="3592"/>
      <c r="H235" s="3592"/>
      <c r="I235" s="3592"/>
      <c r="J235" s="3593"/>
    </row>
    <row r="236" spans="1:10" ht="12" x14ac:dyDescent="0.2">
      <c r="A236" s="187">
        <v>5131</v>
      </c>
      <c r="B236" s="3592" t="s">
        <v>998</v>
      </c>
      <c r="C236" s="3592"/>
      <c r="D236" s="3592"/>
      <c r="E236" s="3592"/>
      <c r="F236" s="3592"/>
      <c r="G236" s="3592"/>
      <c r="H236" s="3592"/>
      <c r="I236" s="3592"/>
      <c r="J236" s="3593"/>
    </row>
    <row r="237" spans="1:10" ht="12" x14ac:dyDescent="0.2">
      <c r="A237" s="187">
        <v>5132</v>
      </c>
      <c r="B237" s="3592" t="s">
        <v>999</v>
      </c>
      <c r="C237" s="3592"/>
      <c r="D237" s="3592"/>
      <c r="E237" s="3592"/>
      <c r="F237" s="3592"/>
      <c r="G237" s="3592"/>
      <c r="H237" s="3592"/>
      <c r="I237" s="3592"/>
      <c r="J237" s="3593"/>
    </row>
    <row r="238" spans="1:10" ht="12" x14ac:dyDescent="0.2">
      <c r="A238" s="187">
        <v>5133</v>
      </c>
      <c r="B238" s="3592" t="s">
        <v>1000</v>
      </c>
      <c r="C238" s="3592"/>
      <c r="D238" s="3592"/>
      <c r="E238" s="3592"/>
      <c r="F238" s="3592"/>
      <c r="G238" s="3592"/>
      <c r="H238" s="3592"/>
      <c r="I238" s="3592"/>
      <c r="J238" s="3593"/>
    </row>
    <row r="239" spans="1:10" ht="12" x14ac:dyDescent="0.2">
      <c r="A239" s="187">
        <v>5134</v>
      </c>
      <c r="B239" s="3592" t="s">
        <v>1001</v>
      </c>
      <c r="C239" s="3592"/>
      <c r="D239" s="3592"/>
      <c r="E239" s="3592"/>
      <c r="F239" s="3592"/>
      <c r="G239" s="3592"/>
      <c r="H239" s="3592"/>
      <c r="I239" s="3592"/>
      <c r="J239" s="3593"/>
    </row>
    <row r="240" spans="1:10" ht="12" x14ac:dyDescent="0.2">
      <c r="A240" s="187">
        <v>5135</v>
      </c>
      <c r="B240" s="3592" t="s">
        <v>1002</v>
      </c>
      <c r="C240" s="3592"/>
      <c r="D240" s="3592"/>
      <c r="E240" s="3592"/>
      <c r="F240" s="3592"/>
      <c r="G240" s="3592"/>
      <c r="H240" s="3592"/>
      <c r="I240" s="3592"/>
      <c r="J240" s="3593"/>
    </row>
    <row r="241" spans="1:10" ht="12" x14ac:dyDescent="0.2">
      <c r="A241" s="187">
        <v>5136</v>
      </c>
      <c r="B241" s="3592" t="s">
        <v>1003</v>
      </c>
      <c r="C241" s="3592"/>
      <c r="D241" s="3592"/>
      <c r="E241" s="3592"/>
      <c r="F241" s="3592"/>
      <c r="G241" s="3592"/>
      <c r="H241" s="3592"/>
      <c r="I241" s="3592"/>
      <c r="J241" s="3593"/>
    </row>
    <row r="242" spans="1:10" ht="12" x14ac:dyDescent="0.2">
      <c r="A242" s="187">
        <v>5137</v>
      </c>
      <c r="B242" s="3592" t="s">
        <v>1004</v>
      </c>
      <c r="C242" s="3592"/>
      <c r="D242" s="3592"/>
      <c r="E242" s="3592"/>
      <c r="F242" s="3592"/>
      <c r="G242" s="3592"/>
      <c r="H242" s="3592"/>
      <c r="I242" s="3592"/>
      <c r="J242" s="3593"/>
    </row>
    <row r="243" spans="1:10" ht="12" x14ac:dyDescent="0.2">
      <c r="A243" s="187">
        <v>5139</v>
      </c>
      <c r="B243" s="3592" t="s">
        <v>1005</v>
      </c>
      <c r="C243" s="3592"/>
      <c r="D243" s="3592"/>
      <c r="E243" s="3592"/>
      <c r="F243" s="3592"/>
      <c r="G243" s="3592"/>
      <c r="H243" s="3592"/>
      <c r="I243" s="3592"/>
      <c r="J243" s="3593"/>
    </row>
    <row r="244" spans="1:10" ht="12" x14ac:dyDescent="0.2">
      <c r="A244" s="187">
        <v>5141</v>
      </c>
      <c r="B244" s="3592" t="s">
        <v>1006</v>
      </c>
      <c r="C244" s="3592"/>
      <c r="D244" s="3592"/>
      <c r="E244" s="3592"/>
      <c r="F244" s="3592"/>
      <c r="G244" s="3592"/>
      <c r="H244" s="3592"/>
      <c r="I244" s="3592"/>
      <c r="J244" s="3593"/>
    </row>
    <row r="245" spans="1:10" ht="12" x14ac:dyDescent="0.2">
      <c r="A245" s="187">
        <v>5142</v>
      </c>
      <c r="B245" s="3592" t="s">
        <v>1007</v>
      </c>
      <c r="C245" s="3592"/>
      <c r="D245" s="3592"/>
      <c r="E245" s="3592"/>
      <c r="F245" s="3592"/>
      <c r="G245" s="3592"/>
      <c r="H245" s="3592"/>
      <c r="I245" s="3592"/>
      <c r="J245" s="3593"/>
    </row>
    <row r="246" spans="1:10" ht="12" x14ac:dyDescent="0.2">
      <c r="A246" s="187">
        <v>5151</v>
      </c>
      <c r="B246" s="3592" t="s">
        <v>1009</v>
      </c>
      <c r="C246" s="3592"/>
      <c r="D246" s="3592"/>
      <c r="E246" s="3592"/>
      <c r="F246" s="3592"/>
      <c r="G246" s="3592"/>
      <c r="H246" s="3592"/>
      <c r="I246" s="3592"/>
      <c r="J246" s="3593"/>
    </row>
    <row r="247" spans="1:10" ht="12" x14ac:dyDescent="0.2">
      <c r="A247" s="187">
        <v>5152</v>
      </c>
      <c r="B247" s="3592" t="s">
        <v>1010</v>
      </c>
      <c r="C247" s="3592"/>
      <c r="D247" s="3592"/>
      <c r="E247" s="3592"/>
      <c r="F247" s="3592"/>
      <c r="G247" s="3592"/>
      <c r="H247" s="3592"/>
      <c r="I247" s="3592"/>
      <c r="J247" s="3593"/>
    </row>
    <row r="248" spans="1:10" ht="12" x14ac:dyDescent="0.2">
      <c r="A248" s="187">
        <v>5153</v>
      </c>
      <c r="B248" s="3592" t="s">
        <v>1011</v>
      </c>
      <c r="C248" s="3592"/>
      <c r="D248" s="3592"/>
      <c r="E248" s="3592"/>
      <c r="F248" s="3592"/>
      <c r="G248" s="3592"/>
      <c r="H248" s="3592"/>
      <c r="I248" s="3592"/>
      <c r="J248" s="3593"/>
    </row>
    <row r="249" spans="1:10" ht="12" x14ac:dyDescent="0.2">
      <c r="A249" s="187">
        <v>5154</v>
      </c>
      <c r="B249" s="3592" t="s">
        <v>1012</v>
      </c>
      <c r="C249" s="3592"/>
      <c r="D249" s="3592"/>
      <c r="E249" s="3592"/>
      <c r="F249" s="3592"/>
      <c r="G249" s="3592"/>
      <c r="H249" s="3592"/>
      <c r="I249" s="3592"/>
      <c r="J249" s="3593"/>
    </row>
    <row r="250" spans="1:10" ht="12" x14ac:dyDescent="0.2">
      <c r="A250" s="187">
        <v>5155</v>
      </c>
      <c r="B250" s="3592" t="s">
        <v>1013</v>
      </c>
      <c r="C250" s="3592"/>
      <c r="D250" s="3592"/>
      <c r="E250" s="3592"/>
      <c r="F250" s="3592"/>
      <c r="G250" s="3592"/>
      <c r="H250" s="3592"/>
      <c r="I250" s="3592"/>
      <c r="J250" s="3593"/>
    </row>
    <row r="251" spans="1:10" ht="12" x14ac:dyDescent="0.2">
      <c r="A251" s="187">
        <v>5159</v>
      </c>
      <c r="B251" s="3592" t="s">
        <v>1014</v>
      </c>
      <c r="C251" s="3592"/>
      <c r="D251" s="3592"/>
      <c r="E251" s="3592"/>
      <c r="F251" s="3592"/>
      <c r="G251" s="3592"/>
      <c r="H251" s="3592"/>
      <c r="I251" s="3592"/>
      <c r="J251" s="3593"/>
    </row>
    <row r="252" spans="1:10" ht="12" x14ac:dyDescent="0.2">
      <c r="A252" s="187">
        <v>5161</v>
      </c>
      <c r="B252" s="3592" t="s">
        <v>1015</v>
      </c>
      <c r="C252" s="3592"/>
      <c r="D252" s="3592"/>
      <c r="E252" s="3592"/>
      <c r="F252" s="3592"/>
      <c r="G252" s="3592"/>
      <c r="H252" s="3592"/>
      <c r="I252" s="3592"/>
      <c r="J252" s="3593"/>
    </row>
    <row r="253" spans="1:10" ht="12" x14ac:dyDescent="0.2">
      <c r="A253" s="187">
        <v>5162</v>
      </c>
      <c r="B253" s="3592" t="s">
        <v>1016</v>
      </c>
      <c r="C253" s="3592"/>
      <c r="D253" s="3592"/>
      <c r="E253" s="3592"/>
      <c r="F253" s="3592"/>
      <c r="G253" s="3592"/>
      <c r="H253" s="3592"/>
      <c r="I253" s="3592"/>
      <c r="J253" s="3593"/>
    </row>
    <row r="254" spans="1:10" ht="12" x14ac:dyDescent="0.2">
      <c r="A254" s="187">
        <v>5163</v>
      </c>
      <c r="B254" s="3592" t="s">
        <v>1017</v>
      </c>
      <c r="C254" s="3592"/>
      <c r="D254" s="3592"/>
      <c r="E254" s="3592"/>
      <c r="F254" s="3592"/>
      <c r="G254" s="3592"/>
      <c r="H254" s="3592"/>
      <c r="I254" s="3592"/>
      <c r="J254" s="3593"/>
    </row>
    <row r="255" spans="1:10" ht="12" x14ac:dyDescent="0.2">
      <c r="A255" s="187">
        <v>5169</v>
      </c>
      <c r="B255" s="3592" t="s">
        <v>1018</v>
      </c>
      <c r="C255" s="3592"/>
      <c r="D255" s="3592"/>
      <c r="E255" s="3592"/>
      <c r="F255" s="3592"/>
      <c r="G255" s="3592"/>
      <c r="H255" s="3592"/>
      <c r="I255" s="3592"/>
      <c r="J255" s="3593"/>
    </row>
    <row r="256" spans="1:10" ht="12" x14ac:dyDescent="0.2">
      <c r="A256" s="187">
        <v>5170</v>
      </c>
      <c r="B256" s="3592" t="s">
        <v>1019</v>
      </c>
      <c r="C256" s="3592"/>
      <c r="D256" s="3592"/>
      <c r="E256" s="3592"/>
      <c r="F256" s="3592"/>
      <c r="G256" s="3592"/>
      <c r="H256" s="3592"/>
      <c r="I256" s="3592"/>
      <c r="J256" s="3593"/>
    </row>
    <row r="257" spans="1:10" ht="12" x14ac:dyDescent="0.2">
      <c r="A257" s="187">
        <v>5190</v>
      </c>
      <c r="B257" s="3592" t="s">
        <v>1020</v>
      </c>
      <c r="C257" s="3592"/>
      <c r="D257" s="3592"/>
      <c r="E257" s="3592"/>
      <c r="F257" s="3592"/>
      <c r="G257" s="3592"/>
      <c r="H257" s="3592"/>
      <c r="I257" s="3592"/>
      <c r="J257" s="3593"/>
    </row>
    <row r="258" spans="1:10" ht="12" x14ac:dyDescent="0.2">
      <c r="A258" s="187">
        <v>5211</v>
      </c>
      <c r="B258" s="3592" t="s">
        <v>1035</v>
      </c>
      <c r="C258" s="3592"/>
      <c r="D258" s="3592"/>
      <c r="E258" s="3592"/>
      <c r="F258" s="3592"/>
      <c r="G258" s="3592"/>
      <c r="H258" s="3592"/>
      <c r="I258" s="3592"/>
      <c r="J258" s="3593"/>
    </row>
    <row r="259" spans="1:10" ht="12" x14ac:dyDescent="0.2">
      <c r="A259" s="187">
        <v>5219</v>
      </c>
      <c r="B259" s="3592" t="s">
        <v>1036</v>
      </c>
      <c r="C259" s="3592"/>
      <c r="D259" s="3592"/>
      <c r="E259" s="3592"/>
      <c r="F259" s="3592"/>
      <c r="G259" s="3592"/>
      <c r="H259" s="3592"/>
      <c r="I259" s="3592"/>
      <c r="J259" s="3593"/>
    </row>
    <row r="260" spans="1:10" ht="12" x14ac:dyDescent="0.2">
      <c r="A260" s="187">
        <v>5221</v>
      </c>
      <c r="B260" s="3592" t="s">
        <v>1038</v>
      </c>
      <c r="C260" s="3592"/>
      <c r="D260" s="3592"/>
      <c r="E260" s="3592"/>
      <c r="F260" s="3592"/>
      <c r="G260" s="3592"/>
      <c r="H260" s="3592"/>
      <c r="I260" s="3592"/>
      <c r="J260" s="3593"/>
    </row>
    <row r="261" spans="1:10" ht="12" x14ac:dyDescent="0.2">
      <c r="A261" s="187">
        <v>5222</v>
      </c>
      <c r="B261" s="3592" t="s">
        <v>1039</v>
      </c>
      <c r="C261" s="3592"/>
      <c r="D261" s="3592"/>
      <c r="E261" s="3592"/>
      <c r="F261" s="3592"/>
      <c r="G261" s="3592"/>
      <c r="H261" s="3592"/>
      <c r="I261" s="3592"/>
      <c r="J261" s="3593"/>
    </row>
    <row r="262" spans="1:10" ht="12" x14ac:dyDescent="0.2">
      <c r="A262" s="187">
        <v>5223</v>
      </c>
      <c r="B262" s="3592" t="s">
        <v>1060</v>
      </c>
      <c r="C262" s="3592"/>
      <c r="D262" s="3592"/>
      <c r="E262" s="3592"/>
      <c r="F262" s="3592"/>
      <c r="G262" s="3592"/>
      <c r="H262" s="3592"/>
      <c r="I262" s="3592"/>
      <c r="J262" s="3593"/>
    </row>
    <row r="263" spans="1:10" ht="12" x14ac:dyDescent="0.2">
      <c r="A263" s="187">
        <v>5224</v>
      </c>
      <c r="B263" s="3592" t="s">
        <v>1061</v>
      </c>
      <c r="C263" s="3592"/>
      <c r="D263" s="3592"/>
      <c r="E263" s="3592"/>
      <c r="F263" s="3592"/>
      <c r="G263" s="3592"/>
      <c r="H263" s="3592"/>
      <c r="I263" s="3592"/>
      <c r="J263" s="3593"/>
    </row>
    <row r="264" spans="1:10" ht="12" x14ac:dyDescent="0.2">
      <c r="A264" s="187">
        <v>5225</v>
      </c>
      <c r="B264" s="3592" t="s">
        <v>1062</v>
      </c>
      <c r="C264" s="3592"/>
      <c r="D264" s="3592"/>
      <c r="E264" s="3592"/>
      <c r="F264" s="3592"/>
      <c r="G264" s="3592"/>
      <c r="H264" s="3592"/>
      <c r="I264" s="3592"/>
      <c r="J264" s="3593"/>
    </row>
    <row r="265" spans="1:10" ht="12" x14ac:dyDescent="0.2">
      <c r="A265" s="187">
        <v>5229</v>
      </c>
      <c r="B265" s="3592" t="s">
        <v>1063</v>
      </c>
      <c r="C265" s="3592"/>
      <c r="D265" s="3592"/>
      <c r="E265" s="3592"/>
      <c r="F265" s="3592"/>
      <c r="G265" s="3592"/>
      <c r="H265" s="3592"/>
      <c r="I265" s="3592"/>
      <c r="J265" s="3593"/>
    </row>
    <row r="266" spans="1:10" ht="12" x14ac:dyDescent="0.2">
      <c r="A266" s="187">
        <v>5231</v>
      </c>
      <c r="B266" s="3592" t="s">
        <v>1064</v>
      </c>
      <c r="C266" s="3592"/>
      <c r="D266" s="3592"/>
      <c r="E266" s="3592"/>
      <c r="F266" s="3592"/>
      <c r="G266" s="3592"/>
      <c r="H266" s="3592"/>
      <c r="I266" s="3592"/>
      <c r="J266" s="3593"/>
    </row>
    <row r="267" spans="1:10" ht="12" x14ac:dyDescent="0.2">
      <c r="A267" s="187">
        <v>5232</v>
      </c>
      <c r="B267" s="3592" t="s">
        <v>1065</v>
      </c>
      <c r="C267" s="3592"/>
      <c r="D267" s="3592"/>
      <c r="E267" s="3592"/>
      <c r="F267" s="3592"/>
      <c r="G267" s="3592"/>
      <c r="H267" s="3592"/>
      <c r="I267" s="3592"/>
      <c r="J267" s="3593"/>
    </row>
    <row r="268" spans="1:10" ht="12" x14ac:dyDescent="0.2">
      <c r="A268" s="187">
        <v>5233</v>
      </c>
      <c r="B268" s="3592" t="s">
        <v>1066</v>
      </c>
      <c r="C268" s="3592"/>
      <c r="D268" s="3592"/>
      <c r="E268" s="3592"/>
      <c r="F268" s="3592"/>
      <c r="G268" s="3592"/>
      <c r="H268" s="3592"/>
      <c r="I268" s="3592"/>
      <c r="J268" s="3593"/>
    </row>
    <row r="269" spans="1:10" ht="12" x14ac:dyDescent="0.2">
      <c r="A269" s="187">
        <v>5234</v>
      </c>
      <c r="B269" s="3592" t="s">
        <v>1067</v>
      </c>
      <c r="C269" s="3592"/>
      <c r="D269" s="3592"/>
      <c r="E269" s="3592"/>
      <c r="F269" s="3592"/>
      <c r="G269" s="3592"/>
      <c r="H269" s="3592"/>
      <c r="I269" s="3592"/>
      <c r="J269" s="3593"/>
    </row>
    <row r="270" spans="1:10" ht="12" x14ac:dyDescent="0.2">
      <c r="A270" s="187">
        <v>5235</v>
      </c>
      <c r="B270" s="3592" t="s">
        <v>1068</v>
      </c>
      <c r="C270" s="3592"/>
      <c r="D270" s="3592"/>
      <c r="E270" s="3592"/>
      <c r="F270" s="3592"/>
      <c r="G270" s="3592"/>
      <c r="H270" s="3592"/>
      <c r="I270" s="3592"/>
      <c r="J270" s="3593"/>
    </row>
    <row r="271" spans="1:10" ht="12" x14ac:dyDescent="0.2">
      <c r="A271" s="187">
        <v>5236</v>
      </c>
      <c r="B271" s="3592" t="s">
        <v>1069</v>
      </c>
      <c r="C271" s="3592"/>
      <c r="D271" s="3592"/>
      <c r="E271" s="3592"/>
      <c r="F271" s="3592"/>
      <c r="G271" s="3592"/>
      <c r="H271" s="3592"/>
      <c r="I271" s="3592"/>
      <c r="J271" s="3593"/>
    </row>
    <row r="272" spans="1:10" ht="12" x14ac:dyDescent="0.2">
      <c r="A272" s="187">
        <v>5237</v>
      </c>
      <c r="B272" s="3592" t="s">
        <v>1070</v>
      </c>
      <c r="C272" s="3592"/>
      <c r="D272" s="3592"/>
      <c r="E272" s="3592"/>
      <c r="F272" s="3592"/>
      <c r="G272" s="3592"/>
      <c r="H272" s="3592"/>
      <c r="I272" s="3592"/>
      <c r="J272" s="3593"/>
    </row>
    <row r="273" spans="1:10" ht="12" x14ac:dyDescent="0.2">
      <c r="A273" s="187">
        <v>5239</v>
      </c>
      <c r="B273" s="3592" t="s">
        <v>1071</v>
      </c>
      <c r="C273" s="3592"/>
      <c r="D273" s="3592"/>
      <c r="E273" s="3592"/>
      <c r="F273" s="3592"/>
      <c r="G273" s="3592"/>
      <c r="H273" s="3592"/>
      <c r="I273" s="3592"/>
      <c r="J273" s="3593"/>
    </row>
    <row r="274" spans="1:10" ht="12" x14ac:dyDescent="0.2">
      <c r="A274" s="187">
        <v>5241</v>
      </c>
      <c r="B274" s="3592" t="s">
        <v>1072</v>
      </c>
      <c r="C274" s="3592"/>
      <c r="D274" s="3592"/>
      <c r="E274" s="3592"/>
      <c r="F274" s="3592"/>
      <c r="G274" s="3592"/>
      <c r="H274" s="3592"/>
      <c r="I274" s="3592"/>
      <c r="J274" s="3593"/>
    </row>
    <row r="275" spans="1:10" ht="12" x14ac:dyDescent="0.2">
      <c r="A275" s="187">
        <v>5242</v>
      </c>
      <c r="B275" s="3592" t="s">
        <v>1073</v>
      </c>
      <c r="C275" s="3592"/>
      <c r="D275" s="3592"/>
      <c r="E275" s="3592"/>
      <c r="F275" s="3592"/>
      <c r="G275" s="3592"/>
      <c r="H275" s="3592"/>
      <c r="I275" s="3592"/>
      <c r="J275" s="3593"/>
    </row>
    <row r="276" spans="1:10" ht="12" x14ac:dyDescent="0.2">
      <c r="A276" s="187">
        <v>5243</v>
      </c>
      <c r="B276" s="3592" t="s">
        <v>1074</v>
      </c>
      <c r="C276" s="3592"/>
      <c r="D276" s="3592"/>
      <c r="E276" s="3592"/>
      <c r="F276" s="3592"/>
      <c r="G276" s="3592"/>
      <c r="H276" s="3592"/>
      <c r="I276" s="3592"/>
      <c r="J276" s="3593"/>
    </row>
    <row r="277" spans="1:10" ht="12" x14ac:dyDescent="0.2">
      <c r="A277" s="187">
        <v>5244</v>
      </c>
      <c r="B277" s="3592" t="s">
        <v>1075</v>
      </c>
      <c r="C277" s="3592"/>
      <c r="D277" s="3592"/>
      <c r="E277" s="3592"/>
      <c r="F277" s="3592"/>
      <c r="G277" s="3592"/>
      <c r="H277" s="3592"/>
      <c r="I277" s="3592"/>
      <c r="J277" s="3593"/>
    </row>
    <row r="278" spans="1:10" ht="12" x14ac:dyDescent="0.2">
      <c r="A278" s="187">
        <v>5245</v>
      </c>
      <c r="B278" s="3592" t="s">
        <v>1076</v>
      </c>
      <c r="C278" s="3592"/>
      <c r="D278" s="3592"/>
      <c r="E278" s="3592"/>
      <c r="F278" s="3592"/>
      <c r="G278" s="3592"/>
      <c r="H278" s="3592"/>
      <c r="I278" s="3592"/>
      <c r="J278" s="3593"/>
    </row>
    <row r="279" spans="1:10" ht="12" x14ac:dyDescent="0.2">
      <c r="A279" s="187">
        <v>5246</v>
      </c>
      <c r="B279" s="3592" t="s">
        <v>1077</v>
      </c>
      <c r="C279" s="3592"/>
      <c r="D279" s="3592"/>
      <c r="E279" s="3592"/>
      <c r="F279" s="3592"/>
      <c r="G279" s="3592"/>
      <c r="H279" s="3592"/>
      <c r="I279" s="3592"/>
      <c r="J279" s="3593"/>
    </row>
    <row r="280" spans="1:10" ht="12" x14ac:dyDescent="0.2">
      <c r="A280" s="187">
        <v>5249</v>
      </c>
      <c r="B280" s="3592" t="s">
        <v>1078</v>
      </c>
      <c r="C280" s="3592"/>
      <c r="D280" s="3592"/>
      <c r="E280" s="3592"/>
      <c r="F280" s="3592"/>
      <c r="G280" s="3592"/>
      <c r="H280" s="3592"/>
      <c r="I280" s="3592"/>
      <c r="J280" s="3593"/>
    </row>
    <row r="281" spans="1:10" ht="12" x14ac:dyDescent="0.2">
      <c r="A281" s="187">
        <v>5251</v>
      </c>
      <c r="B281" s="3592" t="s">
        <v>1079</v>
      </c>
      <c r="C281" s="3592"/>
      <c r="D281" s="3592"/>
      <c r="E281" s="3592"/>
      <c r="F281" s="3592"/>
      <c r="G281" s="3592"/>
      <c r="H281" s="3592"/>
      <c r="I281" s="3592"/>
      <c r="J281" s="3593"/>
    </row>
    <row r="282" spans="1:10" ht="12" x14ac:dyDescent="0.2">
      <c r="A282" s="187">
        <v>5252</v>
      </c>
      <c r="B282" s="3592" t="s">
        <v>1080</v>
      </c>
      <c r="C282" s="3592"/>
      <c r="D282" s="3592"/>
      <c r="E282" s="3592"/>
      <c r="F282" s="3592"/>
      <c r="G282" s="3592"/>
      <c r="H282" s="3592"/>
      <c r="I282" s="3592"/>
      <c r="J282" s="3593"/>
    </row>
    <row r="283" spans="1:10" ht="12" x14ac:dyDescent="0.2">
      <c r="A283" s="187">
        <v>5261</v>
      </c>
      <c r="B283" s="3592" t="s">
        <v>1081</v>
      </c>
      <c r="C283" s="3592"/>
      <c r="D283" s="3592"/>
      <c r="E283" s="3592"/>
      <c r="F283" s="3592"/>
      <c r="G283" s="3592"/>
      <c r="H283" s="3592"/>
      <c r="I283" s="3592"/>
      <c r="J283" s="3593"/>
    </row>
    <row r="284" spans="1:10" ht="12" x14ac:dyDescent="0.2">
      <c r="A284" s="187">
        <v>5262</v>
      </c>
      <c r="B284" s="3592" t="s">
        <v>1082</v>
      </c>
      <c r="C284" s="3592"/>
      <c r="D284" s="3592"/>
      <c r="E284" s="3592"/>
      <c r="F284" s="3592"/>
      <c r="G284" s="3592"/>
      <c r="H284" s="3592"/>
      <c r="I284" s="3592"/>
      <c r="J284" s="3593"/>
    </row>
    <row r="285" spans="1:10" ht="12" x14ac:dyDescent="0.2">
      <c r="A285" s="187">
        <v>5269</v>
      </c>
      <c r="B285" s="3592" t="s">
        <v>1083</v>
      </c>
      <c r="C285" s="3592"/>
      <c r="D285" s="3592"/>
      <c r="E285" s="3592"/>
      <c r="F285" s="3592"/>
      <c r="G285" s="3592"/>
      <c r="H285" s="3592"/>
      <c r="I285" s="3592"/>
      <c r="J285" s="3593"/>
    </row>
    <row r="286" spans="1:10" ht="12" x14ac:dyDescent="0.2">
      <c r="A286" s="187">
        <v>5271</v>
      </c>
      <c r="B286" s="3592" t="s">
        <v>1200</v>
      </c>
      <c r="C286" s="3592"/>
      <c r="D286" s="3592"/>
      <c r="E286" s="3592"/>
      <c r="F286" s="3592"/>
      <c r="G286" s="3592"/>
      <c r="H286" s="3592"/>
      <c r="I286" s="3592"/>
      <c r="J286" s="3593"/>
    </row>
    <row r="287" spans="1:10" ht="12" x14ac:dyDescent="0.2">
      <c r="A287" s="187">
        <v>5272</v>
      </c>
      <c r="B287" s="3592" t="s">
        <v>1201</v>
      </c>
      <c r="C287" s="3592"/>
      <c r="D287" s="3592"/>
      <c r="E287" s="3592"/>
      <c r="F287" s="3592"/>
      <c r="G287" s="3592"/>
      <c r="H287" s="3592"/>
      <c r="I287" s="3592"/>
      <c r="J287" s="3593"/>
    </row>
    <row r="288" spans="1:10" ht="12" x14ac:dyDescent="0.2">
      <c r="A288" s="187">
        <v>5511</v>
      </c>
      <c r="B288" s="3592" t="s">
        <v>1202</v>
      </c>
      <c r="C288" s="3592"/>
      <c r="D288" s="3592"/>
      <c r="E288" s="3592"/>
      <c r="F288" s="3592"/>
      <c r="G288" s="3592"/>
      <c r="H288" s="3592"/>
      <c r="I288" s="3592"/>
      <c r="J288" s="3593"/>
    </row>
    <row r="289" spans="1:10" ht="12" x14ac:dyDescent="0.2">
      <c r="A289" s="187">
        <v>5512</v>
      </c>
      <c r="B289" s="3592" t="s">
        <v>1203</v>
      </c>
      <c r="C289" s="3592"/>
      <c r="D289" s="3592"/>
      <c r="E289" s="3592"/>
      <c r="F289" s="3592"/>
      <c r="G289" s="3592"/>
      <c r="H289" s="3592"/>
      <c r="I289" s="3592"/>
      <c r="J289" s="3593"/>
    </row>
    <row r="290" spans="1:10" ht="12" x14ac:dyDescent="0.2">
      <c r="A290" s="187">
        <v>5513</v>
      </c>
      <c r="B290" s="3592" t="s">
        <v>1204</v>
      </c>
      <c r="C290" s="3592"/>
      <c r="D290" s="3592"/>
      <c r="E290" s="3592"/>
      <c r="F290" s="3592"/>
      <c r="G290" s="3592"/>
      <c r="H290" s="3592"/>
      <c r="I290" s="3592"/>
      <c r="J290" s="3593"/>
    </row>
    <row r="291" spans="1:10" ht="12" x14ac:dyDescent="0.2">
      <c r="A291" s="187">
        <v>5519</v>
      </c>
      <c r="B291" s="3592" t="s">
        <v>1205</v>
      </c>
      <c r="C291" s="3592"/>
      <c r="D291" s="3592"/>
      <c r="E291" s="3592"/>
      <c r="F291" s="3592"/>
      <c r="G291" s="3592"/>
      <c r="H291" s="3592"/>
      <c r="I291" s="3592"/>
      <c r="J291" s="3593"/>
    </row>
    <row r="292" spans="1:10" ht="12" x14ac:dyDescent="0.2">
      <c r="A292" s="187">
        <v>5521</v>
      </c>
      <c r="B292" s="3592" t="s">
        <v>1206</v>
      </c>
      <c r="C292" s="3592"/>
      <c r="D292" s="3592"/>
      <c r="E292" s="3592"/>
      <c r="F292" s="3592"/>
      <c r="G292" s="3592"/>
      <c r="H292" s="3592"/>
      <c r="I292" s="3592"/>
      <c r="J292" s="3593"/>
    </row>
    <row r="293" spans="1:10" ht="12" x14ac:dyDescent="0.2">
      <c r="A293" s="187">
        <v>5522</v>
      </c>
      <c r="B293" s="3592" t="s">
        <v>1207</v>
      </c>
      <c r="C293" s="3592"/>
      <c r="D293" s="3592"/>
      <c r="E293" s="3592"/>
      <c r="F293" s="3592"/>
      <c r="G293" s="3592"/>
      <c r="H293" s="3592"/>
      <c r="I293" s="3592"/>
      <c r="J293" s="3593"/>
    </row>
    <row r="294" spans="1:10" ht="12" x14ac:dyDescent="0.2">
      <c r="A294" s="187">
        <v>5523</v>
      </c>
      <c r="B294" s="3592" t="s">
        <v>1208</v>
      </c>
      <c r="C294" s="3592"/>
      <c r="D294" s="3592"/>
      <c r="E294" s="3592"/>
      <c r="F294" s="3592"/>
      <c r="G294" s="3592"/>
      <c r="H294" s="3592"/>
      <c r="I294" s="3592"/>
      <c r="J294" s="3593"/>
    </row>
    <row r="295" spans="1:10" ht="12" x14ac:dyDescent="0.2">
      <c r="A295" s="187">
        <v>5524</v>
      </c>
      <c r="B295" s="3592" t="s">
        <v>1209</v>
      </c>
      <c r="C295" s="3592"/>
      <c r="D295" s="3592"/>
      <c r="E295" s="3592"/>
      <c r="F295" s="3592"/>
      <c r="G295" s="3592"/>
      <c r="H295" s="3592"/>
      <c r="I295" s="3592"/>
      <c r="J295" s="3593"/>
    </row>
    <row r="296" spans="1:10" ht="12" x14ac:dyDescent="0.2">
      <c r="A296" s="187">
        <v>5529</v>
      </c>
      <c r="B296" s="3592" t="s">
        <v>1210</v>
      </c>
      <c r="C296" s="3592"/>
      <c r="D296" s="3592"/>
      <c r="E296" s="3592"/>
      <c r="F296" s="3592"/>
      <c r="G296" s="3592"/>
      <c r="H296" s="3592"/>
      <c r="I296" s="3592"/>
      <c r="J296" s="3593"/>
    </row>
    <row r="297" spans="1:10" ht="12" x14ac:dyDescent="0.2">
      <c r="A297" s="187">
        <v>5530</v>
      </c>
      <c r="B297" s="3592" t="s">
        <v>1211</v>
      </c>
      <c r="C297" s="3592"/>
      <c r="D297" s="3592"/>
      <c r="E297" s="3592"/>
      <c r="F297" s="3592"/>
      <c r="G297" s="3592"/>
      <c r="H297" s="3592"/>
      <c r="I297" s="3592"/>
      <c r="J297" s="3593"/>
    </row>
    <row r="298" spans="1:10" ht="12" x14ac:dyDescent="0.2">
      <c r="A298" s="187">
        <v>6010</v>
      </c>
      <c r="B298" s="3592" t="s">
        <v>1212</v>
      </c>
      <c r="C298" s="3592"/>
      <c r="D298" s="3592"/>
      <c r="E298" s="3592"/>
      <c r="F298" s="3592"/>
      <c r="G298" s="3592"/>
      <c r="H298" s="3592"/>
      <c r="I298" s="3592"/>
      <c r="J298" s="3593"/>
    </row>
    <row r="299" spans="1:10" ht="12" x14ac:dyDescent="0.2">
      <c r="A299" s="187">
        <v>6021</v>
      </c>
      <c r="B299" s="3592" t="s">
        <v>1213</v>
      </c>
      <c r="C299" s="3592"/>
      <c r="D299" s="3592"/>
      <c r="E299" s="3592"/>
      <c r="F299" s="3592"/>
      <c r="G299" s="3592"/>
      <c r="H299" s="3592"/>
      <c r="I299" s="3592"/>
      <c r="J299" s="3593"/>
    </row>
    <row r="300" spans="1:10" ht="12" x14ac:dyDescent="0.2">
      <c r="A300" s="187">
        <v>6022</v>
      </c>
      <c r="B300" s="3592" t="s">
        <v>1214</v>
      </c>
      <c r="C300" s="3592"/>
      <c r="D300" s="3592"/>
      <c r="E300" s="3592"/>
      <c r="F300" s="3592"/>
      <c r="G300" s="3592"/>
      <c r="H300" s="3592"/>
      <c r="I300" s="3592"/>
      <c r="J300" s="3593"/>
    </row>
    <row r="301" spans="1:10" ht="12" x14ac:dyDescent="0.2">
      <c r="A301" s="187">
        <v>6023</v>
      </c>
      <c r="B301" s="3592" t="s">
        <v>1215</v>
      </c>
      <c r="C301" s="3592"/>
      <c r="D301" s="3592"/>
      <c r="E301" s="3592"/>
      <c r="F301" s="3592"/>
      <c r="G301" s="3592"/>
      <c r="H301" s="3592"/>
      <c r="I301" s="3592"/>
      <c r="J301" s="3593"/>
    </row>
    <row r="302" spans="1:10" ht="12" x14ac:dyDescent="0.2">
      <c r="A302" s="187">
        <v>6031</v>
      </c>
      <c r="B302" s="3592" t="s">
        <v>1216</v>
      </c>
      <c r="C302" s="3592"/>
      <c r="D302" s="3592"/>
      <c r="E302" s="3592"/>
      <c r="F302" s="3592"/>
      <c r="G302" s="3592"/>
      <c r="H302" s="3592"/>
      <c r="I302" s="3592"/>
      <c r="J302" s="3593"/>
    </row>
    <row r="303" spans="1:10" ht="12" x14ac:dyDescent="0.2">
      <c r="A303" s="187">
        <v>6032</v>
      </c>
      <c r="B303" s="3592" t="s">
        <v>1217</v>
      </c>
      <c r="C303" s="3592"/>
      <c r="D303" s="3592"/>
      <c r="E303" s="3592"/>
      <c r="F303" s="3592"/>
      <c r="G303" s="3592"/>
      <c r="H303" s="3592"/>
      <c r="I303" s="3592"/>
      <c r="J303" s="3593"/>
    </row>
    <row r="304" spans="1:10" ht="12" x14ac:dyDescent="0.2">
      <c r="A304" s="187">
        <v>6039</v>
      </c>
      <c r="B304" s="3592" t="s">
        <v>1218</v>
      </c>
      <c r="C304" s="3592"/>
      <c r="D304" s="3592"/>
      <c r="E304" s="3592"/>
      <c r="F304" s="3592"/>
      <c r="G304" s="3592"/>
      <c r="H304" s="3592"/>
      <c r="I304" s="3592"/>
      <c r="J304" s="3593"/>
    </row>
    <row r="305" spans="1:10" ht="12" x14ac:dyDescent="0.2">
      <c r="A305" s="187">
        <v>6041</v>
      </c>
      <c r="B305" s="3592" t="s">
        <v>1219</v>
      </c>
      <c r="C305" s="3592"/>
      <c r="D305" s="3592"/>
      <c r="E305" s="3592"/>
      <c r="F305" s="3592"/>
      <c r="G305" s="3592"/>
      <c r="H305" s="3592"/>
      <c r="I305" s="3592"/>
      <c r="J305" s="3593"/>
    </row>
    <row r="306" spans="1:10" ht="12" x14ac:dyDescent="0.2">
      <c r="A306" s="187">
        <v>6042</v>
      </c>
      <c r="B306" s="3592" t="s">
        <v>1220</v>
      </c>
      <c r="C306" s="3592"/>
      <c r="D306" s="3592"/>
      <c r="E306" s="3592"/>
      <c r="F306" s="3592"/>
      <c r="G306" s="3592"/>
      <c r="H306" s="3592"/>
      <c r="I306" s="3592"/>
      <c r="J306" s="3593"/>
    </row>
    <row r="307" spans="1:10" ht="12" x14ac:dyDescent="0.2">
      <c r="A307" s="187">
        <v>6043</v>
      </c>
      <c r="B307" s="3592" t="s">
        <v>1221</v>
      </c>
      <c r="C307" s="3592"/>
      <c r="D307" s="3592"/>
      <c r="E307" s="3592"/>
      <c r="F307" s="3592"/>
      <c r="G307" s="3592"/>
      <c r="H307" s="3592"/>
      <c r="I307" s="3592"/>
      <c r="J307" s="3593"/>
    </row>
    <row r="308" spans="1:10" ht="12" x14ac:dyDescent="0.2">
      <c r="A308" s="187">
        <v>6044</v>
      </c>
      <c r="B308" s="3592" t="s">
        <v>1222</v>
      </c>
      <c r="C308" s="3592"/>
      <c r="D308" s="3592"/>
      <c r="E308" s="3592"/>
      <c r="F308" s="3592"/>
      <c r="G308" s="3592"/>
      <c r="H308" s="3592"/>
      <c r="I308" s="3592"/>
      <c r="J308" s="3593"/>
    </row>
    <row r="309" spans="1:10" ht="12" x14ac:dyDescent="0.2">
      <c r="A309" s="187">
        <v>6050</v>
      </c>
      <c r="B309" s="3592" t="s">
        <v>1223</v>
      </c>
      <c r="C309" s="3592"/>
      <c r="D309" s="3592"/>
      <c r="E309" s="3592"/>
      <c r="F309" s="3592"/>
      <c r="G309" s="3592"/>
      <c r="H309" s="3592"/>
      <c r="I309" s="3592"/>
      <c r="J309" s="3593"/>
    </row>
    <row r="310" spans="1:10" ht="12" x14ac:dyDescent="0.2">
      <c r="A310" s="187">
        <v>6111</v>
      </c>
      <c r="B310" s="3592" t="s">
        <v>1224</v>
      </c>
      <c r="C310" s="3592"/>
      <c r="D310" s="3592"/>
      <c r="E310" s="3592"/>
      <c r="F310" s="3592"/>
      <c r="G310" s="3592"/>
      <c r="H310" s="3592"/>
      <c r="I310" s="3592"/>
      <c r="J310" s="3593"/>
    </row>
    <row r="311" spans="1:10" ht="12" x14ac:dyDescent="0.2">
      <c r="A311" s="187">
        <v>6112</v>
      </c>
      <c r="B311" s="3592" t="s">
        <v>1225</v>
      </c>
      <c r="C311" s="3592"/>
      <c r="D311" s="3592"/>
      <c r="E311" s="3592"/>
      <c r="F311" s="3592"/>
      <c r="G311" s="3592"/>
      <c r="H311" s="3592"/>
      <c r="I311" s="3592"/>
      <c r="J311" s="3593"/>
    </row>
    <row r="312" spans="1:10" ht="12" x14ac:dyDescent="0.2">
      <c r="A312" s="187">
        <v>6120</v>
      </c>
      <c r="B312" s="3592" t="s">
        <v>1226</v>
      </c>
      <c r="C312" s="3592"/>
      <c r="D312" s="3592"/>
      <c r="E312" s="3592"/>
      <c r="F312" s="3592"/>
      <c r="G312" s="3592"/>
      <c r="H312" s="3592"/>
      <c r="I312" s="3592"/>
      <c r="J312" s="3593"/>
    </row>
    <row r="313" spans="1:10" ht="12" x14ac:dyDescent="0.2">
      <c r="A313" s="187">
        <v>6211</v>
      </c>
      <c r="B313" s="3592" t="s">
        <v>1227</v>
      </c>
      <c r="C313" s="3592"/>
      <c r="D313" s="3592"/>
      <c r="E313" s="3592"/>
      <c r="F313" s="3592"/>
      <c r="G313" s="3592"/>
      <c r="H313" s="3592"/>
      <c r="I313" s="3592"/>
      <c r="J313" s="3593"/>
    </row>
    <row r="314" spans="1:10" ht="12" x14ac:dyDescent="0.2">
      <c r="A314" s="187">
        <v>6212</v>
      </c>
      <c r="B314" s="3592" t="s">
        <v>1228</v>
      </c>
      <c r="C314" s="3592"/>
      <c r="D314" s="3592"/>
      <c r="E314" s="3592"/>
      <c r="F314" s="3592"/>
      <c r="G314" s="3592"/>
      <c r="H314" s="3592"/>
      <c r="I314" s="3592"/>
      <c r="J314" s="3593"/>
    </row>
    <row r="315" spans="1:10" ht="12" x14ac:dyDescent="0.2">
      <c r="A315" s="187">
        <v>6213</v>
      </c>
      <c r="B315" s="3592" t="s">
        <v>1229</v>
      </c>
      <c r="C315" s="3592"/>
      <c r="D315" s="3592"/>
      <c r="E315" s="3592"/>
      <c r="F315" s="3592"/>
      <c r="G315" s="3592"/>
      <c r="H315" s="3592"/>
      <c r="I315" s="3592"/>
      <c r="J315" s="3593"/>
    </row>
    <row r="316" spans="1:10" ht="12" x14ac:dyDescent="0.2">
      <c r="A316" s="187">
        <v>6214</v>
      </c>
      <c r="B316" s="3592" t="s">
        <v>1230</v>
      </c>
      <c r="C316" s="3592"/>
      <c r="D316" s="3592"/>
      <c r="E316" s="3592"/>
      <c r="F316" s="3592"/>
      <c r="G316" s="3592"/>
      <c r="H316" s="3592"/>
      <c r="I316" s="3592"/>
      <c r="J316" s="3593"/>
    </row>
    <row r="317" spans="1:10" ht="12" x14ac:dyDescent="0.2">
      <c r="A317" s="187">
        <v>6220</v>
      </c>
      <c r="B317" s="3592" t="s">
        <v>1231</v>
      </c>
      <c r="C317" s="3592"/>
      <c r="D317" s="3592"/>
      <c r="E317" s="3592"/>
      <c r="F317" s="3592"/>
      <c r="G317" s="3592"/>
      <c r="H317" s="3592"/>
      <c r="I317" s="3592"/>
      <c r="J317" s="3593"/>
    </row>
    <row r="318" spans="1:10" ht="12" x14ac:dyDescent="0.2">
      <c r="A318" s="187">
        <v>6310</v>
      </c>
      <c r="B318" s="3592" t="s">
        <v>1232</v>
      </c>
      <c r="C318" s="3592"/>
      <c r="D318" s="3592"/>
      <c r="E318" s="3592"/>
      <c r="F318" s="3592"/>
      <c r="G318" s="3592"/>
      <c r="H318" s="3592"/>
      <c r="I318" s="3592"/>
      <c r="J318" s="3593"/>
    </row>
    <row r="319" spans="1:10" ht="12" x14ac:dyDescent="0.2">
      <c r="A319" s="187">
        <v>6320</v>
      </c>
      <c r="B319" s="3592" t="s">
        <v>1233</v>
      </c>
      <c r="C319" s="3592"/>
      <c r="D319" s="3592"/>
      <c r="E319" s="3592"/>
      <c r="F319" s="3592"/>
      <c r="G319" s="3592"/>
      <c r="H319" s="3592"/>
      <c r="I319" s="3592"/>
      <c r="J319" s="3593"/>
    </row>
    <row r="320" spans="1:10" ht="12" x14ac:dyDescent="0.2">
      <c r="A320" s="187">
        <v>6331</v>
      </c>
      <c r="B320" s="3592" t="s">
        <v>1234</v>
      </c>
      <c r="C320" s="3592"/>
      <c r="D320" s="3592"/>
      <c r="E320" s="3592"/>
      <c r="F320" s="3592"/>
      <c r="G320" s="3592"/>
      <c r="H320" s="3592"/>
      <c r="I320" s="3592"/>
      <c r="J320" s="3593"/>
    </row>
    <row r="321" spans="1:10" ht="12" x14ac:dyDescent="0.2">
      <c r="A321" s="187">
        <v>6332</v>
      </c>
      <c r="B321" s="3592" t="s">
        <v>1235</v>
      </c>
      <c r="C321" s="3592"/>
      <c r="D321" s="3592"/>
      <c r="E321" s="3592"/>
      <c r="F321" s="3592"/>
      <c r="G321" s="3592"/>
      <c r="H321" s="3592"/>
      <c r="I321" s="3592"/>
      <c r="J321" s="3593"/>
    </row>
    <row r="322" spans="1:10" ht="12" x14ac:dyDescent="0.2">
      <c r="A322" s="187">
        <v>6333</v>
      </c>
      <c r="B322" s="3592" t="s">
        <v>1236</v>
      </c>
      <c r="C322" s="3592"/>
      <c r="D322" s="3592"/>
      <c r="E322" s="3592"/>
      <c r="F322" s="3592"/>
      <c r="G322" s="3592"/>
      <c r="H322" s="3592"/>
      <c r="I322" s="3592"/>
      <c r="J322" s="3593"/>
    </row>
    <row r="323" spans="1:10" ht="12" x14ac:dyDescent="0.2">
      <c r="A323" s="187">
        <v>6339</v>
      </c>
      <c r="B323" s="3592" t="s">
        <v>1237</v>
      </c>
      <c r="C323" s="3592"/>
      <c r="D323" s="3592"/>
      <c r="E323" s="3592"/>
      <c r="F323" s="3592"/>
      <c r="G323" s="3592"/>
      <c r="H323" s="3592"/>
      <c r="I323" s="3592"/>
      <c r="J323" s="3593"/>
    </row>
    <row r="324" spans="1:10" ht="12" x14ac:dyDescent="0.2">
      <c r="A324" s="187">
        <v>6340</v>
      </c>
      <c r="B324" s="3592" t="s">
        <v>1238</v>
      </c>
      <c r="C324" s="3592"/>
      <c r="D324" s="3592"/>
      <c r="E324" s="3592"/>
      <c r="F324" s="3592"/>
      <c r="G324" s="3592"/>
      <c r="H324" s="3592"/>
      <c r="I324" s="3592"/>
      <c r="J324" s="3593"/>
    </row>
    <row r="325" spans="1:10" ht="12" x14ac:dyDescent="0.2">
      <c r="A325" s="187">
        <v>6390</v>
      </c>
      <c r="B325" s="3592" t="s">
        <v>1239</v>
      </c>
      <c r="C325" s="3592"/>
      <c r="D325" s="3592"/>
      <c r="E325" s="3592"/>
      <c r="F325" s="3592"/>
      <c r="G325" s="3592"/>
      <c r="H325" s="3592"/>
      <c r="I325" s="3592"/>
      <c r="J325" s="3593"/>
    </row>
    <row r="326" spans="1:10" ht="12" x14ac:dyDescent="0.2">
      <c r="A326" s="187">
        <v>6411</v>
      </c>
      <c r="B326" s="3592" t="s">
        <v>1240</v>
      </c>
      <c r="C326" s="3592"/>
      <c r="D326" s="3592"/>
      <c r="E326" s="3592"/>
      <c r="F326" s="3592"/>
      <c r="G326" s="3592"/>
      <c r="H326" s="3592"/>
      <c r="I326" s="3592"/>
      <c r="J326" s="3593"/>
    </row>
    <row r="327" spans="1:10" ht="12" x14ac:dyDescent="0.2">
      <c r="A327" s="187">
        <v>6412</v>
      </c>
      <c r="B327" s="3592" t="s">
        <v>1241</v>
      </c>
      <c r="C327" s="3592"/>
      <c r="D327" s="3592"/>
      <c r="E327" s="3592"/>
      <c r="F327" s="3592"/>
      <c r="G327" s="3592"/>
      <c r="H327" s="3592"/>
      <c r="I327" s="3592"/>
      <c r="J327" s="3593"/>
    </row>
    <row r="328" spans="1:10" ht="12" x14ac:dyDescent="0.2">
      <c r="A328" s="187">
        <v>6421</v>
      </c>
      <c r="B328" s="3592" t="s">
        <v>1242</v>
      </c>
      <c r="C328" s="3592"/>
      <c r="D328" s="3592"/>
      <c r="E328" s="3592"/>
      <c r="F328" s="3592"/>
      <c r="G328" s="3592"/>
      <c r="H328" s="3592"/>
      <c r="I328" s="3592"/>
      <c r="J328" s="3593"/>
    </row>
    <row r="329" spans="1:10" ht="12" x14ac:dyDescent="0.2">
      <c r="A329" s="187">
        <v>6422</v>
      </c>
      <c r="B329" s="3592" t="s">
        <v>1243</v>
      </c>
      <c r="C329" s="3592"/>
      <c r="D329" s="3592"/>
      <c r="E329" s="3592"/>
      <c r="F329" s="3592"/>
      <c r="G329" s="3592"/>
      <c r="H329" s="3592"/>
      <c r="I329" s="3592"/>
      <c r="J329" s="3593"/>
    </row>
    <row r="330" spans="1:10" ht="12" x14ac:dyDescent="0.2">
      <c r="A330" s="187">
        <v>6423</v>
      </c>
      <c r="B330" s="3592" t="s">
        <v>1244</v>
      </c>
      <c r="C330" s="3592"/>
      <c r="D330" s="3592"/>
      <c r="E330" s="3592"/>
      <c r="F330" s="3592"/>
      <c r="G330" s="3592"/>
      <c r="H330" s="3592"/>
      <c r="I330" s="3592"/>
      <c r="J330" s="3593"/>
    </row>
    <row r="331" spans="1:10" ht="12" x14ac:dyDescent="0.2">
      <c r="A331" s="187">
        <v>6424</v>
      </c>
      <c r="B331" s="3592" t="s">
        <v>1245</v>
      </c>
      <c r="C331" s="3592"/>
      <c r="D331" s="3592"/>
      <c r="E331" s="3592"/>
      <c r="F331" s="3592"/>
      <c r="G331" s="3592"/>
      <c r="H331" s="3592"/>
      <c r="I331" s="3592"/>
      <c r="J331" s="3593"/>
    </row>
    <row r="332" spans="1:10" ht="12" x14ac:dyDescent="0.2">
      <c r="A332" s="187">
        <v>6425</v>
      </c>
      <c r="B332" s="3592" t="s">
        <v>1246</v>
      </c>
      <c r="C332" s="3592"/>
      <c r="D332" s="3592"/>
      <c r="E332" s="3592"/>
      <c r="F332" s="3592"/>
      <c r="G332" s="3592"/>
      <c r="H332" s="3592"/>
      <c r="I332" s="3592"/>
      <c r="J332" s="3593"/>
    </row>
    <row r="333" spans="1:10" ht="12" x14ac:dyDescent="0.2">
      <c r="A333" s="187">
        <v>6426</v>
      </c>
      <c r="B333" s="3592" t="s">
        <v>1247</v>
      </c>
      <c r="C333" s="3592"/>
      <c r="D333" s="3592"/>
      <c r="E333" s="3592"/>
      <c r="F333" s="3592"/>
      <c r="G333" s="3592"/>
      <c r="H333" s="3592"/>
      <c r="I333" s="3592"/>
      <c r="J333" s="3593"/>
    </row>
    <row r="334" spans="1:10" ht="12" x14ac:dyDescent="0.2">
      <c r="A334" s="187">
        <v>6511</v>
      </c>
      <c r="B334" s="3592" t="s">
        <v>1248</v>
      </c>
      <c r="C334" s="3592"/>
      <c r="D334" s="3592"/>
      <c r="E334" s="3592"/>
      <c r="F334" s="3592"/>
      <c r="G334" s="3592"/>
      <c r="H334" s="3592"/>
      <c r="I334" s="3592"/>
      <c r="J334" s="3593"/>
    </row>
    <row r="335" spans="1:10" ht="12" x14ac:dyDescent="0.2">
      <c r="A335" s="187">
        <v>6512</v>
      </c>
      <c r="B335" s="3592" t="s">
        <v>1249</v>
      </c>
      <c r="C335" s="3592"/>
      <c r="D335" s="3592"/>
      <c r="E335" s="3592"/>
      <c r="F335" s="3592"/>
      <c r="G335" s="3592"/>
      <c r="H335" s="3592"/>
      <c r="I335" s="3592"/>
      <c r="J335" s="3593"/>
    </row>
    <row r="336" spans="1:10" ht="12" x14ac:dyDescent="0.2">
      <c r="A336" s="187">
        <v>6513</v>
      </c>
      <c r="B336" s="3592" t="s">
        <v>1250</v>
      </c>
      <c r="C336" s="3592"/>
      <c r="D336" s="3592"/>
      <c r="E336" s="3592"/>
      <c r="F336" s="3592"/>
      <c r="G336" s="3592"/>
      <c r="H336" s="3592"/>
      <c r="I336" s="3592"/>
      <c r="J336" s="3593"/>
    </row>
    <row r="337" spans="1:10" ht="12" x14ac:dyDescent="0.2">
      <c r="A337" s="187">
        <v>6514</v>
      </c>
      <c r="B337" s="3592" t="s">
        <v>1251</v>
      </c>
      <c r="C337" s="3592"/>
      <c r="D337" s="3592"/>
      <c r="E337" s="3592"/>
      <c r="F337" s="3592"/>
      <c r="G337" s="3592"/>
      <c r="H337" s="3592"/>
      <c r="I337" s="3592"/>
      <c r="J337" s="3593"/>
    </row>
    <row r="338" spans="1:10" ht="12" x14ac:dyDescent="0.2">
      <c r="A338" s="187">
        <v>6515</v>
      </c>
      <c r="B338" s="3592" t="s">
        <v>1252</v>
      </c>
      <c r="C338" s="3592"/>
      <c r="D338" s="3592"/>
      <c r="E338" s="3592"/>
      <c r="F338" s="3592"/>
      <c r="G338" s="3592"/>
      <c r="H338" s="3592"/>
      <c r="I338" s="3592"/>
      <c r="J338" s="3593"/>
    </row>
    <row r="339" spans="1:10" ht="12" x14ac:dyDescent="0.2">
      <c r="A339" s="187">
        <v>6516</v>
      </c>
      <c r="B339" s="3592" t="s">
        <v>1253</v>
      </c>
      <c r="C339" s="3592"/>
      <c r="D339" s="3592"/>
      <c r="E339" s="3592"/>
      <c r="F339" s="3592"/>
      <c r="G339" s="3592"/>
      <c r="H339" s="3592"/>
      <c r="I339" s="3592"/>
      <c r="J339" s="3593"/>
    </row>
    <row r="340" spans="1:10" ht="12" x14ac:dyDescent="0.2">
      <c r="A340" s="187">
        <v>6519</v>
      </c>
      <c r="B340" s="3592" t="s">
        <v>1254</v>
      </c>
      <c r="C340" s="3592"/>
      <c r="D340" s="3592"/>
      <c r="E340" s="3592"/>
      <c r="F340" s="3592"/>
      <c r="G340" s="3592"/>
      <c r="H340" s="3592"/>
      <c r="I340" s="3592"/>
      <c r="J340" s="3593"/>
    </row>
    <row r="341" spans="1:10" ht="12" x14ac:dyDescent="0.2">
      <c r="A341" s="187">
        <v>6591</v>
      </c>
      <c r="B341" s="3592" t="s">
        <v>1255</v>
      </c>
      <c r="C341" s="3592"/>
      <c r="D341" s="3592"/>
      <c r="E341" s="3592"/>
      <c r="F341" s="3592"/>
      <c r="G341" s="3592"/>
      <c r="H341" s="3592"/>
      <c r="I341" s="3592"/>
      <c r="J341" s="3593"/>
    </row>
    <row r="342" spans="1:10" ht="12" x14ac:dyDescent="0.2">
      <c r="A342" s="187">
        <v>6592</v>
      </c>
      <c r="B342" s="3592" t="s">
        <v>1256</v>
      </c>
      <c r="C342" s="3592"/>
      <c r="D342" s="3592"/>
      <c r="E342" s="3592"/>
      <c r="F342" s="3592"/>
      <c r="G342" s="3592"/>
      <c r="H342" s="3592"/>
      <c r="I342" s="3592"/>
      <c r="J342" s="3593"/>
    </row>
    <row r="343" spans="1:10" ht="12" x14ac:dyDescent="0.2">
      <c r="A343" s="187">
        <v>6593</v>
      </c>
      <c r="B343" s="3592" t="s">
        <v>1257</v>
      </c>
      <c r="C343" s="3592"/>
      <c r="D343" s="3592"/>
      <c r="E343" s="3592"/>
      <c r="F343" s="3592"/>
      <c r="G343" s="3592"/>
      <c r="H343" s="3592"/>
      <c r="I343" s="3592"/>
      <c r="J343" s="3593"/>
    </row>
    <row r="344" spans="1:10" ht="12" x14ac:dyDescent="0.2">
      <c r="A344" s="187">
        <v>6594</v>
      </c>
      <c r="B344" s="3592" t="s">
        <v>1258</v>
      </c>
      <c r="C344" s="3592"/>
      <c r="D344" s="3592"/>
      <c r="E344" s="3592"/>
      <c r="F344" s="3592"/>
      <c r="G344" s="3592"/>
      <c r="H344" s="3592"/>
      <c r="I344" s="3592"/>
      <c r="J344" s="3593"/>
    </row>
    <row r="345" spans="1:10" ht="12" x14ac:dyDescent="0.2">
      <c r="A345" s="187">
        <v>6595</v>
      </c>
      <c r="B345" s="3592" t="s">
        <v>1259</v>
      </c>
      <c r="C345" s="3592"/>
      <c r="D345" s="3592"/>
      <c r="E345" s="3592"/>
      <c r="F345" s="3592"/>
      <c r="G345" s="3592"/>
      <c r="H345" s="3592"/>
      <c r="I345" s="3592"/>
      <c r="J345" s="3593"/>
    </row>
    <row r="346" spans="1:10" ht="12" x14ac:dyDescent="0.2">
      <c r="A346" s="187">
        <v>6596</v>
      </c>
      <c r="B346" s="3592" t="s">
        <v>1260</v>
      </c>
      <c r="C346" s="3592"/>
      <c r="D346" s="3592"/>
      <c r="E346" s="3592"/>
      <c r="F346" s="3592"/>
      <c r="G346" s="3592"/>
      <c r="H346" s="3592"/>
      <c r="I346" s="3592"/>
      <c r="J346" s="3593"/>
    </row>
    <row r="347" spans="1:10" ht="12" x14ac:dyDescent="0.2">
      <c r="A347" s="187">
        <v>6599</v>
      </c>
      <c r="B347" s="3592" t="s">
        <v>1261</v>
      </c>
      <c r="C347" s="3592"/>
      <c r="D347" s="3592"/>
      <c r="E347" s="3592"/>
      <c r="F347" s="3592"/>
      <c r="G347" s="3592"/>
      <c r="H347" s="3592"/>
      <c r="I347" s="3592"/>
      <c r="J347" s="3593"/>
    </row>
    <row r="348" spans="1:10" ht="12" x14ac:dyDescent="0.2">
      <c r="A348" s="187">
        <v>6601</v>
      </c>
      <c r="B348" s="3592" t="s">
        <v>1262</v>
      </c>
      <c r="C348" s="3592"/>
      <c r="D348" s="3592"/>
      <c r="E348" s="3592"/>
      <c r="F348" s="3592"/>
      <c r="G348" s="3592"/>
      <c r="H348" s="3592"/>
      <c r="I348" s="3592"/>
      <c r="J348" s="3593"/>
    </row>
    <row r="349" spans="1:10" ht="12" x14ac:dyDescent="0.2">
      <c r="A349" s="187">
        <v>6602</v>
      </c>
      <c r="B349" s="3592" t="s">
        <v>1263</v>
      </c>
      <c r="C349" s="3592"/>
      <c r="D349" s="3592"/>
      <c r="E349" s="3592"/>
      <c r="F349" s="3592"/>
      <c r="G349" s="3592"/>
      <c r="H349" s="3592"/>
      <c r="I349" s="3592"/>
      <c r="J349" s="3593"/>
    </row>
    <row r="350" spans="1:10" ht="12" x14ac:dyDescent="0.2">
      <c r="A350" s="187">
        <v>6603</v>
      </c>
      <c r="B350" s="3592" t="s">
        <v>1264</v>
      </c>
      <c r="C350" s="3592"/>
      <c r="D350" s="3592"/>
      <c r="E350" s="3592"/>
      <c r="F350" s="3592"/>
      <c r="G350" s="3592"/>
      <c r="H350" s="3592"/>
      <c r="I350" s="3592"/>
      <c r="J350" s="3593"/>
    </row>
    <row r="351" spans="1:10" ht="12" x14ac:dyDescent="0.2">
      <c r="A351" s="187">
        <v>6604</v>
      </c>
      <c r="B351" s="3592" t="s">
        <v>1265</v>
      </c>
      <c r="C351" s="3592"/>
      <c r="D351" s="3592"/>
      <c r="E351" s="3592"/>
      <c r="F351" s="3592"/>
      <c r="G351" s="3592"/>
      <c r="H351" s="3592"/>
      <c r="I351" s="3592"/>
      <c r="J351" s="3593"/>
    </row>
    <row r="352" spans="1:10" ht="12" x14ac:dyDescent="0.2">
      <c r="A352" s="187">
        <v>6711</v>
      </c>
      <c r="B352" s="3592" t="s">
        <v>1266</v>
      </c>
      <c r="C352" s="3592"/>
      <c r="D352" s="3592"/>
      <c r="E352" s="3592"/>
      <c r="F352" s="3592"/>
      <c r="G352" s="3592"/>
      <c r="H352" s="3592"/>
      <c r="I352" s="3592"/>
      <c r="J352" s="3593"/>
    </row>
    <row r="353" spans="1:10" ht="12" x14ac:dyDescent="0.2">
      <c r="A353" s="187">
        <v>6712</v>
      </c>
      <c r="B353" s="3592" t="s">
        <v>1267</v>
      </c>
      <c r="C353" s="3592"/>
      <c r="D353" s="3592"/>
      <c r="E353" s="3592"/>
      <c r="F353" s="3592"/>
      <c r="G353" s="3592"/>
      <c r="H353" s="3592"/>
      <c r="I353" s="3592"/>
      <c r="J353" s="3593"/>
    </row>
    <row r="354" spans="1:10" ht="12" x14ac:dyDescent="0.2">
      <c r="A354" s="187">
        <v>6713</v>
      </c>
      <c r="B354" s="3592" t="s">
        <v>1268</v>
      </c>
      <c r="C354" s="3592"/>
      <c r="D354" s="3592"/>
      <c r="E354" s="3592"/>
      <c r="F354" s="3592"/>
      <c r="G354" s="3592"/>
      <c r="H354" s="3592"/>
      <c r="I354" s="3592"/>
      <c r="J354" s="3593"/>
    </row>
    <row r="355" spans="1:10" ht="12" x14ac:dyDescent="0.2">
      <c r="A355" s="187">
        <v>6714</v>
      </c>
      <c r="B355" s="3592" t="s">
        <v>1269</v>
      </c>
      <c r="C355" s="3592"/>
      <c r="D355" s="3592"/>
      <c r="E355" s="3592"/>
      <c r="F355" s="3592"/>
      <c r="G355" s="3592"/>
      <c r="H355" s="3592"/>
      <c r="I355" s="3592"/>
      <c r="J355" s="3593"/>
    </row>
    <row r="356" spans="1:10" ht="12" x14ac:dyDescent="0.2">
      <c r="A356" s="187">
        <v>6715</v>
      </c>
      <c r="B356" s="3592" t="s">
        <v>1270</v>
      </c>
      <c r="C356" s="3592"/>
      <c r="D356" s="3592"/>
      <c r="E356" s="3592"/>
      <c r="F356" s="3592"/>
      <c r="G356" s="3592"/>
      <c r="H356" s="3592"/>
      <c r="I356" s="3592"/>
      <c r="J356" s="3593"/>
    </row>
    <row r="357" spans="1:10" ht="12" x14ac:dyDescent="0.2">
      <c r="A357" s="187">
        <v>6719</v>
      </c>
      <c r="B357" s="3592" t="s">
        <v>1271</v>
      </c>
      <c r="C357" s="3592"/>
      <c r="D357" s="3592"/>
      <c r="E357" s="3592"/>
      <c r="F357" s="3592"/>
      <c r="G357" s="3592"/>
      <c r="H357" s="3592"/>
      <c r="I357" s="3592"/>
      <c r="J357" s="3593"/>
    </row>
    <row r="358" spans="1:10" ht="12" x14ac:dyDescent="0.2">
      <c r="A358" s="187">
        <v>6721</v>
      </c>
      <c r="B358" s="3592" t="s">
        <v>1272</v>
      </c>
      <c r="C358" s="3592"/>
      <c r="D358" s="3592"/>
      <c r="E358" s="3592"/>
      <c r="F358" s="3592"/>
      <c r="G358" s="3592"/>
      <c r="H358" s="3592"/>
      <c r="I358" s="3592"/>
      <c r="J358" s="3593"/>
    </row>
    <row r="359" spans="1:10" ht="12" x14ac:dyDescent="0.2">
      <c r="A359" s="187">
        <v>6722</v>
      </c>
      <c r="B359" s="3592" t="s">
        <v>1273</v>
      </c>
      <c r="C359" s="3592"/>
      <c r="D359" s="3592"/>
      <c r="E359" s="3592"/>
      <c r="F359" s="3592"/>
      <c r="G359" s="3592"/>
      <c r="H359" s="3592"/>
      <c r="I359" s="3592"/>
      <c r="J359" s="3593"/>
    </row>
    <row r="360" spans="1:10" ht="12" x14ac:dyDescent="0.2">
      <c r="A360" s="187">
        <v>7010</v>
      </c>
      <c r="B360" s="3592" t="s">
        <v>1274</v>
      </c>
      <c r="C360" s="3592"/>
      <c r="D360" s="3592"/>
      <c r="E360" s="3592"/>
      <c r="F360" s="3592"/>
      <c r="G360" s="3592"/>
      <c r="H360" s="3592"/>
      <c r="I360" s="3592"/>
      <c r="J360" s="3593"/>
    </row>
    <row r="361" spans="1:10" ht="12" x14ac:dyDescent="0.2">
      <c r="A361" s="187">
        <v>7020</v>
      </c>
      <c r="B361" s="3592" t="s">
        <v>1275</v>
      </c>
      <c r="C361" s="3592"/>
      <c r="D361" s="3592"/>
      <c r="E361" s="3592"/>
      <c r="F361" s="3592"/>
      <c r="G361" s="3592"/>
      <c r="H361" s="3592"/>
      <c r="I361" s="3592"/>
      <c r="J361" s="3593"/>
    </row>
    <row r="362" spans="1:10" ht="12" x14ac:dyDescent="0.2">
      <c r="A362" s="187">
        <v>7111</v>
      </c>
      <c r="B362" s="3592" t="s">
        <v>1276</v>
      </c>
      <c r="C362" s="3592"/>
      <c r="D362" s="3592"/>
      <c r="E362" s="3592"/>
      <c r="F362" s="3592"/>
      <c r="G362" s="3592"/>
      <c r="H362" s="3592"/>
      <c r="I362" s="3592"/>
      <c r="J362" s="3593"/>
    </row>
    <row r="363" spans="1:10" ht="12" x14ac:dyDescent="0.2">
      <c r="A363" s="187">
        <v>7112</v>
      </c>
      <c r="B363" s="3592" t="s">
        <v>1277</v>
      </c>
      <c r="C363" s="3592"/>
      <c r="D363" s="3592"/>
      <c r="E363" s="3592"/>
      <c r="F363" s="3592"/>
      <c r="G363" s="3592"/>
      <c r="H363" s="3592"/>
      <c r="I363" s="3592"/>
      <c r="J363" s="3593"/>
    </row>
    <row r="364" spans="1:10" ht="12" x14ac:dyDescent="0.2">
      <c r="A364" s="187">
        <v>7113</v>
      </c>
      <c r="B364" s="3592" t="s">
        <v>1278</v>
      </c>
      <c r="C364" s="3592"/>
      <c r="D364" s="3592"/>
      <c r="E364" s="3592"/>
      <c r="F364" s="3592"/>
      <c r="G364" s="3592"/>
      <c r="H364" s="3592"/>
      <c r="I364" s="3592"/>
      <c r="J364" s="3593"/>
    </row>
    <row r="365" spans="1:10" ht="12" x14ac:dyDescent="0.2">
      <c r="A365" s="187">
        <v>7121</v>
      </c>
      <c r="B365" s="3592" t="s">
        <v>1279</v>
      </c>
      <c r="C365" s="3592"/>
      <c r="D365" s="3592"/>
      <c r="E365" s="3592"/>
      <c r="F365" s="3592"/>
      <c r="G365" s="3592"/>
      <c r="H365" s="3592"/>
      <c r="I365" s="3592"/>
      <c r="J365" s="3593"/>
    </row>
    <row r="366" spans="1:10" ht="12" x14ac:dyDescent="0.2">
      <c r="A366" s="187">
        <v>7122</v>
      </c>
      <c r="B366" s="3592" t="s">
        <v>1280</v>
      </c>
      <c r="C366" s="3592"/>
      <c r="D366" s="3592"/>
      <c r="E366" s="3592"/>
      <c r="F366" s="3592"/>
      <c r="G366" s="3592"/>
      <c r="H366" s="3592"/>
      <c r="I366" s="3592"/>
      <c r="J366" s="3593"/>
    </row>
    <row r="367" spans="1:10" ht="12" x14ac:dyDescent="0.2">
      <c r="A367" s="187">
        <v>7123</v>
      </c>
      <c r="B367" s="3592" t="s">
        <v>1281</v>
      </c>
      <c r="C367" s="3592"/>
      <c r="D367" s="3592"/>
      <c r="E367" s="3592"/>
      <c r="F367" s="3592"/>
      <c r="G367" s="3592"/>
      <c r="H367" s="3592"/>
      <c r="I367" s="3592"/>
      <c r="J367" s="3593"/>
    </row>
    <row r="368" spans="1:10" ht="12" x14ac:dyDescent="0.2">
      <c r="A368" s="187">
        <v>7129</v>
      </c>
      <c r="B368" s="3592" t="s">
        <v>1282</v>
      </c>
      <c r="C368" s="3592"/>
      <c r="D368" s="3592"/>
      <c r="E368" s="3592"/>
      <c r="F368" s="3592"/>
      <c r="G368" s="3592"/>
      <c r="H368" s="3592"/>
      <c r="I368" s="3592"/>
      <c r="J368" s="3593"/>
    </row>
    <row r="369" spans="1:10" ht="12" x14ac:dyDescent="0.2">
      <c r="A369" s="187">
        <v>7130</v>
      </c>
      <c r="B369" s="3592" t="s">
        <v>1283</v>
      </c>
      <c r="C369" s="3592"/>
      <c r="D369" s="3592"/>
      <c r="E369" s="3592"/>
      <c r="F369" s="3592"/>
      <c r="G369" s="3592"/>
      <c r="H369" s="3592"/>
      <c r="I369" s="3592"/>
      <c r="J369" s="3593"/>
    </row>
    <row r="370" spans="1:10" ht="12" x14ac:dyDescent="0.2">
      <c r="A370" s="187">
        <v>7210</v>
      </c>
      <c r="B370" s="3592" t="s">
        <v>1284</v>
      </c>
      <c r="C370" s="3592"/>
      <c r="D370" s="3592"/>
      <c r="E370" s="3592"/>
      <c r="F370" s="3592"/>
      <c r="G370" s="3592"/>
      <c r="H370" s="3592"/>
      <c r="I370" s="3592"/>
      <c r="J370" s="3593"/>
    </row>
    <row r="371" spans="1:10" ht="12" x14ac:dyDescent="0.2">
      <c r="A371" s="187">
        <v>7220</v>
      </c>
      <c r="B371" s="3592" t="s">
        <v>1285</v>
      </c>
      <c r="C371" s="3592"/>
      <c r="D371" s="3592"/>
      <c r="E371" s="3592"/>
      <c r="F371" s="3592"/>
      <c r="G371" s="3592"/>
      <c r="H371" s="3592"/>
      <c r="I371" s="3592"/>
      <c r="J371" s="3593"/>
    </row>
    <row r="372" spans="1:10" ht="12" x14ac:dyDescent="0.2">
      <c r="A372" s="187">
        <v>7230</v>
      </c>
      <c r="B372" s="3592" t="s">
        <v>1286</v>
      </c>
      <c r="C372" s="3592"/>
      <c r="D372" s="3592"/>
      <c r="E372" s="3592"/>
      <c r="F372" s="3592"/>
      <c r="G372" s="3592"/>
      <c r="H372" s="3592"/>
      <c r="I372" s="3592"/>
      <c r="J372" s="3593"/>
    </row>
    <row r="373" spans="1:10" ht="12" x14ac:dyDescent="0.2">
      <c r="A373" s="187">
        <v>7240</v>
      </c>
      <c r="B373" s="3592" t="s">
        <v>1287</v>
      </c>
      <c r="C373" s="3592"/>
      <c r="D373" s="3592"/>
      <c r="E373" s="3592"/>
      <c r="F373" s="3592"/>
      <c r="G373" s="3592"/>
      <c r="H373" s="3592"/>
      <c r="I373" s="3592"/>
      <c r="J373" s="3593"/>
    </row>
    <row r="374" spans="1:10" ht="12" x14ac:dyDescent="0.2">
      <c r="A374" s="187">
        <v>7250</v>
      </c>
      <c r="B374" s="3592" t="s">
        <v>1288</v>
      </c>
      <c r="C374" s="3592"/>
      <c r="D374" s="3592"/>
      <c r="E374" s="3592"/>
      <c r="F374" s="3592"/>
      <c r="G374" s="3592"/>
      <c r="H374" s="3592"/>
      <c r="I374" s="3592"/>
      <c r="J374" s="3593"/>
    </row>
    <row r="375" spans="1:10" ht="12" x14ac:dyDescent="0.2">
      <c r="A375" s="187">
        <v>7290</v>
      </c>
      <c r="B375" s="3592" t="s">
        <v>1289</v>
      </c>
      <c r="C375" s="3592"/>
      <c r="D375" s="3592"/>
      <c r="E375" s="3592"/>
      <c r="F375" s="3592"/>
      <c r="G375" s="3592"/>
      <c r="H375" s="3592"/>
      <c r="I375" s="3592"/>
      <c r="J375" s="3593"/>
    </row>
    <row r="376" spans="1:10" ht="12" x14ac:dyDescent="0.2">
      <c r="A376" s="187">
        <v>7310</v>
      </c>
      <c r="B376" s="3592" t="s">
        <v>1290</v>
      </c>
      <c r="C376" s="3592"/>
      <c r="D376" s="3592"/>
      <c r="E376" s="3592"/>
      <c r="F376" s="3592"/>
      <c r="G376" s="3592"/>
      <c r="H376" s="3592"/>
      <c r="I376" s="3592"/>
      <c r="J376" s="3593"/>
    </row>
    <row r="377" spans="1:10" ht="12" x14ac:dyDescent="0.2">
      <c r="A377" s="187">
        <v>7320</v>
      </c>
      <c r="B377" s="3592" t="s">
        <v>1291</v>
      </c>
      <c r="C377" s="3592"/>
      <c r="D377" s="3592"/>
      <c r="E377" s="3592"/>
      <c r="F377" s="3592"/>
      <c r="G377" s="3592"/>
      <c r="H377" s="3592"/>
      <c r="I377" s="3592"/>
      <c r="J377" s="3593"/>
    </row>
    <row r="378" spans="1:10" ht="12" x14ac:dyDescent="0.2">
      <c r="A378" s="187">
        <v>7411</v>
      </c>
      <c r="B378" s="3592" t="s">
        <v>1292</v>
      </c>
      <c r="C378" s="3592"/>
      <c r="D378" s="3592"/>
      <c r="E378" s="3592"/>
      <c r="F378" s="3592"/>
      <c r="G378" s="3592"/>
      <c r="H378" s="3592"/>
      <c r="I378" s="3592"/>
      <c r="J378" s="3593"/>
    </row>
    <row r="379" spans="1:10" ht="12" x14ac:dyDescent="0.2">
      <c r="A379" s="187">
        <v>7412</v>
      </c>
      <c r="B379" s="3592" t="s">
        <v>1293</v>
      </c>
      <c r="C379" s="3592"/>
      <c r="D379" s="3592"/>
      <c r="E379" s="3592"/>
      <c r="F379" s="3592"/>
      <c r="G379" s="3592"/>
      <c r="H379" s="3592"/>
      <c r="I379" s="3592"/>
      <c r="J379" s="3593"/>
    </row>
    <row r="380" spans="1:10" ht="12" x14ac:dyDescent="0.2">
      <c r="A380" s="187">
        <v>7413</v>
      </c>
      <c r="B380" s="3592" t="s">
        <v>1294</v>
      </c>
      <c r="C380" s="3592"/>
      <c r="D380" s="3592"/>
      <c r="E380" s="3592"/>
      <c r="F380" s="3592"/>
      <c r="G380" s="3592"/>
      <c r="H380" s="3592"/>
      <c r="I380" s="3592"/>
      <c r="J380" s="3593"/>
    </row>
    <row r="381" spans="1:10" ht="12" x14ac:dyDescent="0.2">
      <c r="A381" s="187">
        <v>7414</v>
      </c>
      <c r="B381" s="3592" t="s">
        <v>1304</v>
      </c>
      <c r="C381" s="3592"/>
      <c r="D381" s="3592"/>
      <c r="E381" s="3592"/>
      <c r="F381" s="3592"/>
      <c r="G381" s="3592"/>
      <c r="H381" s="3592"/>
      <c r="I381" s="3592"/>
      <c r="J381" s="3593"/>
    </row>
    <row r="382" spans="1:10" ht="12" x14ac:dyDescent="0.2">
      <c r="A382" s="187">
        <v>7421</v>
      </c>
      <c r="B382" s="3592" t="s">
        <v>1305</v>
      </c>
      <c r="C382" s="3592"/>
      <c r="D382" s="3592"/>
      <c r="E382" s="3592"/>
      <c r="F382" s="3592"/>
      <c r="G382" s="3592"/>
      <c r="H382" s="3592"/>
      <c r="I382" s="3592"/>
      <c r="J382" s="3593"/>
    </row>
    <row r="383" spans="1:10" ht="12" x14ac:dyDescent="0.2">
      <c r="A383" s="187">
        <v>7422</v>
      </c>
      <c r="B383" s="3592" t="s">
        <v>1306</v>
      </c>
      <c r="C383" s="3592"/>
      <c r="D383" s="3592"/>
      <c r="E383" s="3592"/>
      <c r="F383" s="3592"/>
      <c r="G383" s="3592"/>
      <c r="H383" s="3592"/>
      <c r="I383" s="3592"/>
      <c r="J383" s="3593"/>
    </row>
    <row r="384" spans="1:10" ht="12" x14ac:dyDescent="0.2">
      <c r="A384" s="187">
        <v>7430</v>
      </c>
      <c r="B384" s="3592" t="s">
        <v>1307</v>
      </c>
      <c r="C384" s="3592"/>
      <c r="D384" s="3592"/>
      <c r="E384" s="3592"/>
      <c r="F384" s="3592"/>
      <c r="G384" s="3592"/>
      <c r="H384" s="3592"/>
      <c r="I384" s="3592"/>
      <c r="J384" s="3593"/>
    </row>
    <row r="385" spans="1:10" ht="12" x14ac:dyDescent="0.2">
      <c r="A385" s="187">
        <v>7491</v>
      </c>
      <c r="B385" s="3592" t="s">
        <v>1308</v>
      </c>
      <c r="C385" s="3592"/>
      <c r="D385" s="3592"/>
      <c r="E385" s="3592"/>
      <c r="F385" s="3592"/>
      <c r="G385" s="3592"/>
      <c r="H385" s="3592"/>
      <c r="I385" s="3592"/>
      <c r="J385" s="3593"/>
    </row>
    <row r="386" spans="1:10" ht="12" x14ac:dyDescent="0.2">
      <c r="A386" s="187">
        <v>7492</v>
      </c>
      <c r="B386" s="3592" t="s">
        <v>1309</v>
      </c>
      <c r="C386" s="3592"/>
      <c r="D386" s="3592"/>
      <c r="E386" s="3592"/>
      <c r="F386" s="3592"/>
      <c r="G386" s="3592"/>
      <c r="H386" s="3592"/>
      <c r="I386" s="3592"/>
      <c r="J386" s="3593"/>
    </row>
    <row r="387" spans="1:10" ht="12" x14ac:dyDescent="0.2">
      <c r="A387" s="187">
        <v>7493</v>
      </c>
      <c r="B387" s="3592" t="s">
        <v>1310</v>
      </c>
      <c r="C387" s="3592"/>
      <c r="D387" s="3592"/>
      <c r="E387" s="3592"/>
      <c r="F387" s="3592"/>
      <c r="G387" s="3592"/>
      <c r="H387" s="3592"/>
      <c r="I387" s="3592"/>
      <c r="J387" s="3593"/>
    </row>
    <row r="388" spans="1:10" ht="12" x14ac:dyDescent="0.2">
      <c r="A388" s="187">
        <v>7494</v>
      </c>
      <c r="B388" s="3592" t="s">
        <v>1311</v>
      </c>
      <c r="C388" s="3592"/>
      <c r="D388" s="3592"/>
      <c r="E388" s="3592"/>
      <c r="F388" s="3592"/>
      <c r="G388" s="3592"/>
      <c r="H388" s="3592"/>
      <c r="I388" s="3592"/>
      <c r="J388" s="3593"/>
    </row>
    <row r="389" spans="1:10" ht="12" x14ac:dyDescent="0.2">
      <c r="A389" s="187">
        <v>7495</v>
      </c>
      <c r="B389" s="3592" t="s">
        <v>1315</v>
      </c>
      <c r="C389" s="3592"/>
      <c r="D389" s="3592"/>
      <c r="E389" s="3592"/>
      <c r="F389" s="3592"/>
      <c r="G389" s="3592"/>
      <c r="H389" s="3592"/>
      <c r="I389" s="3592"/>
      <c r="J389" s="3593"/>
    </row>
    <row r="390" spans="1:10" ht="12" x14ac:dyDescent="0.2">
      <c r="A390" s="187">
        <v>7499</v>
      </c>
      <c r="B390" s="3592" t="s">
        <v>1316</v>
      </c>
      <c r="C390" s="3592"/>
      <c r="D390" s="3592"/>
      <c r="E390" s="3592"/>
      <c r="F390" s="3592"/>
      <c r="G390" s="3592"/>
      <c r="H390" s="3592"/>
      <c r="I390" s="3592"/>
      <c r="J390" s="3593"/>
    </row>
    <row r="391" spans="1:10" ht="12" x14ac:dyDescent="0.2">
      <c r="A391" s="187">
        <v>7511</v>
      </c>
      <c r="B391" s="3592" t="s">
        <v>1317</v>
      </c>
      <c r="C391" s="3592"/>
      <c r="D391" s="3592"/>
      <c r="E391" s="3592"/>
      <c r="F391" s="3592"/>
      <c r="G391" s="3592"/>
      <c r="H391" s="3592"/>
      <c r="I391" s="3592"/>
      <c r="J391" s="3593"/>
    </row>
    <row r="392" spans="1:10" ht="12" x14ac:dyDescent="0.2">
      <c r="A392" s="187">
        <v>7512</v>
      </c>
      <c r="B392" s="3592" t="s">
        <v>1318</v>
      </c>
      <c r="C392" s="3592"/>
      <c r="D392" s="3592"/>
      <c r="E392" s="3592"/>
      <c r="F392" s="3592"/>
      <c r="G392" s="3592"/>
      <c r="H392" s="3592"/>
      <c r="I392" s="3592"/>
      <c r="J392" s="3593"/>
    </row>
    <row r="393" spans="1:10" ht="12" x14ac:dyDescent="0.2">
      <c r="A393" s="187">
        <v>7513</v>
      </c>
      <c r="B393" s="3592" t="s">
        <v>1319</v>
      </c>
      <c r="C393" s="3592"/>
      <c r="D393" s="3592"/>
      <c r="E393" s="3592"/>
      <c r="F393" s="3592"/>
      <c r="G393" s="3592"/>
      <c r="H393" s="3592"/>
      <c r="I393" s="3592"/>
      <c r="J393" s="3593"/>
    </row>
    <row r="394" spans="1:10" ht="12" x14ac:dyDescent="0.2">
      <c r="A394" s="187">
        <v>7514</v>
      </c>
      <c r="B394" s="3592" t="s">
        <v>1320</v>
      </c>
      <c r="C394" s="3592"/>
      <c r="D394" s="3592"/>
      <c r="E394" s="3592"/>
      <c r="F394" s="3592"/>
      <c r="G394" s="3592"/>
      <c r="H394" s="3592"/>
      <c r="I394" s="3592"/>
      <c r="J394" s="3593"/>
    </row>
    <row r="395" spans="1:10" ht="12" x14ac:dyDescent="0.2">
      <c r="A395" s="187">
        <v>7515</v>
      </c>
      <c r="B395" s="3592" t="s">
        <v>0</v>
      </c>
      <c r="C395" s="3592"/>
      <c r="D395" s="3592"/>
      <c r="E395" s="3592"/>
      <c r="F395" s="3592"/>
      <c r="G395" s="3592"/>
      <c r="H395" s="3592"/>
      <c r="I395" s="3592"/>
      <c r="J395" s="3593"/>
    </row>
    <row r="396" spans="1:10" ht="12" x14ac:dyDescent="0.2">
      <c r="A396" s="187">
        <v>7521</v>
      </c>
      <c r="B396" s="3592" t="s">
        <v>1</v>
      </c>
      <c r="C396" s="3592"/>
      <c r="D396" s="3592"/>
      <c r="E396" s="3592"/>
      <c r="F396" s="3592"/>
      <c r="G396" s="3592"/>
      <c r="H396" s="3592"/>
      <c r="I396" s="3592"/>
      <c r="J396" s="3593"/>
    </row>
    <row r="397" spans="1:10" ht="12" x14ac:dyDescent="0.2">
      <c r="A397" s="187">
        <v>7522</v>
      </c>
      <c r="B397" s="3592" t="s">
        <v>2</v>
      </c>
      <c r="C397" s="3592"/>
      <c r="D397" s="3592"/>
      <c r="E397" s="3592"/>
      <c r="F397" s="3592"/>
      <c r="G397" s="3592"/>
      <c r="H397" s="3592"/>
      <c r="I397" s="3592"/>
      <c r="J397" s="3593"/>
    </row>
    <row r="398" spans="1:10" ht="12" x14ac:dyDescent="0.2">
      <c r="A398" s="187">
        <v>7523</v>
      </c>
      <c r="B398" s="3592" t="s">
        <v>3</v>
      </c>
      <c r="C398" s="3592"/>
      <c r="D398" s="3592"/>
      <c r="E398" s="3592"/>
      <c r="F398" s="3592"/>
      <c r="G398" s="3592"/>
      <c r="H398" s="3592"/>
      <c r="I398" s="3592"/>
      <c r="J398" s="3593"/>
    </row>
    <row r="399" spans="1:10" ht="12" x14ac:dyDescent="0.2">
      <c r="A399" s="187">
        <v>7524</v>
      </c>
      <c r="B399" s="3592" t="s">
        <v>4</v>
      </c>
      <c r="C399" s="3592"/>
      <c r="D399" s="3592"/>
      <c r="E399" s="3592"/>
      <c r="F399" s="3592"/>
      <c r="G399" s="3592"/>
      <c r="H399" s="3592"/>
      <c r="I399" s="3592"/>
      <c r="J399" s="3593"/>
    </row>
    <row r="400" spans="1:10" ht="12" x14ac:dyDescent="0.2">
      <c r="A400" s="187">
        <v>7530</v>
      </c>
      <c r="B400" s="3592" t="s">
        <v>5</v>
      </c>
      <c r="C400" s="3592"/>
      <c r="D400" s="3592"/>
      <c r="E400" s="3592"/>
      <c r="F400" s="3592"/>
      <c r="G400" s="3592"/>
      <c r="H400" s="3592"/>
      <c r="I400" s="3592"/>
      <c r="J400" s="3593"/>
    </row>
    <row r="401" spans="1:10" ht="12" x14ac:dyDescent="0.2">
      <c r="A401" s="187">
        <v>8011</v>
      </c>
      <c r="B401" s="3592" t="s">
        <v>6</v>
      </c>
      <c r="C401" s="3592"/>
      <c r="D401" s="3592"/>
      <c r="E401" s="3592"/>
      <c r="F401" s="3592"/>
      <c r="G401" s="3592"/>
      <c r="H401" s="3592"/>
      <c r="I401" s="3592"/>
      <c r="J401" s="3593"/>
    </row>
    <row r="402" spans="1:10" ht="12" x14ac:dyDescent="0.2">
      <c r="A402" s="187">
        <v>8012</v>
      </c>
      <c r="B402" s="3592" t="s">
        <v>7</v>
      </c>
      <c r="C402" s="3592"/>
      <c r="D402" s="3592"/>
      <c r="E402" s="3592"/>
      <c r="F402" s="3592"/>
      <c r="G402" s="3592"/>
      <c r="H402" s="3592"/>
      <c r="I402" s="3592"/>
      <c r="J402" s="3593"/>
    </row>
    <row r="403" spans="1:10" ht="12" x14ac:dyDescent="0.2">
      <c r="A403" s="187">
        <v>8021</v>
      </c>
      <c r="B403" s="3592" t="s">
        <v>8</v>
      </c>
      <c r="C403" s="3592"/>
      <c r="D403" s="3592"/>
      <c r="E403" s="3592"/>
      <c r="F403" s="3592"/>
      <c r="G403" s="3592"/>
      <c r="H403" s="3592"/>
      <c r="I403" s="3592"/>
      <c r="J403" s="3593"/>
    </row>
    <row r="404" spans="1:10" ht="12" x14ac:dyDescent="0.2">
      <c r="A404" s="187">
        <v>8022</v>
      </c>
      <c r="B404" s="3592" t="s">
        <v>9</v>
      </c>
      <c r="C404" s="3592"/>
      <c r="D404" s="3592"/>
      <c r="E404" s="3592"/>
      <c r="F404" s="3592"/>
      <c r="G404" s="3592"/>
      <c r="H404" s="3592"/>
      <c r="I404" s="3592"/>
      <c r="J404" s="3593"/>
    </row>
    <row r="405" spans="1:10" ht="12" x14ac:dyDescent="0.2">
      <c r="A405" s="187">
        <v>8030</v>
      </c>
      <c r="B405" s="3592" t="s">
        <v>10</v>
      </c>
      <c r="C405" s="3592"/>
      <c r="D405" s="3592"/>
      <c r="E405" s="3592"/>
      <c r="F405" s="3592"/>
      <c r="G405" s="3592"/>
      <c r="H405" s="3592"/>
      <c r="I405" s="3592"/>
      <c r="J405" s="3593"/>
    </row>
    <row r="406" spans="1:10" ht="12" x14ac:dyDescent="0.2">
      <c r="A406" s="187">
        <v>8041</v>
      </c>
      <c r="B406" s="3592" t="s">
        <v>11</v>
      </c>
      <c r="C406" s="3592"/>
      <c r="D406" s="3592"/>
      <c r="E406" s="3592"/>
      <c r="F406" s="3592"/>
      <c r="G406" s="3592"/>
      <c r="H406" s="3592"/>
      <c r="I406" s="3592"/>
      <c r="J406" s="3593"/>
    </row>
    <row r="407" spans="1:10" ht="12" x14ac:dyDescent="0.2">
      <c r="A407" s="187">
        <v>8042</v>
      </c>
      <c r="B407" s="3592" t="s">
        <v>12</v>
      </c>
      <c r="C407" s="3592"/>
      <c r="D407" s="3592"/>
      <c r="E407" s="3592"/>
      <c r="F407" s="3592"/>
      <c r="G407" s="3592"/>
      <c r="H407" s="3592"/>
      <c r="I407" s="3592"/>
      <c r="J407" s="3593"/>
    </row>
    <row r="408" spans="1:10" ht="12" x14ac:dyDescent="0.2">
      <c r="A408" s="187">
        <v>8043</v>
      </c>
      <c r="B408" s="3592" t="s">
        <v>13</v>
      </c>
      <c r="C408" s="3592"/>
      <c r="D408" s="3592"/>
      <c r="E408" s="3592"/>
      <c r="F408" s="3592"/>
      <c r="G408" s="3592"/>
      <c r="H408" s="3592"/>
      <c r="I408" s="3592"/>
      <c r="J408" s="3593"/>
    </row>
    <row r="409" spans="1:10" ht="12" x14ac:dyDescent="0.2">
      <c r="A409" s="187">
        <v>8044</v>
      </c>
      <c r="B409" s="3592" t="s">
        <v>14</v>
      </c>
      <c r="C409" s="3592"/>
      <c r="D409" s="3592"/>
      <c r="E409" s="3592"/>
      <c r="F409" s="3592"/>
      <c r="G409" s="3592"/>
      <c r="H409" s="3592"/>
      <c r="I409" s="3592"/>
      <c r="J409" s="3593"/>
    </row>
    <row r="410" spans="1:10" ht="12" x14ac:dyDescent="0.2">
      <c r="A410" s="187">
        <v>8045</v>
      </c>
      <c r="B410" s="3592" t="s">
        <v>15</v>
      </c>
      <c r="C410" s="3592"/>
      <c r="D410" s="3592"/>
      <c r="E410" s="3592"/>
      <c r="F410" s="3592"/>
      <c r="G410" s="3592"/>
      <c r="H410" s="3592"/>
      <c r="I410" s="3592"/>
      <c r="J410" s="3593"/>
    </row>
    <row r="411" spans="1:10" ht="12" x14ac:dyDescent="0.2">
      <c r="A411" s="187">
        <v>8046</v>
      </c>
      <c r="B411" s="3592" t="s">
        <v>16</v>
      </c>
      <c r="C411" s="3592"/>
      <c r="D411" s="3592"/>
      <c r="E411" s="3592"/>
      <c r="F411" s="3592"/>
      <c r="G411" s="3592"/>
      <c r="H411" s="3592"/>
      <c r="I411" s="3592"/>
      <c r="J411" s="3593"/>
    </row>
    <row r="412" spans="1:10" ht="12" x14ac:dyDescent="0.2">
      <c r="A412" s="187">
        <v>8050</v>
      </c>
      <c r="B412" s="3592" t="s">
        <v>17</v>
      </c>
      <c r="C412" s="3592"/>
      <c r="D412" s="3592"/>
      <c r="E412" s="3592"/>
      <c r="F412" s="3592"/>
      <c r="G412" s="3592"/>
      <c r="H412" s="3592"/>
      <c r="I412" s="3592"/>
      <c r="J412" s="3593"/>
    </row>
    <row r="413" spans="1:10" ht="12" x14ac:dyDescent="0.2">
      <c r="A413" s="187">
        <v>8060</v>
      </c>
      <c r="B413" s="3592" t="s">
        <v>18</v>
      </c>
      <c r="C413" s="3592"/>
      <c r="D413" s="3592"/>
      <c r="E413" s="3592"/>
      <c r="F413" s="3592"/>
      <c r="G413" s="3592"/>
      <c r="H413" s="3592"/>
      <c r="I413" s="3592"/>
      <c r="J413" s="3593"/>
    </row>
    <row r="414" spans="1:10" ht="12" x14ac:dyDescent="0.2">
      <c r="A414" s="187">
        <v>8511</v>
      </c>
      <c r="B414" s="3592" t="s">
        <v>19</v>
      </c>
      <c r="C414" s="3592"/>
      <c r="D414" s="3592"/>
      <c r="E414" s="3592"/>
      <c r="F414" s="3592"/>
      <c r="G414" s="3592"/>
      <c r="H414" s="3592"/>
      <c r="I414" s="3592"/>
      <c r="J414" s="3593"/>
    </row>
    <row r="415" spans="1:10" ht="12" x14ac:dyDescent="0.2">
      <c r="A415" s="187">
        <v>8512</v>
      </c>
      <c r="B415" s="3592" t="s">
        <v>20</v>
      </c>
      <c r="C415" s="3592"/>
      <c r="D415" s="3592"/>
      <c r="E415" s="3592"/>
      <c r="F415" s="3592"/>
      <c r="G415" s="3592"/>
      <c r="H415" s="3592"/>
      <c r="I415" s="3592"/>
      <c r="J415" s="3593"/>
    </row>
    <row r="416" spans="1:10" ht="12" x14ac:dyDescent="0.2">
      <c r="A416" s="187">
        <v>8513</v>
      </c>
      <c r="B416" s="3592" t="s">
        <v>21</v>
      </c>
      <c r="C416" s="3592"/>
      <c r="D416" s="3592"/>
      <c r="E416" s="3592"/>
      <c r="F416" s="3592"/>
      <c r="G416" s="3592"/>
      <c r="H416" s="3592"/>
      <c r="I416" s="3592"/>
      <c r="J416" s="3593"/>
    </row>
    <row r="417" spans="1:10" ht="12" x14ac:dyDescent="0.2">
      <c r="A417" s="187">
        <v>8514</v>
      </c>
      <c r="B417" s="3592" t="s">
        <v>22</v>
      </c>
      <c r="C417" s="3592"/>
      <c r="D417" s="3592"/>
      <c r="E417" s="3592"/>
      <c r="F417" s="3592"/>
      <c r="G417" s="3592"/>
      <c r="H417" s="3592"/>
      <c r="I417" s="3592"/>
      <c r="J417" s="3593"/>
    </row>
    <row r="418" spans="1:10" ht="12" x14ac:dyDescent="0.2">
      <c r="A418" s="187">
        <v>8515</v>
      </c>
      <c r="B418" s="3592" t="s">
        <v>23</v>
      </c>
      <c r="C418" s="3592"/>
      <c r="D418" s="3592"/>
      <c r="E418" s="3592"/>
      <c r="F418" s="3592"/>
      <c r="G418" s="3592"/>
      <c r="H418" s="3592"/>
      <c r="I418" s="3592"/>
      <c r="J418" s="3593"/>
    </row>
    <row r="419" spans="1:10" ht="12" x14ac:dyDescent="0.2">
      <c r="A419" s="187">
        <v>8519</v>
      </c>
      <c r="B419" s="3592" t="s">
        <v>24</v>
      </c>
      <c r="C419" s="3592"/>
      <c r="D419" s="3592"/>
      <c r="E419" s="3592"/>
      <c r="F419" s="3592"/>
      <c r="G419" s="3592"/>
      <c r="H419" s="3592"/>
      <c r="I419" s="3592"/>
      <c r="J419" s="3593"/>
    </row>
    <row r="420" spans="1:10" ht="12" x14ac:dyDescent="0.2">
      <c r="A420" s="187">
        <v>8520</v>
      </c>
      <c r="B420" s="3592" t="s">
        <v>25</v>
      </c>
      <c r="C420" s="3592"/>
      <c r="D420" s="3592"/>
      <c r="E420" s="3592"/>
      <c r="F420" s="3592"/>
      <c r="G420" s="3592"/>
      <c r="H420" s="3592"/>
      <c r="I420" s="3592"/>
      <c r="J420" s="3593"/>
    </row>
    <row r="421" spans="1:10" ht="12" x14ac:dyDescent="0.2">
      <c r="A421" s="187">
        <v>8531</v>
      </c>
      <c r="B421" s="3592" t="s">
        <v>26</v>
      </c>
      <c r="C421" s="3592"/>
      <c r="D421" s="3592"/>
      <c r="E421" s="3592"/>
      <c r="F421" s="3592"/>
      <c r="G421" s="3592"/>
      <c r="H421" s="3592"/>
      <c r="I421" s="3592"/>
      <c r="J421" s="3593"/>
    </row>
    <row r="422" spans="1:10" ht="12" x14ac:dyDescent="0.2">
      <c r="A422" s="187">
        <v>8532</v>
      </c>
      <c r="B422" s="3592" t="s">
        <v>27</v>
      </c>
      <c r="C422" s="3592"/>
      <c r="D422" s="3592"/>
      <c r="E422" s="3592"/>
      <c r="F422" s="3592"/>
      <c r="G422" s="3592"/>
      <c r="H422" s="3592"/>
      <c r="I422" s="3592"/>
      <c r="J422" s="3593"/>
    </row>
    <row r="423" spans="1:10" ht="12" x14ac:dyDescent="0.2">
      <c r="A423" s="187">
        <v>9000</v>
      </c>
      <c r="B423" s="3592" t="s">
        <v>28</v>
      </c>
      <c r="C423" s="3592"/>
      <c r="D423" s="3592"/>
      <c r="E423" s="3592"/>
      <c r="F423" s="3592"/>
      <c r="G423" s="3592"/>
      <c r="H423" s="3592"/>
      <c r="I423" s="3592"/>
      <c r="J423" s="3593"/>
    </row>
    <row r="424" spans="1:10" ht="12" x14ac:dyDescent="0.2">
      <c r="A424" s="187">
        <v>9111</v>
      </c>
      <c r="B424" s="3592" t="s">
        <v>29</v>
      </c>
      <c r="C424" s="3592"/>
      <c r="D424" s="3592"/>
      <c r="E424" s="3592"/>
      <c r="F424" s="3592"/>
      <c r="G424" s="3592"/>
      <c r="H424" s="3592"/>
      <c r="I424" s="3592"/>
      <c r="J424" s="3593"/>
    </row>
    <row r="425" spans="1:10" ht="12" x14ac:dyDescent="0.2">
      <c r="A425" s="187">
        <v>9112</v>
      </c>
      <c r="B425" s="3592" t="s">
        <v>30</v>
      </c>
      <c r="C425" s="3592"/>
      <c r="D425" s="3592"/>
      <c r="E425" s="3592"/>
      <c r="F425" s="3592"/>
      <c r="G425" s="3592"/>
      <c r="H425" s="3592"/>
      <c r="I425" s="3592"/>
      <c r="J425" s="3593"/>
    </row>
    <row r="426" spans="1:10" ht="12" x14ac:dyDescent="0.2">
      <c r="A426" s="187">
        <v>9120</v>
      </c>
      <c r="B426" s="3592" t="s">
        <v>31</v>
      </c>
      <c r="C426" s="3592"/>
      <c r="D426" s="3592"/>
      <c r="E426" s="3592"/>
      <c r="F426" s="3592"/>
      <c r="G426" s="3592"/>
      <c r="H426" s="3592"/>
      <c r="I426" s="3592"/>
      <c r="J426" s="3593"/>
    </row>
    <row r="427" spans="1:10" ht="12" x14ac:dyDescent="0.2">
      <c r="A427" s="187">
        <v>9191</v>
      </c>
      <c r="B427" s="3592" t="s">
        <v>32</v>
      </c>
      <c r="C427" s="3592"/>
      <c r="D427" s="3592"/>
      <c r="E427" s="3592"/>
      <c r="F427" s="3592"/>
      <c r="G427" s="3592"/>
      <c r="H427" s="3592"/>
      <c r="I427" s="3592"/>
      <c r="J427" s="3593"/>
    </row>
    <row r="428" spans="1:10" ht="12" x14ac:dyDescent="0.2">
      <c r="A428" s="187">
        <v>9192</v>
      </c>
      <c r="B428" s="3592" t="s">
        <v>33</v>
      </c>
      <c r="C428" s="3592"/>
      <c r="D428" s="3592"/>
      <c r="E428" s="3592"/>
      <c r="F428" s="3592"/>
      <c r="G428" s="3592"/>
      <c r="H428" s="3592"/>
      <c r="I428" s="3592"/>
      <c r="J428" s="3593"/>
    </row>
    <row r="429" spans="1:10" ht="12" x14ac:dyDescent="0.2">
      <c r="A429" s="187">
        <v>9199</v>
      </c>
      <c r="B429" s="3592" t="s">
        <v>34</v>
      </c>
      <c r="C429" s="3592"/>
      <c r="D429" s="3592"/>
      <c r="E429" s="3592"/>
      <c r="F429" s="3592"/>
      <c r="G429" s="3592"/>
      <c r="H429" s="3592"/>
      <c r="I429" s="3592"/>
      <c r="J429" s="3593"/>
    </row>
    <row r="430" spans="1:10" ht="12" x14ac:dyDescent="0.2">
      <c r="A430" s="187">
        <v>9211</v>
      </c>
      <c r="B430" s="3592" t="s">
        <v>35</v>
      </c>
      <c r="C430" s="3592"/>
      <c r="D430" s="3592"/>
      <c r="E430" s="3592"/>
      <c r="F430" s="3592"/>
      <c r="G430" s="3592"/>
      <c r="H430" s="3592"/>
      <c r="I430" s="3592"/>
      <c r="J430" s="3593"/>
    </row>
    <row r="431" spans="1:10" ht="12" x14ac:dyDescent="0.2">
      <c r="A431" s="187">
        <v>9212</v>
      </c>
      <c r="B431" s="3592" t="s">
        <v>36</v>
      </c>
      <c r="C431" s="3592"/>
      <c r="D431" s="3592"/>
      <c r="E431" s="3592"/>
      <c r="F431" s="3592"/>
      <c r="G431" s="3592"/>
      <c r="H431" s="3592"/>
      <c r="I431" s="3592"/>
      <c r="J431" s="3593"/>
    </row>
    <row r="432" spans="1:10" ht="12" x14ac:dyDescent="0.2">
      <c r="A432" s="187">
        <v>9213</v>
      </c>
      <c r="B432" s="3592" t="s">
        <v>37</v>
      </c>
      <c r="C432" s="3592"/>
      <c r="D432" s="3592"/>
      <c r="E432" s="3592"/>
      <c r="F432" s="3592"/>
      <c r="G432" s="3592"/>
      <c r="H432" s="3592"/>
      <c r="I432" s="3592"/>
      <c r="J432" s="3593"/>
    </row>
    <row r="433" spans="1:10" ht="12" x14ac:dyDescent="0.2">
      <c r="A433" s="187">
        <v>9214</v>
      </c>
      <c r="B433" s="3592" t="s">
        <v>38</v>
      </c>
      <c r="C433" s="3592"/>
      <c r="D433" s="3592"/>
      <c r="E433" s="3592"/>
      <c r="F433" s="3592"/>
      <c r="G433" s="3592"/>
      <c r="H433" s="3592"/>
      <c r="I433" s="3592"/>
      <c r="J433" s="3593"/>
    </row>
    <row r="434" spans="1:10" ht="12" x14ac:dyDescent="0.2">
      <c r="A434" s="187">
        <v>9219</v>
      </c>
      <c r="B434" s="3592" t="s">
        <v>39</v>
      </c>
      <c r="C434" s="3592"/>
      <c r="D434" s="3592"/>
      <c r="E434" s="3592"/>
      <c r="F434" s="3592"/>
      <c r="G434" s="3592"/>
      <c r="H434" s="3592"/>
      <c r="I434" s="3592"/>
      <c r="J434" s="3593"/>
    </row>
    <row r="435" spans="1:10" ht="12" x14ac:dyDescent="0.2">
      <c r="A435" s="187">
        <v>9220</v>
      </c>
      <c r="B435" s="3592" t="s">
        <v>40</v>
      </c>
      <c r="C435" s="3592"/>
      <c r="D435" s="3592"/>
      <c r="E435" s="3592"/>
      <c r="F435" s="3592"/>
      <c r="G435" s="3592"/>
      <c r="H435" s="3592"/>
      <c r="I435" s="3592"/>
      <c r="J435" s="3593"/>
    </row>
    <row r="436" spans="1:10" ht="12" x14ac:dyDescent="0.2">
      <c r="A436" s="187">
        <v>9231</v>
      </c>
      <c r="B436" s="3592" t="s">
        <v>41</v>
      </c>
      <c r="C436" s="3592"/>
      <c r="D436" s="3592"/>
      <c r="E436" s="3592"/>
      <c r="F436" s="3592"/>
      <c r="G436" s="3592"/>
      <c r="H436" s="3592"/>
      <c r="I436" s="3592"/>
      <c r="J436" s="3593"/>
    </row>
    <row r="437" spans="1:10" ht="12" x14ac:dyDescent="0.2">
      <c r="A437" s="187">
        <v>9232</v>
      </c>
      <c r="B437" s="3592" t="s">
        <v>42</v>
      </c>
      <c r="C437" s="3592"/>
      <c r="D437" s="3592"/>
      <c r="E437" s="3592"/>
      <c r="F437" s="3592"/>
      <c r="G437" s="3592"/>
      <c r="H437" s="3592"/>
      <c r="I437" s="3592"/>
      <c r="J437" s="3593"/>
    </row>
    <row r="438" spans="1:10" ht="12" x14ac:dyDescent="0.2">
      <c r="A438" s="187">
        <v>9233</v>
      </c>
      <c r="B438" s="3592" t="s">
        <v>43</v>
      </c>
      <c r="C438" s="3592"/>
      <c r="D438" s="3592"/>
      <c r="E438" s="3592"/>
      <c r="F438" s="3592"/>
      <c r="G438" s="3592"/>
      <c r="H438" s="3592"/>
      <c r="I438" s="3592"/>
      <c r="J438" s="3593"/>
    </row>
    <row r="439" spans="1:10" ht="12" x14ac:dyDescent="0.2">
      <c r="A439" s="187">
        <v>9241</v>
      </c>
      <c r="B439" s="3592" t="s">
        <v>44</v>
      </c>
      <c r="C439" s="3592"/>
      <c r="D439" s="3592"/>
      <c r="E439" s="3592"/>
      <c r="F439" s="3592"/>
      <c r="G439" s="3592"/>
      <c r="H439" s="3592"/>
      <c r="I439" s="3592"/>
      <c r="J439" s="3593"/>
    </row>
    <row r="440" spans="1:10" ht="12" x14ac:dyDescent="0.2">
      <c r="A440" s="187">
        <v>9242</v>
      </c>
      <c r="B440" s="3592" t="s">
        <v>45</v>
      </c>
      <c r="C440" s="3592"/>
      <c r="D440" s="3592"/>
      <c r="E440" s="3592"/>
      <c r="F440" s="3592"/>
      <c r="G440" s="3592"/>
      <c r="H440" s="3592"/>
      <c r="I440" s="3592"/>
      <c r="J440" s="3593"/>
    </row>
    <row r="441" spans="1:10" ht="12" x14ac:dyDescent="0.2">
      <c r="A441" s="187">
        <v>9249</v>
      </c>
      <c r="B441" s="3592" t="s">
        <v>46</v>
      </c>
      <c r="C441" s="3592"/>
      <c r="D441" s="3592"/>
      <c r="E441" s="3592"/>
      <c r="F441" s="3592"/>
      <c r="G441" s="3592"/>
      <c r="H441" s="3592"/>
      <c r="I441" s="3592"/>
      <c r="J441" s="3593"/>
    </row>
    <row r="442" spans="1:10" ht="12" x14ac:dyDescent="0.2">
      <c r="A442" s="187">
        <v>9301</v>
      </c>
      <c r="B442" s="3592" t="s">
        <v>47</v>
      </c>
      <c r="C442" s="3592"/>
      <c r="D442" s="3592"/>
      <c r="E442" s="3592"/>
      <c r="F442" s="3592"/>
      <c r="G442" s="3592"/>
      <c r="H442" s="3592"/>
      <c r="I442" s="3592"/>
      <c r="J442" s="3593"/>
    </row>
    <row r="443" spans="1:10" ht="12" x14ac:dyDescent="0.2">
      <c r="A443" s="187">
        <v>9302</v>
      </c>
      <c r="B443" s="3592" t="s">
        <v>98</v>
      </c>
      <c r="C443" s="3592"/>
      <c r="D443" s="3592"/>
      <c r="E443" s="3592"/>
      <c r="F443" s="3592"/>
      <c r="G443" s="3592"/>
      <c r="H443" s="3592"/>
      <c r="I443" s="3592"/>
      <c r="J443" s="3593"/>
    </row>
    <row r="444" spans="1:10" ht="12" x14ac:dyDescent="0.2">
      <c r="A444" s="187">
        <v>9303</v>
      </c>
      <c r="B444" s="3592" t="s">
        <v>99</v>
      </c>
      <c r="C444" s="3592"/>
      <c r="D444" s="3592"/>
      <c r="E444" s="3592"/>
      <c r="F444" s="3592"/>
      <c r="G444" s="3592"/>
      <c r="H444" s="3592"/>
      <c r="I444" s="3592"/>
      <c r="J444" s="3593"/>
    </row>
    <row r="445" spans="1:10" ht="12" x14ac:dyDescent="0.2">
      <c r="A445" s="187">
        <v>9309</v>
      </c>
      <c r="B445" s="3592" t="s">
        <v>100</v>
      </c>
      <c r="C445" s="3592"/>
      <c r="D445" s="3592"/>
      <c r="E445" s="3592"/>
      <c r="F445" s="3592"/>
      <c r="G445" s="3592"/>
      <c r="H445" s="3592"/>
      <c r="I445" s="3592"/>
      <c r="J445" s="3593"/>
    </row>
    <row r="446" spans="1:10" ht="12" x14ac:dyDescent="0.2">
      <c r="A446" s="187">
        <v>9500</v>
      </c>
      <c r="B446" s="3592" t="s">
        <v>101</v>
      </c>
      <c r="C446" s="3592"/>
      <c r="D446" s="3592"/>
      <c r="E446" s="3592"/>
      <c r="F446" s="3592"/>
      <c r="G446" s="3592"/>
      <c r="H446" s="3592"/>
      <c r="I446" s="3592"/>
      <c r="J446" s="3593"/>
    </row>
    <row r="447" spans="1:10" ht="12.75" thickBot="1" x14ac:dyDescent="0.25">
      <c r="A447" s="188">
        <v>9900</v>
      </c>
      <c r="B447" s="3594" t="s">
        <v>102</v>
      </c>
      <c r="C447" s="3594"/>
      <c r="D447" s="3594"/>
      <c r="E447" s="3594"/>
      <c r="F447" s="3594"/>
      <c r="G447" s="3594"/>
      <c r="H447" s="3594"/>
      <c r="I447" s="3594"/>
      <c r="J447" s="3595"/>
    </row>
  </sheetData>
  <mergeCells count="446">
    <mergeCell ref="B2:J2"/>
    <mergeCell ref="B3:J3"/>
    <mergeCell ref="B4:J4"/>
    <mergeCell ref="B5:J5"/>
    <mergeCell ref="B14:J14"/>
    <mergeCell ref="B15:J15"/>
    <mergeCell ref="B6:J6"/>
    <mergeCell ref="B7:J7"/>
    <mergeCell ref="B8:J8"/>
    <mergeCell ref="B9:J9"/>
    <mergeCell ref="B16:J16"/>
    <mergeCell ref="B17:J17"/>
    <mergeCell ref="B10:J10"/>
    <mergeCell ref="B11:J11"/>
    <mergeCell ref="B12:J12"/>
    <mergeCell ref="B13:J13"/>
    <mergeCell ref="B26:J26"/>
    <mergeCell ref="B27:J27"/>
    <mergeCell ref="B28:J28"/>
    <mergeCell ref="B29:J29"/>
    <mergeCell ref="B22:J22"/>
    <mergeCell ref="B23:J23"/>
    <mergeCell ref="B24:J24"/>
    <mergeCell ref="B25:J25"/>
    <mergeCell ref="B18:J18"/>
    <mergeCell ref="B19:J19"/>
    <mergeCell ref="B20:J20"/>
    <mergeCell ref="B21:J21"/>
    <mergeCell ref="B38:J38"/>
    <mergeCell ref="B39:J39"/>
    <mergeCell ref="B30:J30"/>
    <mergeCell ref="B31:J31"/>
    <mergeCell ref="B32:J32"/>
    <mergeCell ref="B33:J33"/>
    <mergeCell ref="B40:J40"/>
    <mergeCell ref="B41:J41"/>
    <mergeCell ref="B34:J34"/>
    <mergeCell ref="B35:J35"/>
    <mergeCell ref="B36:J36"/>
    <mergeCell ref="B37:J37"/>
    <mergeCell ref="B50:J50"/>
    <mergeCell ref="B51:J51"/>
    <mergeCell ref="B52:J52"/>
    <mergeCell ref="B53:J53"/>
    <mergeCell ref="B46:J46"/>
    <mergeCell ref="B47:J47"/>
    <mergeCell ref="B48:J48"/>
    <mergeCell ref="B49:J49"/>
    <mergeCell ref="B42:J42"/>
    <mergeCell ref="B43:J43"/>
    <mergeCell ref="B44:J44"/>
    <mergeCell ref="B45:J45"/>
    <mergeCell ref="B62:J62"/>
    <mergeCell ref="B63:J63"/>
    <mergeCell ref="B54:J54"/>
    <mergeCell ref="B55:J55"/>
    <mergeCell ref="B56:J56"/>
    <mergeCell ref="B57:J57"/>
    <mergeCell ref="B64:J64"/>
    <mergeCell ref="B65:J65"/>
    <mergeCell ref="B58:J58"/>
    <mergeCell ref="B59:J59"/>
    <mergeCell ref="B60:J60"/>
    <mergeCell ref="B61:J61"/>
    <mergeCell ref="B74:J74"/>
    <mergeCell ref="B75:J75"/>
    <mergeCell ref="B76:J76"/>
    <mergeCell ref="B77:J77"/>
    <mergeCell ref="B70:J70"/>
    <mergeCell ref="B71:J71"/>
    <mergeCell ref="B72:J72"/>
    <mergeCell ref="B73:J73"/>
    <mergeCell ref="B66:J66"/>
    <mergeCell ref="B67:J67"/>
    <mergeCell ref="B68:J68"/>
    <mergeCell ref="B69:J69"/>
    <mergeCell ref="B86:J86"/>
    <mergeCell ref="B87:J87"/>
    <mergeCell ref="B78:J78"/>
    <mergeCell ref="B79:J79"/>
    <mergeCell ref="B80:J80"/>
    <mergeCell ref="B81:J81"/>
    <mergeCell ref="B88:J88"/>
    <mergeCell ref="B89:J89"/>
    <mergeCell ref="B82:J82"/>
    <mergeCell ref="B83:J83"/>
    <mergeCell ref="B84:J84"/>
    <mergeCell ref="B85:J85"/>
    <mergeCell ref="B98:J98"/>
    <mergeCell ref="B99:J99"/>
    <mergeCell ref="B100:J100"/>
    <mergeCell ref="B101:J101"/>
    <mergeCell ref="B94:J94"/>
    <mergeCell ref="B95:J95"/>
    <mergeCell ref="B96:J96"/>
    <mergeCell ref="B97:J97"/>
    <mergeCell ref="B90:J90"/>
    <mergeCell ref="B91:J91"/>
    <mergeCell ref="B92:J92"/>
    <mergeCell ref="B93:J93"/>
    <mergeCell ref="B110:J110"/>
    <mergeCell ref="B111:J111"/>
    <mergeCell ref="B102:J102"/>
    <mergeCell ref="B103:J103"/>
    <mergeCell ref="B104:J104"/>
    <mergeCell ref="B105:J105"/>
    <mergeCell ref="B112:J112"/>
    <mergeCell ref="B113:J113"/>
    <mergeCell ref="B106:J106"/>
    <mergeCell ref="B107:J107"/>
    <mergeCell ref="B108:J108"/>
    <mergeCell ref="B109:J109"/>
    <mergeCell ref="B122:J122"/>
    <mergeCell ref="B123:J123"/>
    <mergeCell ref="B124:J124"/>
    <mergeCell ref="B125:J125"/>
    <mergeCell ref="B118:J118"/>
    <mergeCell ref="B119:J119"/>
    <mergeCell ref="B120:J120"/>
    <mergeCell ref="B121:J121"/>
    <mergeCell ref="B114:J114"/>
    <mergeCell ref="B115:J115"/>
    <mergeCell ref="B116:J116"/>
    <mergeCell ref="B117:J117"/>
    <mergeCell ref="B134:J134"/>
    <mergeCell ref="B135:J135"/>
    <mergeCell ref="B126:J126"/>
    <mergeCell ref="B127:J127"/>
    <mergeCell ref="B128:J128"/>
    <mergeCell ref="B129:J129"/>
    <mergeCell ref="B136:J136"/>
    <mergeCell ref="B137:J137"/>
    <mergeCell ref="B130:J130"/>
    <mergeCell ref="B131:J131"/>
    <mergeCell ref="B132:J132"/>
    <mergeCell ref="B133:J133"/>
    <mergeCell ref="B146:J146"/>
    <mergeCell ref="B147:J147"/>
    <mergeCell ref="B148:J148"/>
    <mergeCell ref="B149:J149"/>
    <mergeCell ref="B142:J142"/>
    <mergeCell ref="B143:J143"/>
    <mergeCell ref="B144:J144"/>
    <mergeCell ref="B145:J145"/>
    <mergeCell ref="B138:J138"/>
    <mergeCell ref="B139:J139"/>
    <mergeCell ref="B140:J140"/>
    <mergeCell ref="B141:J141"/>
    <mergeCell ref="B158:J158"/>
    <mergeCell ref="B159:J159"/>
    <mergeCell ref="B150:J150"/>
    <mergeCell ref="B151:J151"/>
    <mergeCell ref="B152:J152"/>
    <mergeCell ref="B153:J153"/>
    <mergeCell ref="B160:J160"/>
    <mergeCell ref="B161:J161"/>
    <mergeCell ref="B154:J154"/>
    <mergeCell ref="B155:J155"/>
    <mergeCell ref="B156:J156"/>
    <mergeCell ref="B157:J157"/>
    <mergeCell ref="B170:J170"/>
    <mergeCell ref="B171:J171"/>
    <mergeCell ref="B172:J172"/>
    <mergeCell ref="B173:J173"/>
    <mergeCell ref="B166:J166"/>
    <mergeCell ref="B167:J167"/>
    <mergeCell ref="B168:J168"/>
    <mergeCell ref="B169:J169"/>
    <mergeCell ref="B162:J162"/>
    <mergeCell ref="B163:J163"/>
    <mergeCell ref="B164:J164"/>
    <mergeCell ref="B165:J165"/>
    <mergeCell ref="B182:J182"/>
    <mergeCell ref="B183:J183"/>
    <mergeCell ref="B174:J174"/>
    <mergeCell ref="B175:J175"/>
    <mergeCell ref="B176:J176"/>
    <mergeCell ref="B177:J177"/>
    <mergeCell ref="B184:J184"/>
    <mergeCell ref="B185:J185"/>
    <mergeCell ref="B178:J178"/>
    <mergeCell ref="B179:J179"/>
    <mergeCell ref="B180:J180"/>
    <mergeCell ref="B181:J181"/>
    <mergeCell ref="B194:J194"/>
    <mergeCell ref="B195:J195"/>
    <mergeCell ref="B196:J196"/>
    <mergeCell ref="B197:J197"/>
    <mergeCell ref="B190:J190"/>
    <mergeCell ref="B191:J191"/>
    <mergeCell ref="B192:J192"/>
    <mergeCell ref="B193:J193"/>
    <mergeCell ref="B186:J186"/>
    <mergeCell ref="B187:J187"/>
    <mergeCell ref="B188:J188"/>
    <mergeCell ref="B189:J189"/>
    <mergeCell ref="B206:J206"/>
    <mergeCell ref="B207:J207"/>
    <mergeCell ref="B198:J198"/>
    <mergeCell ref="B199:J199"/>
    <mergeCell ref="B200:J200"/>
    <mergeCell ref="B201:J201"/>
    <mergeCell ref="B208:J208"/>
    <mergeCell ref="B209:J209"/>
    <mergeCell ref="B202:J202"/>
    <mergeCell ref="B203:J203"/>
    <mergeCell ref="B204:J204"/>
    <mergeCell ref="B205:J205"/>
    <mergeCell ref="B218:J218"/>
    <mergeCell ref="B219:J219"/>
    <mergeCell ref="B220:J220"/>
    <mergeCell ref="B221:J221"/>
    <mergeCell ref="B214:J214"/>
    <mergeCell ref="B215:J215"/>
    <mergeCell ref="B216:J216"/>
    <mergeCell ref="B217:J217"/>
    <mergeCell ref="B210:J210"/>
    <mergeCell ref="B211:J211"/>
    <mergeCell ref="B212:J212"/>
    <mergeCell ref="B213:J213"/>
    <mergeCell ref="B230:J230"/>
    <mergeCell ref="B231:J231"/>
    <mergeCell ref="B222:J222"/>
    <mergeCell ref="B223:J223"/>
    <mergeCell ref="B224:J224"/>
    <mergeCell ref="B225:J225"/>
    <mergeCell ref="B232:J232"/>
    <mergeCell ref="B233:J233"/>
    <mergeCell ref="B226:J226"/>
    <mergeCell ref="B227:J227"/>
    <mergeCell ref="B228:J228"/>
    <mergeCell ref="B229:J229"/>
    <mergeCell ref="B242:J242"/>
    <mergeCell ref="B243:J243"/>
    <mergeCell ref="B244:J244"/>
    <mergeCell ref="B245:J245"/>
    <mergeCell ref="B238:J238"/>
    <mergeCell ref="B239:J239"/>
    <mergeCell ref="B240:J240"/>
    <mergeCell ref="B241:J241"/>
    <mergeCell ref="B234:J234"/>
    <mergeCell ref="B235:J235"/>
    <mergeCell ref="B236:J236"/>
    <mergeCell ref="B237:J237"/>
    <mergeCell ref="B254:J254"/>
    <mergeCell ref="B255:J255"/>
    <mergeCell ref="B246:J246"/>
    <mergeCell ref="B247:J247"/>
    <mergeCell ref="B248:J248"/>
    <mergeCell ref="B249:J249"/>
    <mergeCell ref="B256:J256"/>
    <mergeCell ref="B257:J257"/>
    <mergeCell ref="B250:J250"/>
    <mergeCell ref="B251:J251"/>
    <mergeCell ref="B252:J252"/>
    <mergeCell ref="B253:J253"/>
    <mergeCell ref="B266:J266"/>
    <mergeCell ref="B267:J267"/>
    <mergeCell ref="B268:J268"/>
    <mergeCell ref="B269:J269"/>
    <mergeCell ref="B262:J262"/>
    <mergeCell ref="B263:J263"/>
    <mergeCell ref="B264:J264"/>
    <mergeCell ref="B265:J265"/>
    <mergeCell ref="B258:J258"/>
    <mergeCell ref="B259:J259"/>
    <mergeCell ref="B260:J260"/>
    <mergeCell ref="B261:J261"/>
    <mergeCell ref="B278:J278"/>
    <mergeCell ref="B279:J279"/>
    <mergeCell ref="B270:J270"/>
    <mergeCell ref="B271:J271"/>
    <mergeCell ref="B272:J272"/>
    <mergeCell ref="B273:J273"/>
    <mergeCell ref="B280:J280"/>
    <mergeCell ref="B281:J281"/>
    <mergeCell ref="B274:J274"/>
    <mergeCell ref="B275:J275"/>
    <mergeCell ref="B276:J276"/>
    <mergeCell ref="B277:J277"/>
    <mergeCell ref="B290:J290"/>
    <mergeCell ref="B291:J291"/>
    <mergeCell ref="B292:J292"/>
    <mergeCell ref="B293:J293"/>
    <mergeCell ref="B286:J286"/>
    <mergeCell ref="B287:J287"/>
    <mergeCell ref="B288:J288"/>
    <mergeCell ref="B289:J289"/>
    <mergeCell ref="B282:J282"/>
    <mergeCell ref="B283:J283"/>
    <mergeCell ref="B284:J284"/>
    <mergeCell ref="B285:J285"/>
    <mergeCell ref="B302:J302"/>
    <mergeCell ref="B303:J303"/>
    <mergeCell ref="B294:J294"/>
    <mergeCell ref="B295:J295"/>
    <mergeCell ref="B296:J296"/>
    <mergeCell ref="B297:J297"/>
    <mergeCell ref="B304:J304"/>
    <mergeCell ref="B305:J305"/>
    <mergeCell ref="B298:J298"/>
    <mergeCell ref="B299:J299"/>
    <mergeCell ref="B300:J300"/>
    <mergeCell ref="B301:J301"/>
    <mergeCell ref="B314:J314"/>
    <mergeCell ref="B315:J315"/>
    <mergeCell ref="B316:J316"/>
    <mergeCell ref="B317:J317"/>
    <mergeCell ref="B310:J310"/>
    <mergeCell ref="B311:J311"/>
    <mergeCell ref="B312:J312"/>
    <mergeCell ref="B313:J313"/>
    <mergeCell ref="B306:J306"/>
    <mergeCell ref="B307:J307"/>
    <mergeCell ref="B308:J308"/>
    <mergeCell ref="B309:J309"/>
    <mergeCell ref="B326:J326"/>
    <mergeCell ref="B327:J327"/>
    <mergeCell ref="B318:J318"/>
    <mergeCell ref="B319:J319"/>
    <mergeCell ref="B320:J320"/>
    <mergeCell ref="B321:J321"/>
    <mergeCell ref="B328:J328"/>
    <mergeCell ref="B329:J329"/>
    <mergeCell ref="B322:J322"/>
    <mergeCell ref="B323:J323"/>
    <mergeCell ref="B324:J324"/>
    <mergeCell ref="B325:J325"/>
    <mergeCell ref="B338:J338"/>
    <mergeCell ref="B339:J339"/>
    <mergeCell ref="B340:J340"/>
    <mergeCell ref="B341:J341"/>
    <mergeCell ref="B334:J334"/>
    <mergeCell ref="B335:J335"/>
    <mergeCell ref="B336:J336"/>
    <mergeCell ref="B337:J337"/>
    <mergeCell ref="B330:J330"/>
    <mergeCell ref="B331:J331"/>
    <mergeCell ref="B332:J332"/>
    <mergeCell ref="B333:J333"/>
    <mergeCell ref="B350:J350"/>
    <mergeCell ref="B351:J351"/>
    <mergeCell ref="B342:J342"/>
    <mergeCell ref="B343:J343"/>
    <mergeCell ref="B344:J344"/>
    <mergeCell ref="B345:J345"/>
    <mergeCell ref="B352:J352"/>
    <mergeCell ref="B353:J353"/>
    <mergeCell ref="B346:J346"/>
    <mergeCell ref="B347:J347"/>
    <mergeCell ref="B348:J348"/>
    <mergeCell ref="B349:J349"/>
    <mergeCell ref="B362:J362"/>
    <mergeCell ref="B363:J363"/>
    <mergeCell ref="B364:J364"/>
    <mergeCell ref="B365:J365"/>
    <mergeCell ref="B358:J358"/>
    <mergeCell ref="B359:J359"/>
    <mergeCell ref="B360:J360"/>
    <mergeCell ref="B361:J361"/>
    <mergeCell ref="B354:J354"/>
    <mergeCell ref="B355:J355"/>
    <mergeCell ref="B356:J356"/>
    <mergeCell ref="B357:J357"/>
    <mergeCell ref="B374:J374"/>
    <mergeCell ref="B375:J375"/>
    <mergeCell ref="B366:J366"/>
    <mergeCell ref="B367:J367"/>
    <mergeCell ref="B368:J368"/>
    <mergeCell ref="B369:J369"/>
    <mergeCell ref="B376:J376"/>
    <mergeCell ref="B377:J377"/>
    <mergeCell ref="B370:J370"/>
    <mergeCell ref="B371:J371"/>
    <mergeCell ref="B372:J372"/>
    <mergeCell ref="B373:J373"/>
    <mergeCell ref="B386:J386"/>
    <mergeCell ref="B387:J387"/>
    <mergeCell ref="B388:J388"/>
    <mergeCell ref="B389:J389"/>
    <mergeCell ref="B382:J382"/>
    <mergeCell ref="B383:J383"/>
    <mergeCell ref="B384:J384"/>
    <mergeCell ref="B385:J385"/>
    <mergeCell ref="B378:J378"/>
    <mergeCell ref="B379:J379"/>
    <mergeCell ref="B380:J380"/>
    <mergeCell ref="B381:J381"/>
    <mergeCell ref="B398:J398"/>
    <mergeCell ref="B399:J399"/>
    <mergeCell ref="B390:J390"/>
    <mergeCell ref="B391:J391"/>
    <mergeCell ref="B392:J392"/>
    <mergeCell ref="B393:J393"/>
    <mergeCell ref="B400:J400"/>
    <mergeCell ref="B401:J401"/>
    <mergeCell ref="B394:J394"/>
    <mergeCell ref="B395:J395"/>
    <mergeCell ref="B396:J396"/>
    <mergeCell ref="B397:J397"/>
    <mergeCell ref="B410:J410"/>
    <mergeCell ref="B411:J411"/>
    <mergeCell ref="B412:J412"/>
    <mergeCell ref="B413:J413"/>
    <mergeCell ref="B406:J406"/>
    <mergeCell ref="B407:J407"/>
    <mergeCell ref="B408:J408"/>
    <mergeCell ref="B409:J409"/>
    <mergeCell ref="B402:J402"/>
    <mergeCell ref="B403:J403"/>
    <mergeCell ref="B404:J404"/>
    <mergeCell ref="B405:J405"/>
    <mergeCell ref="B422:J422"/>
    <mergeCell ref="B423:J423"/>
    <mergeCell ref="B414:J414"/>
    <mergeCell ref="B415:J415"/>
    <mergeCell ref="B416:J416"/>
    <mergeCell ref="B417:J417"/>
    <mergeCell ref="B424:J424"/>
    <mergeCell ref="B425:J425"/>
    <mergeCell ref="B418:J418"/>
    <mergeCell ref="B419:J419"/>
    <mergeCell ref="B420:J420"/>
    <mergeCell ref="B421:J421"/>
    <mergeCell ref="B446:J446"/>
    <mergeCell ref="B447:J447"/>
    <mergeCell ref="B442:J442"/>
    <mergeCell ref="B443:J443"/>
    <mergeCell ref="B444:J444"/>
    <mergeCell ref="B445:J445"/>
    <mergeCell ref="B438:J438"/>
    <mergeCell ref="B439:J439"/>
    <mergeCell ref="B440:J440"/>
    <mergeCell ref="B441:J441"/>
    <mergeCell ref="B426:J426"/>
    <mergeCell ref="B427:J427"/>
    <mergeCell ref="B428:J428"/>
    <mergeCell ref="B429:J429"/>
    <mergeCell ref="B434:J434"/>
    <mergeCell ref="B435:J435"/>
    <mergeCell ref="B436:J436"/>
    <mergeCell ref="B437:J437"/>
    <mergeCell ref="B430:J430"/>
    <mergeCell ref="B431:J431"/>
    <mergeCell ref="B432:J432"/>
    <mergeCell ref="B433:J433"/>
  </mergeCells>
  <phoneticPr fontId="0" type="noConversion"/>
  <pageMargins left="0.75" right="0.75" top="1" bottom="1" header="0" footer="0"/>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49</vt:i4>
      </vt:variant>
      <vt:variant>
        <vt:lpstr>Rangos con nombre</vt:lpstr>
      </vt:variant>
      <vt:variant>
        <vt:i4>60</vt:i4>
      </vt:variant>
    </vt:vector>
  </HeadingPairs>
  <TitlesOfParts>
    <vt:vector size="109" baseType="lpstr">
      <vt:lpstr>SCAN</vt:lpstr>
      <vt:lpstr>Hoja2</vt:lpstr>
      <vt:lpstr>General</vt:lpstr>
      <vt:lpstr>Scoring</vt:lpstr>
      <vt:lpstr>ParametrosPry</vt:lpstr>
      <vt:lpstr>Info Entrada</vt:lpstr>
      <vt:lpstr>P4</vt:lpstr>
      <vt:lpstr>Bases Proy</vt:lpstr>
      <vt:lpstr>Cuadros</vt:lpstr>
      <vt:lpstr>Datos Financieros Consolidados</vt:lpstr>
      <vt:lpstr>EEFF Moneda</vt:lpstr>
      <vt:lpstr>Potencial de Apoyo</vt:lpstr>
      <vt:lpstr>Data</vt:lpstr>
      <vt:lpstr>FEVE</vt:lpstr>
      <vt:lpstr>AR</vt:lpstr>
      <vt:lpstr>Activos</vt:lpstr>
      <vt:lpstr>Pasivos</vt:lpstr>
      <vt:lpstr>Estado de Resultados</vt:lpstr>
      <vt:lpstr>Indicadores</vt:lpstr>
      <vt:lpstr>Resumen Cuadros</vt:lpstr>
      <vt:lpstr>Activos (USD)</vt:lpstr>
      <vt:lpstr>Pasivos (USD)</vt:lpstr>
      <vt:lpstr>AR (USD)</vt:lpstr>
      <vt:lpstr>Posiciones (USD)</vt:lpstr>
      <vt:lpstr>Estado de Resultados (USD)</vt:lpstr>
      <vt:lpstr>Indicadores (USD)</vt:lpstr>
      <vt:lpstr>Resumen Cuadros (USD)</vt:lpstr>
      <vt:lpstr>Datos relevantes</vt:lpstr>
      <vt:lpstr>Duración</vt:lpstr>
      <vt:lpstr>Revisión</vt:lpstr>
      <vt:lpstr>Descripción</vt:lpstr>
      <vt:lpstr>Graficos con proy</vt:lpstr>
      <vt:lpstr>Rating</vt:lpstr>
      <vt:lpstr>Datos Finan</vt:lpstr>
      <vt:lpstr>Cash Flow</vt:lpstr>
      <vt:lpstr>WGI</vt:lpstr>
      <vt:lpstr>GDPGrowth</vt:lpstr>
      <vt:lpstr>GDPpercapita</vt:lpstr>
      <vt:lpstr>Parametros</vt:lpstr>
      <vt:lpstr>Estructura de la Deuda</vt:lpstr>
      <vt:lpstr>Comparables</vt:lpstr>
      <vt:lpstr>Posiciones</vt:lpstr>
      <vt:lpstr>Simulacion individual</vt:lpstr>
      <vt:lpstr>Resumen EEFF</vt:lpstr>
      <vt:lpstr>Plan de Negocio</vt:lpstr>
      <vt:lpstr>Posición</vt:lpstr>
      <vt:lpstr>Resumen BBDD</vt:lpstr>
      <vt:lpstr>BBDD Estado Cash Flow</vt:lpstr>
      <vt:lpstr>CIIU</vt:lpstr>
      <vt:lpstr>Activos!Área_de_impresión</vt:lpstr>
      <vt:lpstr>AR!Área_de_impresión</vt:lpstr>
      <vt:lpstr>'AR (USD)'!Área_de_impresión</vt:lpstr>
      <vt:lpstr>'Cash Flow'!Área_de_impresión</vt:lpstr>
      <vt:lpstr>Cuadros!Área_de_impresión</vt:lpstr>
      <vt:lpstr>'Datos Finan'!Área_de_impresión</vt:lpstr>
      <vt:lpstr>'Datos Financieros Consolidados'!Área_de_impresión</vt:lpstr>
      <vt:lpstr>Descripción!Área_de_impresión</vt:lpstr>
      <vt:lpstr>'EEFF Moneda'!Área_de_impresión</vt:lpstr>
      <vt:lpstr>'Estado de Resultados'!Área_de_impresión</vt:lpstr>
      <vt:lpstr>'Estructura de la Deuda'!Área_de_impresión</vt:lpstr>
      <vt:lpstr>FEVE!Área_de_impresión</vt:lpstr>
      <vt:lpstr>General!Área_de_impresión</vt:lpstr>
      <vt:lpstr>'Graficos con proy'!Área_de_impresión</vt:lpstr>
      <vt:lpstr>Indicadores!Área_de_impresión</vt:lpstr>
      <vt:lpstr>'Indicadores (USD)'!Área_de_impresión</vt:lpstr>
      <vt:lpstr>'Info Entrada'!Área_de_impresión</vt:lpstr>
      <vt:lpstr>'P4'!Área_de_impresión</vt:lpstr>
      <vt:lpstr>Pasivos!Área_de_impresión</vt:lpstr>
      <vt:lpstr>'Pasivos (USD)'!Área_de_impresión</vt:lpstr>
      <vt:lpstr>'Plan de Negocio'!Área_de_impresión</vt:lpstr>
      <vt:lpstr>Posición!Área_de_impresión</vt:lpstr>
      <vt:lpstr>Posiciones!Área_de_impresión</vt:lpstr>
      <vt:lpstr>'Posiciones (USD)'!Área_de_impresión</vt:lpstr>
      <vt:lpstr>Rating!Área_de_impresión</vt:lpstr>
      <vt:lpstr>'Resumen Cuadros'!Área_de_impresión</vt:lpstr>
      <vt:lpstr>'Resumen EEFF'!Área_de_impresión</vt:lpstr>
      <vt:lpstr>Revisión!Área_de_impresión</vt:lpstr>
      <vt:lpstr>SCAN!Área_de_impresión</vt:lpstr>
      <vt:lpstr>cierres</vt:lpstr>
      <vt:lpstr>CIIU</vt:lpstr>
      <vt:lpstr>'AR (USD)'!CodCIIU</vt:lpstr>
      <vt:lpstr>FEVE!CodCIIU</vt:lpstr>
      <vt:lpstr>CodCIIU</vt:lpstr>
      <vt:lpstr>Facilidad</vt:lpstr>
      <vt:lpstr>'AR (USD)'!FEVE</vt:lpstr>
      <vt:lpstr>FEVE!FEVE</vt:lpstr>
      <vt:lpstr>SCAN!FEVE</vt:lpstr>
      <vt:lpstr>FEVE</vt:lpstr>
      <vt:lpstr>inicio</vt:lpstr>
      <vt:lpstr>NCiiu</vt:lpstr>
      <vt:lpstr>Plazo</vt:lpstr>
      <vt:lpstr>Precio</vt:lpstr>
      <vt:lpstr>'EEFF Moneda'!Proyeccion</vt:lpstr>
      <vt:lpstr>Proyeccion</vt:lpstr>
      <vt:lpstr>RATING</vt:lpstr>
      <vt:lpstr>'AR (USD)'!rorac</vt:lpstr>
      <vt:lpstr>FEVE!rorac</vt:lpstr>
      <vt:lpstr>SCAN!rorac</vt:lpstr>
      <vt:lpstr>rorac</vt:lpstr>
      <vt:lpstr>'AR (USD)'!roraccc</vt:lpstr>
      <vt:lpstr>FEVE!roraccc</vt:lpstr>
      <vt:lpstr>SCAN!roraccc</vt:lpstr>
      <vt:lpstr>roraccc</vt:lpstr>
      <vt:lpstr>'AR (USD)'!SiNo</vt:lpstr>
      <vt:lpstr>FEVE!SiNo</vt:lpstr>
      <vt:lpstr>SCAN!SiNo</vt:lpstr>
      <vt:lpstr>SiNo</vt:lpstr>
      <vt:lpstr>'Info Entrada'!Títulos_a_imprimir</vt:lpstr>
      <vt:lpstr>TRM</vt:lpstr>
    </vt:vector>
  </TitlesOfParts>
  <Company>BANCO SANTANDER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Andrés Castellanos</dc:creator>
  <cp:lastModifiedBy>x302266</cp:lastModifiedBy>
  <cp:lastPrinted>2019-11-07T14:19:13Z</cp:lastPrinted>
  <dcterms:created xsi:type="dcterms:W3CDTF">2003-11-20T13:46:28Z</dcterms:created>
  <dcterms:modified xsi:type="dcterms:W3CDTF">2019-11-07T19:50:07Z</dcterms:modified>
</cp:coreProperties>
</file>