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VirtualSystems\_Share\Work\MyProjects\_Doc_\SEN5x\"/>
    </mc:Choice>
  </mc:AlternateContent>
  <xr:revisionPtr revIDLastSave="0" documentId="13_ncr:1_{98F43C59-B6DC-4DA3-B629-98F9C593ADBF}" xr6:coauthVersionLast="47" xr6:coauthVersionMax="47" xr10:uidLastSave="{00000000-0000-0000-0000-000000000000}"/>
  <bookViews>
    <workbookView xWindow="-120" yWindow="-120" windowWidth="29040" windowHeight="15990" xr2:uid="{8E6644BC-BDCC-431B-9B07-E28D53574A45}"/>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21" i="1" l="1"/>
  <c r="AC18" i="1"/>
  <c r="AC15" i="1"/>
  <c r="AC12" i="1"/>
  <c r="AC9" i="1"/>
  <c r="U9" i="1"/>
  <c r="AB9" i="1"/>
  <c r="AA9" i="1"/>
  <c r="W21" i="1"/>
  <c r="V21" i="1"/>
  <c r="U21" i="1"/>
  <c r="AO20" i="1" s="1"/>
  <c r="T21" i="1"/>
  <c r="AN20" i="1" s="1"/>
  <c r="W18" i="1"/>
  <c r="V18" i="1"/>
  <c r="U18" i="1"/>
  <c r="AO17" i="1" s="1"/>
  <c r="T18" i="1"/>
  <c r="AN17" i="1" s="1"/>
  <c r="W15" i="1"/>
  <c r="V15" i="1"/>
  <c r="U15" i="1"/>
  <c r="AO14" i="1" s="1"/>
  <c r="T15" i="1"/>
  <c r="AN14" i="1" s="1"/>
  <c r="W12" i="1"/>
  <c r="V12" i="1"/>
  <c r="U12" i="1"/>
  <c r="AO11" i="1" s="1"/>
  <c r="T12" i="1"/>
  <c r="AN11" i="1" s="1"/>
  <c r="W9" i="1"/>
  <c r="V9" i="1"/>
  <c r="AJ21" i="1"/>
  <c r="AI21" i="1"/>
  <c r="AJ18" i="1"/>
  <c r="AI18" i="1"/>
  <c r="AJ15" i="1"/>
  <c r="AI15" i="1"/>
  <c r="AJ12" i="1"/>
  <c r="AI12" i="1"/>
  <c r="AJ9" i="1"/>
  <c r="AI9" i="1"/>
  <c r="AB21" i="1"/>
  <c r="AA21" i="1"/>
  <c r="AB18" i="1"/>
  <c r="AA18" i="1"/>
  <c r="AB15" i="1"/>
  <c r="AA15" i="1"/>
  <c r="AB12" i="1"/>
  <c r="AA12" i="1"/>
  <c r="T9" i="1"/>
  <c r="AN8" i="1" s="1"/>
  <c r="P21" i="1"/>
  <c r="O21" i="1"/>
  <c r="N21" i="1"/>
  <c r="M21" i="1"/>
  <c r="L21" i="1"/>
  <c r="K21" i="1"/>
  <c r="J21" i="1"/>
  <c r="I21" i="1"/>
  <c r="P18" i="1"/>
  <c r="O18" i="1"/>
  <c r="N18" i="1"/>
  <c r="M18" i="1"/>
  <c r="L18" i="1"/>
  <c r="K18" i="1"/>
  <c r="J18" i="1"/>
  <c r="I18" i="1"/>
  <c r="P15" i="1"/>
  <c r="O15" i="1"/>
  <c r="N15" i="1"/>
  <c r="M15" i="1"/>
  <c r="L15" i="1"/>
  <c r="K15" i="1"/>
  <c r="J15" i="1"/>
  <c r="I15" i="1"/>
  <c r="P12" i="1"/>
  <c r="O12" i="1"/>
  <c r="N12" i="1"/>
  <c r="M12" i="1"/>
  <c r="L12" i="1"/>
  <c r="K12" i="1"/>
  <c r="J12" i="1"/>
  <c r="I12" i="1"/>
  <c r="N9" i="1"/>
  <c r="M9" i="1"/>
  <c r="O9" i="1"/>
  <c r="P9" i="1"/>
  <c r="J9" i="1"/>
  <c r="K9" i="1"/>
  <c r="L9" i="1"/>
  <c r="I9" i="1"/>
  <c r="AQ8" i="1" l="1"/>
  <c r="AQ11" i="1"/>
  <c r="AQ14" i="1"/>
  <c r="AQ17" i="1"/>
  <c r="AQ20" i="1"/>
  <c r="AP11" i="1"/>
  <c r="AP14" i="1"/>
  <c r="AR14" i="1" s="1"/>
  <c r="AS14" i="1" s="1"/>
  <c r="AO8" i="1"/>
  <c r="AP8" i="1" s="1"/>
  <c r="AP17" i="1"/>
  <c r="AR17" i="1" s="1"/>
  <c r="AS17" i="1" s="1"/>
  <c r="AP20" i="1"/>
  <c r="AR20" i="1" s="1"/>
  <c r="AS20" i="1" s="1"/>
  <c r="AR8" i="1" l="1"/>
  <c r="AS8" i="1" s="1"/>
  <c r="AR11" i="1"/>
  <c r="AS11" i="1" s="1"/>
</calcChain>
</file>

<file path=xl/sharedStrings.xml><?xml version="1.0" encoding="utf-8"?>
<sst xmlns="http://schemas.openxmlformats.org/spreadsheetml/2006/main" count="65" uniqueCount="39">
  <si>
    <t>2023-06-25T17:47:09.348163</t>
  </si>
  <si>
    <t>PRO</t>
  </si>
  <si>
    <t>RAW</t>
  </si>
  <si>
    <t>MYS</t>
  </si>
  <si>
    <t>ZHA</t>
  </si>
  <si>
    <t>2023-06-25T17:47:10.368067</t>
  </si>
  <si>
    <t>2023-06-25T17:47:11.388047</t>
  </si>
  <si>
    <t>2023-06-25T17:47:12.407920</t>
  </si>
  <si>
    <t>2023-06-25T17:47:13.429023</t>
  </si>
  <si>
    <t>PM1.0</t>
  </si>
  <si>
    <t>PM2.5</t>
  </si>
  <si>
    <t>PM4.0</t>
  </si>
  <si>
    <t>PM10.0</t>
  </si>
  <si>
    <t>HUM</t>
  </si>
  <si>
    <t>Temp</t>
  </si>
  <si>
    <t>VOC</t>
  </si>
  <si>
    <t>NOC</t>
  </si>
  <si>
    <t>R HUM</t>
  </si>
  <si>
    <t>R Temp</t>
  </si>
  <si>
    <t>R NOX</t>
  </si>
  <si>
    <t>R VOC</t>
  </si>
  <si>
    <t>ln</t>
  </si>
  <si>
    <t>rap</t>
  </si>
  <si>
    <t>F Temp</t>
  </si>
  <si>
    <t>F HUM</t>
  </si>
  <si>
    <t>offset</t>
  </si>
  <si>
    <t>MyCalc</t>
  </si>
  <si>
    <t>e/e</t>
  </si>
  <si>
    <t>Dp</t>
  </si>
  <si>
    <t>a (beta)=</t>
  </si>
  <si>
    <t>b (lamda)=</t>
  </si>
  <si>
    <t>Steps:</t>
  </si>
  <si>
    <t>01. For RAW value RH and Temp calculate Dp (DewPoint)</t>
  </si>
  <si>
    <t>04. for this new temp value (F Temp) with the help of Dp (calculatete in step 01) you can calculate the new RH (formula for RH in picture)</t>
  </si>
  <si>
    <t xml:space="preserve">          Info: https://en.wikipedia.org/wiki/Dew_point</t>
  </si>
  <si>
    <t>03. In may case I conclude to apply another half of the offset so my Final Temp become 
F Temp = R Temp+(3/2)*offset</t>
  </si>
  <si>
    <t>02. I think Mystery Word It's an offset calculatet for Temp, an int 16 vith sign, 
when you apply this ofset to raw temp value you get value for process Temp, but for this process value you MUST apply another offset temp becouse you have all device inside a box and some electronic parts disipate heat</t>
  </si>
  <si>
    <t xml:space="preserve">          Info: some people use offset=-2.4   https://github.com/esphome/issues/issues/3742
          Info: other people use offset=-2.78   https://github.com/esphome/issues/issues/3428
          Info: I prefer to use half of reading offset ….</t>
  </si>
  <si>
    <t>use this value for large range of temperature  and relatively small error: −45 °C ≤ T ≤ 60 °C (error ±0.35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</si>
</sst>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Arial Unicode MS"/>
      <family val="2"/>
    </font>
    <font>
      <b/>
      <sz val="11"/>
      <color rgb="FFFF00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7">
    <xf numFmtId="0" fontId="0" fillId="0" borderId="0" xfId="0"/>
    <xf numFmtId="0" fontId="2" fillId="0" borderId="0" xfId="0" applyFont="1" applyAlignment="1">
      <alignment vertical="center"/>
    </xf>
    <xf numFmtId="0" fontId="1" fillId="0" borderId="0" xfId="0" applyFont="1"/>
    <xf numFmtId="0" fontId="3" fillId="0" borderId="0" xfId="0" applyFont="1"/>
    <xf numFmtId="0" fontId="5" fillId="0" borderId="0" xfId="1"/>
    <xf numFmtId="0" fontId="6" fillId="0" borderId="0" xfId="0" applyFont="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37</xdr:col>
      <xdr:colOff>152400</xdr:colOff>
      <xdr:row>22</xdr:row>
      <xdr:rowOff>95250</xdr:rowOff>
    </xdr:from>
    <xdr:to>
      <xdr:col>46</xdr:col>
      <xdr:colOff>28575</xdr:colOff>
      <xdr:row>53</xdr:row>
      <xdr:rowOff>47625</xdr:rowOff>
    </xdr:to>
    <xdr:pic>
      <xdr:nvPicPr>
        <xdr:cNvPr id="2" name="Picture 1">
          <a:extLst>
            <a:ext uri="{FF2B5EF4-FFF2-40B4-BE49-F238E27FC236}">
              <a16:creationId xmlns:a16="http://schemas.microsoft.com/office/drawing/2014/main" id="{E1FCB555-8221-AF79-DB3B-4CA829F87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02975" y="4286250"/>
          <a:ext cx="5362575" cy="7191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171450</xdr:colOff>
      <xdr:row>54</xdr:row>
      <xdr:rowOff>104776</xdr:rowOff>
    </xdr:from>
    <xdr:to>
      <xdr:col>46</xdr:col>
      <xdr:colOff>145613</xdr:colOff>
      <xdr:row>75</xdr:row>
      <xdr:rowOff>85725</xdr:rowOff>
    </xdr:to>
    <xdr:pic>
      <xdr:nvPicPr>
        <xdr:cNvPr id="3" name="Picture 2">
          <a:extLst>
            <a:ext uri="{FF2B5EF4-FFF2-40B4-BE49-F238E27FC236}">
              <a16:creationId xmlns:a16="http://schemas.microsoft.com/office/drawing/2014/main" id="{4D4225A4-6349-D51B-5997-9F6233C6FCE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22025" y="11725276"/>
          <a:ext cx="5460563" cy="39814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E08AA-912E-4462-A7F4-B21545BD4148}">
  <dimension ref="C3:AY31"/>
  <sheetViews>
    <sheetView tabSelected="1" workbookViewId="0"/>
  </sheetViews>
  <sheetFormatPr defaultRowHeight="15" x14ac:dyDescent="0.25"/>
  <cols>
    <col min="3" max="3" width="25.5703125" style="2" bestFit="1" customWidth="1"/>
    <col min="7" max="7" width="9.140625" style="3"/>
    <col min="18" max="18" width="9.140625" style="3"/>
    <col min="25" max="25" width="9.140625" style="3"/>
    <col min="31" max="31" width="9.140625" style="3"/>
    <col min="49" max="49" width="91.85546875" style="6" customWidth="1"/>
  </cols>
  <sheetData>
    <row r="3" spans="3:45" x14ac:dyDescent="0.25">
      <c r="AO3" t="s">
        <v>29</v>
      </c>
      <c r="AP3">
        <v>17.62</v>
      </c>
      <c r="AR3" t="s">
        <v>38</v>
      </c>
    </row>
    <row r="4" spans="3:45" x14ac:dyDescent="0.25">
      <c r="AO4" t="s">
        <v>30</v>
      </c>
      <c r="AP4">
        <v>243.12</v>
      </c>
    </row>
    <row r="6" spans="3:45" x14ac:dyDescent="0.25">
      <c r="I6" s="2" t="s">
        <v>9</v>
      </c>
      <c r="J6" s="2" t="s">
        <v>10</v>
      </c>
      <c r="K6" s="2" t="s">
        <v>11</v>
      </c>
      <c r="L6" s="2" t="s">
        <v>12</v>
      </c>
      <c r="M6" s="2" t="s">
        <v>13</v>
      </c>
      <c r="N6" s="2" t="s">
        <v>14</v>
      </c>
      <c r="O6" s="2" t="s">
        <v>15</v>
      </c>
      <c r="P6" s="2" t="s">
        <v>16</v>
      </c>
      <c r="Q6" s="2"/>
      <c r="T6" s="2" t="s">
        <v>17</v>
      </c>
      <c r="U6" s="2" t="s">
        <v>18</v>
      </c>
      <c r="V6" s="2" t="s">
        <v>20</v>
      </c>
      <c r="W6" s="2" t="s">
        <v>19</v>
      </c>
      <c r="X6" s="2"/>
      <c r="AA6" s="2" t="s">
        <v>17</v>
      </c>
      <c r="AB6" s="2" t="s">
        <v>18</v>
      </c>
      <c r="AC6" s="3" t="s">
        <v>25</v>
      </c>
      <c r="AG6" s="2" t="s">
        <v>10</v>
      </c>
      <c r="AH6" s="2" t="s">
        <v>15</v>
      </c>
      <c r="AI6" s="2" t="s">
        <v>13</v>
      </c>
      <c r="AJ6" s="2" t="s">
        <v>14</v>
      </c>
      <c r="AN6" s="2" t="s">
        <v>21</v>
      </c>
      <c r="AO6" s="2" t="s">
        <v>22</v>
      </c>
      <c r="AP6" s="2" t="s">
        <v>28</v>
      </c>
      <c r="AQ6" s="2" t="s">
        <v>23</v>
      </c>
      <c r="AR6" s="2" t="s">
        <v>27</v>
      </c>
      <c r="AS6" s="2" t="s">
        <v>24</v>
      </c>
    </row>
    <row r="8" spans="3:45" x14ac:dyDescent="0.25">
      <c r="C8" s="1" t="s">
        <v>0</v>
      </c>
      <c r="D8">
        <v>9979784</v>
      </c>
      <c r="E8">
        <v>9285</v>
      </c>
      <c r="G8" s="3" t="s">
        <v>1</v>
      </c>
      <c r="H8">
        <v>8</v>
      </c>
      <c r="I8">
        <v>52</v>
      </c>
      <c r="J8">
        <v>54</v>
      </c>
      <c r="K8">
        <v>54</v>
      </c>
      <c r="L8">
        <v>54</v>
      </c>
      <c r="M8">
        <v>4362</v>
      </c>
      <c r="N8">
        <v>5250</v>
      </c>
      <c r="O8">
        <v>650</v>
      </c>
      <c r="P8">
        <v>32767</v>
      </c>
      <c r="R8" s="3" t="s">
        <v>2</v>
      </c>
      <c r="S8">
        <v>4</v>
      </c>
      <c r="T8">
        <v>3274</v>
      </c>
      <c r="U8">
        <v>6303</v>
      </c>
      <c r="V8">
        <v>31907</v>
      </c>
      <c r="W8">
        <v>65535</v>
      </c>
      <c r="Y8" s="3" t="s">
        <v>3</v>
      </c>
      <c r="Z8">
        <v>3</v>
      </c>
      <c r="AA8">
        <v>3274</v>
      </c>
      <c r="AB8">
        <v>6303</v>
      </c>
      <c r="AC8">
        <v>64476</v>
      </c>
      <c r="AE8" s="3" t="s">
        <v>4</v>
      </c>
      <c r="AF8">
        <v>4</v>
      </c>
      <c r="AG8">
        <v>6</v>
      </c>
      <c r="AH8">
        <v>67</v>
      </c>
      <c r="AI8">
        <v>5200</v>
      </c>
      <c r="AJ8">
        <v>2400</v>
      </c>
      <c r="AL8" s="3" t="s">
        <v>26</v>
      </c>
      <c r="AN8">
        <f>LN(T9/100)</f>
        <v>-1.1165726140451024</v>
      </c>
      <c r="AO8">
        <f>($AP$3*U9)/($AP$4+U9)</f>
        <v>2.021935660057895</v>
      </c>
      <c r="AP8">
        <f>($AP$4*(AN8+AO8))/($AP$3-AN8-AO8)</f>
        <v>13.168809131335838</v>
      </c>
      <c r="AQ8" s="3">
        <f>U9+AC9*3/2</f>
        <v>23.565000000000001</v>
      </c>
      <c r="AR8">
        <f>EXP(($AP$3*AP8)/($AP$4+AP8))/EXP(($AP$3*AQ8)/($AP$4+AQ8))</f>
        <v>0.52121779671939794</v>
      </c>
      <c r="AS8" s="3">
        <f>AR8*100</f>
        <v>52.121779671939791</v>
      </c>
    </row>
    <row r="9" spans="3:45" x14ac:dyDescent="0.25">
      <c r="C9" s="1"/>
      <c r="I9">
        <f>I8/10</f>
        <v>5.2</v>
      </c>
      <c r="J9">
        <f t="shared" ref="J9:L9" si="0">J8/10</f>
        <v>5.4</v>
      </c>
      <c r="K9">
        <f t="shared" si="0"/>
        <v>5.4</v>
      </c>
      <c r="L9">
        <f t="shared" si="0"/>
        <v>5.4</v>
      </c>
      <c r="M9">
        <f>M8/100</f>
        <v>43.62</v>
      </c>
      <c r="N9">
        <f>N8/200</f>
        <v>26.25</v>
      </c>
      <c r="O9">
        <f t="shared" ref="O9" si="1">O8/10</f>
        <v>65</v>
      </c>
      <c r="P9">
        <f t="shared" ref="P9" si="2">P8/10</f>
        <v>3276.7</v>
      </c>
      <c r="T9">
        <f>T8/100</f>
        <v>32.74</v>
      </c>
      <c r="U9">
        <f>U8/200</f>
        <v>31.515000000000001</v>
      </c>
      <c r="V9">
        <f>V8/1</f>
        <v>31907</v>
      </c>
      <c r="W9">
        <f>W8/1</f>
        <v>65535</v>
      </c>
      <c r="AA9">
        <f>AA8/100</f>
        <v>32.74</v>
      </c>
      <c r="AB9">
        <f>AB8/200</f>
        <v>31.515000000000001</v>
      </c>
      <c r="AC9">
        <f>-(HEX2DEC("FFFF")-AC8+1)/200</f>
        <v>-5.3</v>
      </c>
      <c r="AI9">
        <f>AI8/100</f>
        <v>52</v>
      </c>
      <c r="AJ9">
        <f>AJ8/100</f>
        <v>24</v>
      </c>
    </row>
    <row r="10" spans="3:45" x14ac:dyDescent="0.25">
      <c r="C10" s="1"/>
    </row>
    <row r="11" spans="3:45" x14ac:dyDescent="0.25">
      <c r="C11" s="1" t="s">
        <v>5</v>
      </c>
      <c r="D11">
        <v>9980802</v>
      </c>
      <c r="E11">
        <v>9286</v>
      </c>
      <c r="G11" s="3" t="s">
        <v>1</v>
      </c>
      <c r="H11">
        <v>8</v>
      </c>
      <c r="I11">
        <v>51</v>
      </c>
      <c r="J11">
        <v>54</v>
      </c>
      <c r="K11">
        <v>54</v>
      </c>
      <c r="L11">
        <v>54</v>
      </c>
      <c r="M11">
        <v>4362</v>
      </c>
      <c r="N11">
        <v>5250</v>
      </c>
      <c r="O11">
        <v>650</v>
      </c>
      <c r="P11">
        <v>32767</v>
      </c>
      <c r="R11" s="3" t="s">
        <v>2</v>
      </c>
      <c r="S11">
        <v>4</v>
      </c>
      <c r="T11">
        <v>3270</v>
      </c>
      <c r="U11">
        <v>6304</v>
      </c>
      <c r="V11">
        <v>31901</v>
      </c>
      <c r="W11">
        <v>65535</v>
      </c>
      <c r="Y11" s="3" t="s">
        <v>3</v>
      </c>
      <c r="Z11">
        <v>3</v>
      </c>
      <c r="AA11">
        <v>3270</v>
      </c>
      <c r="AB11">
        <v>6304</v>
      </c>
      <c r="AC11">
        <v>64473</v>
      </c>
      <c r="AE11" s="3" t="s">
        <v>4</v>
      </c>
      <c r="AF11">
        <v>4</v>
      </c>
      <c r="AG11">
        <v>5</v>
      </c>
      <c r="AH11">
        <v>67</v>
      </c>
      <c r="AI11">
        <v>5200</v>
      </c>
      <c r="AJ11">
        <v>2400</v>
      </c>
      <c r="AL11" s="3" t="s">
        <v>26</v>
      </c>
      <c r="AN11">
        <f>LN(T12/100)</f>
        <v>-1.1177951080848836</v>
      </c>
      <c r="AO11">
        <f>($AP$3*U12)/($AP$4+U12)</f>
        <v>2.0222196329740756</v>
      </c>
      <c r="AP11">
        <f>($AP$4*(AN11+AO11))/($AP$3-AN11-AO11)</f>
        <v>13.154419410714469</v>
      </c>
      <c r="AQ11" s="3">
        <f>U12+AC12*3/2</f>
        <v>23.547499999999999</v>
      </c>
      <c r="AR11">
        <f>EXP(($AP$3*AP11)/($AP$4+AP11))/EXP(($AP$3*AQ11)/($AP$4+AQ11))</f>
        <v>0.52127805986892406</v>
      </c>
      <c r="AS11" s="3">
        <f>AR11*100</f>
        <v>52.127805986892405</v>
      </c>
    </row>
    <row r="12" spans="3:45" x14ac:dyDescent="0.25">
      <c r="C12" s="1"/>
      <c r="I12">
        <f>I11/10</f>
        <v>5.0999999999999996</v>
      </c>
      <c r="J12">
        <f t="shared" ref="J12" si="3">J11/10</f>
        <v>5.4</v>
      </c>
      <c r="K12">
        <f t="shared" ref="K12" si="4">K11/10</f>
        <v>5.4</v>
      </c>
      <c r="L12">
        <f t="shared" ref="L12" si="5">L11/10</f>
        <v>5.4</v>
      </c>
      <c r="M12">
        <f>M11/100</f>
        <v>43.62</v>
      </c>
      <c r="N12">
        <f>N11/200</f>
        <v>26.25</v>
      </c>
      <c r="O12">
        <f t="shared" ref="O12" si="6">O11/10</f>
        <v>65</v>
      </c>
      <c r="P12">
        <f t="shared" ref="P12" si="7">P11/10</f>
        <v>3276.7</v>
      </c>
      <c r="T12">
        <f>T11/100</f>
        <v>32.700000000000003</v>
      </c>
      <c r="U12">
        <f>U11/200</f>
        <v>31.52</v>
      </c>
      <c r="V12">
        <f>V11/1</f>
        <v>31901</v>
      </c>
      <c r="W12">
        <f>W11/1</f>
        <v>65535</v>
      </c>
      <c r="AA12">
        <f>AA11/100</f>
        <v>32.700000000000003</v>
      </c>
      <c r="AB12">
        <f>AB11/200</f>
        <v>31.52</v>
      </c>
      <c r="AC12">
        <f>-(HEX2DEC("FFFF")-AC11+1)/200</f>
        <v>-5.3150000000000004</v>
      </c>
      <c r="AI12">
        <f>AI11/100</f>
        <v>52</v>
      </c>
      <c r="AJ12">
        <f>AJ11/100</f>
        <v>24</v>
      </c>
    </row>
    <row r="13" spans="3:45" x14ac:dyDescent="0.25">
      <c r="C13" s="1"/>
    </row>
    <row r="14" spans="3:45" x14ac:dyDescent="0.25">
      <c r="C14" s="1" t="s">
        <v>6</v>
      </c>
      <c r="D14">
        <v>9981818</v>
      </c>
      <c r="E14">
        <v>9287</v>
      </c>
      <c r="G14" s="3" t="s">
        <v>1</v>
      </c>
      <c r="H14">
        <v>8</v>
      </c>
      <c r="I14">
        <v>51</v>
      </c>
      <c r="J14">
        <v>54</v>
      </c>
      <c r="K14">
        <v>54</v>
      </c>
      <c r="L14">
        <v>54</v>
      </c>
      <c r="M14">
        <v>4362</v>
      </c>
      <c r="N14">
        <v>5250</v>
      </c>
      <c r="O14">
        <v>650</v>
      </c>
      <c r="P14">
        <v>32767</v>
      </c>
      <c r="R14" s="3" t="s">
        <v>2</v>
      </c>
      <c r="S14">
        <v>4</v>
      </c>
      <c r="T14">
        <v>3274</v>
      </c>
      <c r="U14">
        <v>6304</v>
      </c>
      <c r="V14">
        <v>31920</v>
      </c>
      <c r="W14">
        <v>65535</v>
      </c>
      <c r="Y14" s="3" t="s">
        <v>3</v>
      </c>
      <c r="Z14">
        <v>3</v>
      </c>
      <c r="AA14">
        <v>3274</v>
      </c>
      <c r="AB14">
        <v>6304</v>
      </c>
      <c r="AC14">
        <v>64475</v>
      </c>
      <c r="AE14" s="3" t="s">
        <v>4</v>
      </c>
      <c r="AF14">
        <v>4</v>
      </c>
      <c r="AG14">
        <v>5</v>
      </c>
      <c r="AH14">
        <v>67</v>
      </c>
      <c r="AI14">
        <v>5200</v>
      </c>
      <c r="AJ14">
        <v>2400</v>
      </c>
      <c r="AL14" s="3" t="s">
        <v>26</v>
      </c>
      <c r="AN14">
        <f>LN(T15/100)</f>
        <v>-1.1165726140451024</v>
      </c>
      <c r="AO14">
        <f>($AP$3*U15)/($AP$4+U15)</f>
        <v>2.0222196329740756</v>
      </c>
      <c r="AP14">
        <f>($AP$4*(AN14+AO14))/($AP$3-AN14-AO14)</f>
        <v>13.173163417774317</v>
      </c>
      <c r="AQ14" s="3">
        <f>U15+AC15*3/2</f>
        <v>23.5625</v>
      </c>
      <c r="AR14">
        <f>EXP(($AP$3*AP14)/($AP$4+AP14))/EXP(($AP$3*AQ14)/($AP$4+AQ14))</f>
        <v>0.52144434377346016</v>
      </c>
      <c r="AS14" s="3">
        <f>AR14*100</f>
        <v>52.144434377346016</v>
      </c>
    </row>
    <row r="15" spans="3:45" x14ac:dyDescent="0.25">
      <c r="C15" s="1"/>
      <c r="I15">
        <f>I14/10</f>
        <v>5.0999999999999996</v>
      </c>
      <c r="J15">
        <f t="shared" ref="J15" si="8">J14/10</f>
        <v>5.4</v>
      </c>
      <c r="K15">
        <f t="shared" ref="K15" si="9">K14/10</f>
        <v>5.4</v>
      </c>
      <c r="L15">
        <f t="shared" ref="L15" si="10">L14/10</f>
        <v>5.4</v>
      </c>
      <c r="M15">
        <f>M14/100</f>
        <v>43.62</v>
      </c>
      <c r="N15">
        <f>N14/200</f>
        <v>26.25</v>
      </c>
      <c r="O15">
        <f t="shared" ref="O15" si="11">O14/10</f>
        <v>65</v>
      </c>
      <c r="P15">
        <f t="shared" ref="P15" si="12">P14/10</f>
        <v>3276.7</v>
      </c>
      <c r="T15">
        <f>T14/100</f>
        <v>32.74</v>
      </c>
      <c r="U15">
        <f>U14/200</f>
        <v>31.52</v>
      </c>
      <c r="V15">
        <f>V14/1</f>
        <v>31920</v>
      </c>
      <c r="W15">
        <f>W14/1</f>
        <v>65535</v>
      </c>
      <c r="AA15">
        <f>AA14/100</f>
        <v>32.74</v>
      </c>
      <c r="AB15">
        <f>AB14/200</f>
        <v>31.52</v>
      </c>
      <c r="AC15">
        <f>-(HEX2DEC("FFFF")-AC14+1)/200</f>
        <v>-5.3049999999999997</v>
      </c>
      <c r="AI15">
        <f>AI14/100</f>
        <v>52</v>
      </c>
      <c r="AJ15">
        <f>AJ14/100</f>
        <v>24</v>
      </c>
    </row>
    <row r="16" spans="3:45" x14ac:dyDescent="0.25">
      <c r="C16" s="1"/>
    </row>
    <row r="17" spans="3:51" x14ac:dyDescent="0.25">
      <c r="C17" s="1" t="s">
        <v>7</v>
      </c>
      <c r="D17">
        <v>9982836</v>
      </c>
      <c r="E17">
        <v>9288</v>
      </c>
      <c r="G17" s="3" t="s">
        <v>1</v>
      </c>
      <c r="H17">
        <v>8</v>
      </c>
      <c r="I17">
        <v>51</v>
      </c>
      <c r="J17">
        <v>53</v>
      </c>
      <c r="K17">
        <v>53</v>
      </c>
      <c r="L17">
        <v>53</v>
      </c>
      <c r="M17">
        <v>4362</v>
      </c>
      <c r="N17">
        <v>5250</v>
      </c>
      <c r="O17">
        <v>650</v>
      </c>
      <c r="P17">
        <v>32767</v>
      </c>
      <c r="R17" s="3" t="s">
        <v>2</v>
      </c>
      <c r="S17">
        <v>4</v>
      </c>
      <c r="T17">
        <v>3271</v>
      </c>
      <c r="U17">
        <v>6301</v>
      </c>
      <c r="V17">
        <v>31927</v>
      </c>
      <c r="W17">
        <v>65535</v>
      </c>
      <c r="Y17" s="3" t="s">
        <v>3</v>
      </c>
      <c r="Z17">
        <v>3</v>
      </c>
      <c r="AA17">
        <v>3271</v>
      </c>
      <c r="AB17">
        <v>6301</v>
      </c>
      <c r="AC17">
        <v>64475</v>
      </c>
      <c r="AE17" s="3" t="s">
        <v>4</v>
      </c>
      <c r="AF17">
        <v>4</v>
      </c>
      <c r="AG17">
        <v>5</v>
      </c>
      <c r="AH17">
        <v>67</v>
      </c>
      <c r="AI17">
        <v>5200</v>
      </c>
      <c r="AJ17">
        <v>2400</v>
      </c>
      <c r="AL17" s="3" t="s">
        <v>26</v>
      </c>
      <c r="AN17">
        <f>LN(T18/100)</f>
        <v>-1.1174893444377989</v>
      </c>
      <c r="AO17">
        <f>($AP$3*U18)/($AP$4+U18)</f>
        <v>2.0213676832043697</v>
      </c>
      <c r="AP17">
        <f>($AP$4*(AN17+AO17))/($AP$3-AN17-AO17)</f>
        <v>13.1460458457033</v>
      </c>
      <c r="AQ17" s="3">
        <f>U18+AC18*3/2</f>
        <v>23.547499999999999</v>
      </c>
      <c r="AR17">
        <f>EXP(($AP$3*AP17)/($AP$4+AP17))/EXP(($AP$3*AQ17)/($AP$4+AQ17))</f>
        <v>0.52099342276609051</v>
      </c>
      <c r="AS17" s="3">
        <f>AR17*100</f>
        <v>52.09934227660905</v>
      </c>
    </row>
    <row r="18" spans="3:51" x14ac:dyDescent="0.25">
      <c r="C18" s="1"/>
      <c r="I18">
        <f>I17/10</f>
        <v>5.0999999999999996</v>
      </c>
      <c r="J18">
        <f t="shared" ref="J18" si="13">J17/10</f>
        <v>5.3</v>
      </c>
      <c r="K18">
        <f t="shared" ref="K18" si="14">K17/10</f>
        <v>5.3</v>
      </c>
      <c r="L18">
        <f t="shared" ref="L18" si="15">L17/10</f>
        <v>5.3</v>
      </c>
      <c r="M18">
        <f>M17/100</f>
        <v>43.62</v>
      </c>
      <c r="N18">
        <f>N17/200</f>
        <v>26.25</v>
      </c>
      <c r="O18">
        <f t="shared" ref="O18" si="16">O17/10</f>
        <v>65</v>
      </c>
      <c r="P18">
        <f t="shared" ref="P18" si="17">P17/10</f>
        <v>3276.7</v>
      </c>
      <c r="T18">
        <f>T17/100</f>
        <v>32.71</v>
      </c>
      <c r="U18">
        <f>U17/200</f>
        <v>31.504999999999999</v>
      </c>
      <c r="V18">
        <f>V17/1</f>
        <v>31927</v>
      </c>
      <c r="W18">
        <f>W17/1</f>
        <v>65535</v>
      </c>
      <c r="AA18">
        <f>AA17/100</f>
        <v>32.71</v>
      </c>
      <c r="AB18">
        <f>AB17/200</f>
        <v>31.504999999999999</v>
      </c>
      <c r="AC18">
        <f>-(HEX2DEC("FFFF")-AC17+1)/200</f>
        <v>-5.3049999999999997</v>
      </c>
      <c r="AI18">
        <f>AI17/100</f>
        <v>52</v>
      </c>
      <c r="AJ18">
        <f>AJ17/100</f>
        <v>24</v>
      </c>
    </row>
    <row r="19" spans="3:51" x14ac:dyDescent="0.25">
      <c r="C19" s="1"/>
    </row>
    <row r="20" spans="3:51" x14ac:dyDescent="0.25">
      <c r="C20" s="1" t="s">
        <v>8</v>
      </c>
      <c r="D20">
        <v>9983854</v>
      </c>
      <c r="E20">
        <v>9289</v>
      </c>
      <c r="G20" s="3" t="s">
        <v>1</v>
      </c>
      <c r="H20">
        <v>8</v>
      </c>
      <c r="I20">
        <v>50</v>
      </c>
      <c r="J20">
        <v>52</v>
      </c>
      <c r="K20">
        <v>52</v>
      </c>
      <c r="L20">
        <v>52</v>
      </c>
      <c r="M20">
        <v>4362</v>
      </c>
      <c r="N20">
        <v>5250</v>
      </c>
      <c r="O20">
        <v>650</v>
      </c>
      <c r="P20">
        <v>32767</v>
      </c>
      <c r="R20" s="3" t="s">
        <v>2</v>
      </c>
      <c r="S20">
        <v>4</v>
      </c>
      <c r="T20">
        <v>3272</v>
      </c>
      <c r="U20">
        <v>6302</v>
      </c>
      <c r="V20">
        <v>31926</v>
      </c>
      <c r="W20">
        <v>65535</v>
      </c>
      <c r="Y20" s="3" t="s">
        <v>3</v>
      </c>
      <c r="Z20">
        <v>3</v>
      </c>
      <c r="AA20">
        <v>3272</v>
      </c>
      <c r="AB20">
        <v>6302</v>
      </c>
      <c r="AC20">
        <v>64476</v>
      </c>
      <c r="AE20" s="3" t="s">
        <v>4</v>
      </c>
      <c r="AF20">
        <v>4</v>
      </c>
      <c r="AG20">
        <v>5</v>
      </c>
      <c r="AH20">
        <v>67</v>
      </c>
      <c r="AI20">
        <v>5200</v>
      </c>
      <c r="AJ20">
        <v>2400</v>
      </c>
      <c r="AL20" s="3" t="s">
        <v>26</v>
      </c>
      <c r="AN20">
        <f>LN(T21/100)</f>
        <v>-1.117183674253545</v>
      </c>
      <c r="AO20">
        <f>($AP$3*U21)/($AP$4+U21)</f>
        <v>2.0216516768015151</v>
      </c>
      <c r="AP20">
        <f>($AP$4*(AN20+AO20))/($AP$3-AN20-AO20)</f>
        <v>13.155085989065812</v>
      </c>
      <c r="AQ20" s="3">
        <f>U21+AC21*3/2</f>
        <v>23.560000000000002</v>
      </c>
      <c r="AR20">
        <f>EXP(($AP$3*AP20)/($AP$4+AP20))/EXP(($AP$3*AQ20)/($AP$4+AQ20))</f>
        <v>0.52090834969664879</v>
      </c>
      <c r="AS20" s="3">
        <f>AR20*100</f>
        <v>52.090834969664876</v>
      </c>
    </row>
    <row r="21" spans="3:51" x14ac:dyDescent="0.25">
      <c r="I21">
        <f>I20/10</f>
        <v>5</v>
      </c>
      <c r="J21">
        <f t="shared" ref="J21" si="18">J20/10</f>
        <v>5.2</v>
      </c>
      <c r="K21">
        <f t="shared" ref="K21" si="19">K20/10</f>
        <v>5.2</v>
      </c>
      <c r="L21">
        <f t="shared" ref="L21" si="20">L20/10</f>
        <v>5.2</v>
      </c>
      <c r="M21">
        <f>M20/100</f>
        <v>43.62</v>
      </c>
      <c r="N21">
        <f>N20/200</f>
        <v>26.25</v>
      </c>
      <c r="O21">
        <f t="shared" ref="O21" si="21">O20/10</f>
        <v>65</v>
      </c>
      <c r="P21">
        <f t="shared" ref="P21" si="22">P20/10</f>
        <v>3276.7</v>
      </c>
      <c r="T21">
        <f>T20/100</f>
        <v>32.72</v>
      </c>
      <c r="U21">
        <f>U20/200</f>
        <v>31.51</v>
      </c>
      <c r="V21">
        <f>V20/1</f>
        <v>31926</v>
      </c>
      <c r="W21">
        <f>W20/1</f>
        <v>65535</v>
      </c>
      <c r="AA21">
        <f>AA20/100</f>
        <v>32.72</v>
      </c>
      <c r="AB21">
        <f>AB20/200</f>
        <v>31.51</v>
      </c>
      <c r="AC21">
        <f>-(HEX2DEC("FFFF")-AC20+1)/200</f>
        <v>-5.3</v>
      </c>
      <c r="AI21">
        <f>AI20/100</f>
        <v>52</v>
      </c>
      <c r="AJ21">
        <f>AJ20/100</f>
        <v>24</v>
      </c>
    </row>
    <row r="25" spans="3:51" x14ac:dyDescent="0.25">
      <c r="AW25" s="6" t="s">
        <v>31</v>
      </c>
    </row>
    <row r="26" spans="3:51" x14ac:dyDescent="0.25">
      <c r="AW26" s="6" t="s">
        <v>32</v>
      </c>
    </row>
    <row r="27" spans="3:51" x14ac:dyDescent="0.25">
      <c r="AW27" s="6" t="s">
        <v>34</v>
      </c>
      <c r="AX27" s="5"/>
      <c r="AY27" s="4"/>
    </row>
    <row r="28" spans="3:51" ht="60" x14ac:dyDescent="0.25">
      <c r="AW28" s="6" t="s">
        <v>36</v>
      </c>
    </row>
    <row r="29" spans="3:51" ht="30" x14ac:dyDescent="0.25">
      <c r="AW29" s="6" t="s">
        <v>35</v>
      </c>
    </row>
    <row r="30" spans="3:51" ht="45" x14ac:dyDescent="0.25">
      <c r="AW30" s="6" t="s">
        <v>37</v>
      </c>
    </row>
    <row r="31" spans="3:51" ht="30" x14ac:dyDescent="0.25">
      <c r="AW31" s="6" t="s">
        <v>33</v>
      </c>
    </row>
  </sheetData>
  <phoneticPr fontId="4"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Baciu</dc:creator>
  <cp:lastModifiedBy>Adrian Baciu</cp:lastModifiedBy>
  <dcterms:created xsi:type="dcterms:W3CDTF">2023-07-17T07:25:30Z</dcterms:created>
  <dcterms:modified xsi:type="dcterms:W3CDTF">2024-02-01T13:51:11Z</dcterms:modified>
</cp:coreProperties>
</file>