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6555" windowHeight="3930"/>
  </bookViews>
  <sheets>
    <sheet name="main" sheetId="1" r:id="rId1"/>
  </sheets>
  <calcPr calcId="125725"/>
</workbook>
</file>

<file path=xl/calcChain.xml><?xml version="1.0" encoding="utf-8"?>
<calcChain xmlns="http://schemas.openxmlformats.org/spreadsheetml/2006/main">
  <c r="C23" i="1"/>
  <c r="D23"/>
  <c r="CK6"/>
  <c r="CK7"/>
  <c r="CK8"/>
  <c r="CK9"/>
  <c r="CK10"/>
  <c r="CK11"/>
  <c r="CK12"/>
  <c r="CK13"/>
  <c r="CK14"/>
  <c r="CK15"/>
  <c r="CK16"/>
  <c r="CK17"/>
  <c r="CK18"/>
  <c r="CK19"/>
  <c r="CK20"/>
  <c r="CK21"/>
  <c r="CK22"/>
  <c r="CK23"/>
  <c r="CK24"/>
  <c r="CK25"/>
  <c r="CK26"/>
  <c r="CK27"/>
  <c r="CK28"/>
  <c r="CK5"/>
  <c r="AL5"/>
  <c r="CE4"/>
  <c r="CD4"/>
  <c r="CC4"/>
  <c r="CA4"/>
  <c r="BZ4"/>
  <c r="BY4"/>
  <c r="BS4"/>
  <c r="BR4"/>
  <c r="BQ4"/>
  <c r="BN6"/>
  <c r="BN7"/>
  <c r="BN8"/>
  <c r="BN9"/>
  <c r="BN10"/>
  <c r="BN11"/>
  <c r="BN12"/>
  <c r="BN13"/>
  <c r="BN14"/>
  <c r="BN15"/>
  <c r="BN16"/>
  <c r="BN17"/>
  <c r="BN18"/>
  <c r="BN19"/>
  <c r="BN20"/>
  <c r="BN21"/>
  <c r="BN22"/>
  <c r="BN23"/>
  <c r="BN24"/>
  <c r="BN25"/>
  <c r="BN26"/>
  <c r="BN27"/>
  <c r="BN28"/>
  <c r="BN5"/>
  <c r="F23"/>
  <c r="E23"/>
  <c r="BL6"/>
  <c r="Y6" s="1"/>
  <c r="BL7"/>
  <c r="Y7" s="1"/>
  <c r="BL8"/>
  <c r="Y8" s="1"/>
  <c r="BL9"/>
  <c r="Y9" s="1"/>
  <c r="BL10"/>
  <c r="Y10" s="1"/>
  <c r="BL11"/>
  <c r="Y11" s="1"/>
  <c r="BL12"/>
  <c r="Y12" s="1"/>
  <c r="BL13"/>
  <c r="Y13" s="1"/>
  <c r="BL14"/>
  <c r="Y14" s="1"/>
  <c r="BL15"/>
  <c r="Y15" s="1"/>
  <c r="BL16"/>
  <c r="Y16" s="1"/>
  <c r="BL17"/>
  <c r="Y17" s="1"/>
  <c r="BL18"/>
  <c r="Y18" s="1"/>
  <c r="BL19"/>
  <c r="Y19" s="1"/>
  <c r="BL20"/>
  <c r="Y20" s="1"/>
  <c r="BL21"/>
  <c r="Y21" s="1"/>
  <c r="BL22"/>
  <c r="Y22" s="1"/>
  <c r="BL23"/>
  <c r="Y23" s="1"/>
  <c r="BL24"/>
  <c r="Y24" s="1"/>
  <c r="BL25"/>
  <c r="Y25" s="1"/>
  <c r="BL26"/>
  <c r="Y26" s="1"/>
  <c r="BL27"/>
  <c r="Y27" s="1"/>
  <c r="BL28"/>
  <c r="Y28" s="1"/>
  <c r="BL5"/>
  <c r="Y5" s="1"/>
  <c r="AB5"/>
  <c r="AM5" s="1"/>
  <c r="CA5" s="1"/>
  <c r="AL6"/>
  <c r="AB6"/>
  <c r="AM6" s="1"/>
  <c r="CA6" s="1"/>
  <c r="AL7"/>
  <c r="AB7"/>
  <c r="AM7" s="1"/>
  <c r="CA7" s="1"/>
  <c r="AL8"/>
  <c r="AB8"/>
  <c r="AM8" s="1"/>
  <c r="CA8" s="1"/>
  <c r="AL9"/>
  <c r="AB9"/>
  <c r="AM9" s="1"/>
  <c r="CA9" s="1"/>
  <c r="AL10"/>
  <c r="AB10"/>
  <c r="CL10" s="1"/>
  <c r="AL11"/>
  <c r="AB11"/>
  <c r="AL12"/>
  <c r="AB12"/>
  <c r="AM12"/>
  <c r="CA12" s="1"/>
  <c r="AL13"/>
  <c r="AB13"/>
  <c r="AM13" s="1"/>
  <c r="CA13" s="1"/>
  <c r="AL14"/>
  <c r="AL15"/>
  <c r="AL16"/>
  <c r="AL17"/>
  <c r="AL18"/>
  <c r="AL19"/>
  <c r="AL20"/>
  <c r="AB20"/>
  <c r="AM20" s="1"/>
  <c r="CA20" s="1"/>
  <c r="AL21"/>
  <c r="AB21"/>
  <c r="AL22"/>
  <c r="AB22"/>
  <c r="AM22" s="1"/>
  <c r="CA22" s="1"/>
  <c r="AL23"/>
  <c r="AB23"/>
  <c r="CL23" s="1"/>
  <c r="AL24"/>
  <c r="AB24"/>
  <c r="AM24" s="1"/>
  <c r="CA24" s="1"/>
  <c r="AL25"/>
  <c r="AB25"/>
  <c r="AM25" s="1"/>
  <c r="CA25" s="1"/>
  <c r="AL26"/>
  <c r="AB26"/>
  <c r="AM26" s="1"/>
  <c r="CA26" s="1"/>
  <c r="AL27"/>
  <c r="AB27"/>
  <c r="AL28"/>
  <c r="AB28"/>
  <c r="AM28" s="1"/>
  <c r="CA28" s="1"/>
  <c r="R6"/>
  <c r="Z6" s="1"/>
  <c r="R7"/>
  <c r="Z7" s="1"/>
  <c r="R8"/>
  <c r="Z8" s="1"/>
  <c r="R9"/>
  <c r="Z9" s="1"/>
  <c r="R10"/>
  <c r="Z10" s="1"/>
  <c r="R11"/>
  <c r="Z11" s="1"/>
  <c r="R12"/>
  <c r="Z12" s="1"/>
  <c r="R13"/>
  <c r="Z13" s="1"/>
  <c r="R14"/>
  <c r="Z14" s="1"/>
  <c r="R15"/>
  <c r="Z15" s="1"/>
  <c r="R16"/>
  <c r="Z16" s="1"/>
  <c r="R17"/>
  <c r="Z17" s="1"/>
  <c r="R18"/>
  <c r="Z18" s="1"/>
  <c r="R19"/>
  <c r="Z19" s="1"/>
  <c r="R20"/>
  <c r="Z20" s="1"/>
  <c r="R21"/>
  <c r="Z21" s="1"/>
  <c r="R22"/>
  <c r="Z22" s="1"/>
  <c r="R23"/>
  <c r="Z23" s="1"/>
  <c r="R24"/>
  <c r="Z24" s="1"/>
  <c r="R25"/>
  <c r="Z25" s="1"/>
  <c r="R26"/>
  <c r="Z26" s="1"/>
  <c r="R27"/>
  <c r="Z27" s="1"/>
  <c r="R28"/>
  <c r="Z28" s="1"/>
  <c r="R5"/>
  <c r="Z5" s="1"/>
  <c r="K6"/>
  <c r="K7" s="1"/>
  <c r="AT6"/>
  <c r="AT7"/>
  <c r="AT8"/>
  <c r="AU8" s="1"/>
  <c r="AW8" s="1"/>
  <c r="AT9"/>
  <c r="AT10"/>
  <c r="AV10" s="1"/>
  <c r="AX10" s="1"/>
  <c r="AT11"/>
  <c r="AT12"/>
  <c r="AV12" s="1"/>
  <c r="AX12" s="1"/>
  <c r="AT13"/>
  <c r="AT14"/>
  <c r="AT15"/>
  <c r="AT16"/>
  <c r="AU16" s="1"/>
  <c r="AW16" s="1"/>
  <c r="AT17"/>
  <c r="AT18"/>
  <c r="AV18" s="1"/>
  <c r="AX18" s="1"/>
  <c r="AT19"/>
  <c r="AT20"/>
  <c r="AU20" s="1"/>
  <c r="AT21"/>
  <c r="AT22"/>
  <c r="AT23"/>
  <c r="AT24"/>
  <c r="AV24" s="1"/>
  <c r="AX24" s="1"/>
  <c r="AT25"/>
  <c r="AT26"/>
  <c r="AT27"/>
  <c r="AT28"/>
  <c r="BU28" s="1"/>
  <c r="AT5"/>
  <c r="AU26"/>
  <c r="AW26" s="1"/>
  <c r="AU18"/>
  <c r="AW18" s="1"/>
  <c r="AU14"/>
  <c r="AW14" s="1"/>
  <c r="W5"/>
  <c r="W28"/>
  <c r="AA28" s="1"/>
  <c r="W27"/>
  <c r="AA27" s="1"/>
  <c r="W26"/>
  <c r="AA26" s="1"/>
  <c r="W25"/>
  <c r="W24"/>
  <c r="AA24"/>
  <c r="BV24" s="1"/>
  <c r="W23"/>
  <c r="W22"/>
  <c r="AA22" s="1"/>
  <c r="BV22" s="1"/>
  <c r="W21"/>
  <c r="W20"/>
  <c r="AA20" s="1"/>
  <c r="BV20" s="1"/>
  <c r="W19"/>
  <c r="W18"/>
  <c r="AA18" s="1"/>
  <c r="BV18" s="1"/>
  <c r="W17"/>
  <c r="W16"/>
  <c r="AA16" s="1"/>
  <c r="BV16" s="1"/>
  <c r="W15"/>
  <c r="AA15" s="1"/>
  <c r="CJ15" s="1"/>
  <c r="W14"/>
  <c r="AA14" s="1"/>
  <c r="W13"/>
  <c r="W12"/>
  <c r="AA12" s="1"/>
  <c r="W11"/>
  <c r="AA11" s="1"/>
  <c r="W10"/>
  <c r="AA10" s="1"/>
  <c r="W9"/>
  <c r="W8"/>
  <c r="AA8"/>
  <c r="BV8" s="1"/>
  <c r="W7"/>
  <c r="W6"/>
  <c r="AA6" s="1"/>
  <c r="BV6" s="1"/>
  <c r="AV22"/>
  <c r="AX22" s="1"/>
  <c r="AA7"/>
  <c r="AA9"/>
  <c r="CJ9" s="1"/>
  <c r="AA13"/>
  <c r="CJ13" s="1"/>
  <c r="AA17"/>
  <c r="CJ17" s="1"/>
  <c r="AA19"/>
  <c r="AA21"/>
  <c r="CJ21" s="1"/>
  <c r="AA23"/>
  <c r="AA25"/>
  <c r="BW25" s="1"/>
  <c r="AA5"/>
  <c r="AK5" s="1"/>
  <c r="AV8"/>
  <c r="AX8" s="1"/>
  <c r="AV16"/>
  <c r="AX16" s="1"/>
  <c r="AV20"/>
  <c r="AX20" s="1"/>
  <c r="AV26"/>
  <c r="AX26" s="1"/>
  <c r="AU9"/>
  <c r="AW9" s="1"/>
  <c r="AU27"/>
  <c r="AW27" s="1"/>
  <c r="AU25"/>
  <c r="AW25" s="1"/>
  <c r="AU21"/>
  <c r="AW21" s="1"/>
  <c r="AU19"/>
  <c r="AW19" s="1"/>
  <c r="AU17"/>
  <c r="AW17" s="1"/>
  <c r="AU15"/>
  <c r="AW15" s="1"/>
  <c r="AU13"/>
  <c r="AW13" s="1"/>
  <c r="BU26"/>
  <c r="BU22"/>
  <c r="BU18"/>
  <c r="BU14"/>
  <c r="BU10"/>
  <c r="BU6"/>
  <c r="BV7"/>
  <c r="AU5"/>
  <c r="AW5" s="1"/>
  <c r="AU28"/>
  <c r="AW28" s="1"/>
  <c r="AU23"/>
  <c r="AW23" s="1"/>
  <c r="AU22"/>
  <c r="AW22" s="1"/>
  <c r="AU11"/>
  <c r="AW11" s="1"/>
  <c r="AU10"/>
  <c r="AW10" s="1"/>
  <c r="AU7"/>
  <c r="AW7" s="1"/>
  <c r="AU6"/>
  <c r="AW6" s="1"/>
  <c r="BU5"/>
  <c r="BU27"/>
  <c r="BU25"/>
  <c r="BU23"/>
  <c r="BU21"/>
  <c r="BU19"/>
  <c r="BU17"/>
  <c r="BU15"/>
  <c r="BU13"/>
  <c r="BU11"/>
  <c r="BU9"/>
  <c r="BU7"/>
  <c r="BV25" l="1"/>
  <c r="BU8"/>
  <c r="BU12"/>
  <c r="BU16"/>
  <c r="BU20"/>
  <c r="BU24"/>
  <c r="AU12"/>
  <c r="AW12" s="1"/>
  <c r="CJ23"/>
  <c r="CJ7"/>
  <c r="BV10"/>
  <c r="BV12"/>
  <c r="BV14"/>
  <c r="BV26"/>
  <c r="AV5"/>
  <c r="AX5" s="1"/>
  <c r="AV27"/>
  <c r="AX27" s="1"/>
  <c r="AV25"/>
  <c r="AX25" s="1"/>
  <c r="AV23"/>
  <c r="AX23" s="1"/>
  <c r="AV21"/>
  <c r="AX21" s="1"/>
  <c r="AV19"/>
  <c r="AX19" s="1"/>
  <c r="AV17"/>
  <c r="AX17" s="1"/>
  <c r="AV15"/>
  <c r="AX15" s="1"/>
  <c r="AV13"/>
  <c r="AX13" s="1"/>
  <c r="AV11"/>
  <c r="AX11" s="1"/>
  <c r="AV9"/>
  <c r="AX9" s="1"/>
  <c r="AV7"/>
  <c r="AX7" s="1"/>
  <c r="CJ28"/>
  <c r="BV28"/>
  <c r="CJ19"/>
  <c r="CJ11"/>
  <c r="CJ27"/>
  <c r="CM27" s="1"/>
  <c r="BV9"/>
  <c r="BV17"/>
  <c r="BV23"/>
  <c r="AV14"/>
  <c r="AX14" s="1"/>
  <c r="AV28"/>
  <c r="AX28" s="1"/>
  <c r="BV15"/>
  <c r="CL27"/>
  <c r="AM23"/>
  <c r="CA23" s="1"/>
  <c r="CL12"/>
  <c r="CL11"/>
  <c r="CM11" s="1"/>
  <c r="AM10"/>
  <c r="CA10" s="1"/>
  <c r="CL21"/>
  <c r="CM21" s="1"/>
  <c r="CM23"/>
  <c r="AM27"/>
  <c r="CA27" s="1"/>
  <c r="AM21"/>
  <c r="CA21" s="1"/>
  <c r="AM11"/>
  <c r="CA11" s="1"/>
  <c r="CL5"/>
  <c r="CL25"/>
  <c r="CL8"/>
  <c r="CL6"/>
  <c r="CL28"/>
  <c r="CM28" s="1"/>
  <c r="CL26"/>
  <c r="CL24"/>
  <c r="CL22"/>
  <c r="CL20"/>
  <c r="CL9"/>
  <c r="CM9" s="1"/>
  <c r="CL7"/>
  <c r="CM7" s="1"/>
  <c r="BV11"/>
  <c r="BV13"/>
  <c r="BV19"/>
  <c r="BV21"/>
  <c r="BV27"/>
  <c r="BW5"/>
  <c r="CJ12"/>
  <c r="CM12" s="1"/>
  <c r="CJ20"/>
  <c r="CM20" s="1"/>
  <c r="CJ8"/>
  <c r="CJ16"/>
  <c r="CJ24"/>
  <c r="AK28"/>
  <c r="AK24"/>
  <c r="AK20"/>
  <c r="AK16"/>
  <c r="AK12"/>
  <c r="AK8"/>
  <c r="CJ5"/>
  <c r="CM5" s="1"/>
  <c r="CJ25"/>
  <c r="CM25" s="1"/>
  <c r="AK27"/>
  <c r="AK25"/>
  <c r="AK23"/>
  <c r="AK21"/>
  <c r="AK19"/>
  <c r="AK17"/>
  <c r="AK15"/>
  <c r="AK13"/>
  <c r="AK11"/>
  <c r="AK9"/>
  <c r="AK7"/>
  <c r="CJ26"/>
  <c r="CM26" s="1"/>
  <c r="CJ22"/>
  <c r="CM22" s="1"/>
  <c r="CJ18"/>
  <c r="CJ14"/>
  <c r="CJ10"/>
  <c r="CM10" s="1"/>
  <c r="CJ6"/>
  <c r="CM6" s="1"/>
  <c r="BY5"/>
  <c r="AY5"/>
  <c r="BQ5"/>
  <c r="BB5"/>
  <c r="AN5"/>
  <c r="AP5" s="1"/>
  <c r="BY27"/>
  <c r="AN27"/>
  <c r="BQ27"/>
  <c r="AY27"/>
  <c r="BY25"/>
  <c r="BQ25"/>
  <c r="AN25"/>
  <c r="AY25"/>
  <c r="BB25" s="1"/>
  <c r="AN23"/>
  <c r="AY23"/>
  <c r="BY23"/>
  <c r="BQ23"/>
  <c r="AY21"/>
  <c r="BQ21"/>
  <c r="BB21"/>
  <c r="BY21"/>
  <c r="AN21"/>
  <c r="BY19"/>
  <c r="BQ19"/>
  <c r="AY19"/>
  <c r="BQ17"/>
  <c r="AY17"/>
  <c r="BY17"/>
  <c r="BY15"/>
  <c r="AY15"/>
  <c r="BQ15"/>
  <c r="BB15"/>
  <c r="AN13"/>
  <c r="AY13"/>
  <c r="BQ13"/>
  <c r="BB13"/>
  <c r="BY13"/>
  <c r="AY11"/>
  <c r="BB11" s="1"/>
  <c r="BY11"/>
  <c r="BQ11"/>
  <c r="AN11"/>
  <c r="AY9"/>
  <c r="BQ9"/>
  <c r="BY9"/>
  <c r="AN9"/>
  <c r="BB9"/>
  <c r="BY7"/>
  <c r="AN7"/>
  <c r="BQ7"/>
  <c r="AY7"/>
  <c r="K8"/>
  <c r="BY28"/>
  <c r="AN28"/>
  <c r="AY28"/>
  <c r="BB28" s="1"/>
  <c r="BQ28"/>
  <c r="BY24"/>
  <c r="AN24"/>
  <c r="AY24"/>
  <c r="BB24" s="1"/>
  <c r="BQ24"/>
  <c r="BY20"/>
  <c r="AN20"/>
  <c r="AY20"/>
  <c r="BQ20"/>
  <c r="BB20"/>
  <c r="BY16"/>
  <c r="AY16"/>
  <c r="BB16" s="1"/>
  <c r="BQ16"/>
  <c r="BY12"/>
  <c r="AN12"/>
  <c r="AY12"/>
  <c r="BB12" s="1"/>
  <c r="BQ12"/>
  <c r="BY8"/>
  <c r="AN8"/>
  <c r="AY8"/>
  <c r="BQ8"/>
  <c r="BB8"/>
  <c r="AK26"/>
  <c r="AK22"/>
  <c r="AK18"/>
  <c r="AK14"/>
  <c r="AK10"/>
  <c r="AK6"/>
  <c r="AV6"/>
  <c r="AX6" s="1"/>
  <c r="BV5"/>
  <c r="BW27"/>
  <c r="BW24"/>
  <c r="BW22"/>
  <c r="BW20"/>
  <c r="BW18"/>
  <c r="BW16"/>
  <c r="BW14"/>
  <c r="BW12"/>
  <c r="BW10"/>
  <c r="BW8"/>
  <c r="BW6"/>
  <c r="BW28"/>
  <c r="BW26"/>
  <c r="BW23"/>
  <c r="BW21"/>
  <c r="BW19"/>
  <c r="BW17"/>
  <c r="BW15"/>
  <c r="BW13"/>
  <c r="BW11"/>
  <c r="BW9"/>
  <c r="BW7"/>
  <c r="BE5"/>
  <c r="CH5"/>
  <c r="AO5"/>
  <c r="BC5"/>
  <c r="CC5" s="1"/>
  <c r="AQ5"/>
  <c r="AU24"/>
  <c r="AW24" s="1"/>
  <c r="AW20"/>
  <c r="CM24" l="1"/>
  <c r="CM8"/>
  <c r="CE5"/>
  <c r="CQ5"/>
  <c r="BD5"/>
  <c r="CO5"/>
  <c r="CN5"/>
  <c r="BY10"/>
  <c r="AY10"/>
  <c r="BB10" s="1"/>
  <c r="BQ10"/>
  <c r="AN10"/>
  <c r="AY18"/>
  <c r="BB18" s="1"/>
  <c r="BQ18"/>
  <c r="BY18"/>
  <c r="AY26"/>
  <c r="BQ26"/>
  <c r="BY26"/>
  <c r="AN26"/>
  <c r="BB26"/>
  <c r="BR20"/>
  <c r="BZ20"/>
  <c r="AZ20"/>
  <c r="BS20" s="1"/>
  <c r="BZ24"/>
  <c r="AZ24"/>
  <c r="BS24" s="1"/>
  <c r="BR24"/>
  <c r="BA24"/>
  <c r="AZ7"/>
  <c r="BR7"/>
  <c r="BZ7"/>
  <c r="AZ9"/>
  <c r="BZ9"/>
  <c r="BR9"/>
  <c r="BZ17"/>
  <c r="BR17"/>
  <c r="BR19"/>
  <c r="BZ19"/>
  <c r="AZ21"/>
  <c r="BZ21"/>
  <c r="BR21"/>
  <c r="BR23"/>
  <c r="AZ23"/>
  <c r="BS23" s="1"/>
  <c r="BZ23"/>
  <c r="BY6"/>
  <c r="AY6"/>
  <c r="BQ6"/>
  <c r="BB6"/>
  <c r="AN6"/>
  <c r="AP6" s="1"/>
  <c r="AY14"/>
  <c r="BB14" s="1"/>
  <c r="BQ14"/>
  <c r="BY14"/>
  <c r="BY22"/>
  <c r="AN22"/>
  <c r="BQ22"/>
  <c r="AY22"/>
  <c r="BR8"/>
  <c r="BZ8"/>
  <c r="AZ8"/>
  <c r="BS8" s="1"/>
  <c r="AZ12"/>
  <c r="BS12" s="1"/>
  <c r="BZ12"/>
  <c r="BR12"/>
  <c r="BR16"/>
  <c r="BZ16"/>
  <c r="AZ28"/>
  <c r="BS28" s="1"/>
  <c r="BZ28"/>
  <c r="BR28"/>
  <c r="K9"/>
  <c r="AZ11"/>
  <c r="BR11"/>
  <c r="BZ11"/>
  <c r="AZ13"/>
  <c r="BS13" s="1"/>
  <c r="BR13"/>
  <c r="BZ13"/>
  <c r="BR15"/>
  <c r="BZ15"/>
  <c r="AZ25"/>
  <c r="BR25"/>
  <c r="BZ25"/>
  <c r="BZ27"/>
  <c r="AZ27"/>
  <c r="BR27"/>
  <c r="BR5"/>
  <c r="AZ5"/>
  <c r="BS5" s="1"/>
  <c r="BZ5"/>
  <c r="BB7"/>
  <c r="BB17"/>
  <c r="BB19"/>
  <c r="BB23"/>
  <c r="BB27"/>
  <c r="CH6"/>
  <c r="AQ6"/>
  <c r="AO6" l="1"/>
  <c r="BA13"/>
  <c r="CN6"/>
  <c r="CD5"/>
  <c r="CO6"/>
  <c r="BA28"/>
  <c r="BA8"/>
  <c r="K10"/>
  <c r="AZ22"/>
  <c r="BS22" s="1"/>
  <c r="BZ22"/>
  <c r="BR22"/>
  <c r="BR6"/>
  <c r="BZ6"/>
  <c r="AZ6"/>
  <c r="BS6" s="1"/>
  <c r="BD6"/>
  <c r="CD6" s="1"/>
  <c r="BS21"/>
  <c r="BA21"/>
  <c r="BS9"/>
  <c r="BA9"/>
  <c r="BZ26"/>
  <c r="AZ26"/>
  <c r="BS26" s="1"/>
  <c r="BR26"/>
  <c r="BA26"/>
  <c r="BA27"/>
  <c r="BS27"/>
  <c r="BA25"/>
  <c r="BS25"/>
  <c r="BS11"/>
  <c r="BA11"/>
  <c r="BR14"/>
  <c r="BZ14"/>
  <c r="AP7"/>
  <c r="BE6"/>
  <c r="BC6"/>
  <c r="CC6" s="1"/>
  <c r="BS7"/>
  <c r="BA7"/>
  <c r="BZ18"/>
  <c r="BR18"/>
  <c r="AZ10"/>
  <c r="BS10" s="1"/>
  <c r="BZ10"/>
  <c r="BR10"/>
  <c r="BA5"/>
  <c r="BA12"/>
  <c r="BB22"/>
  <c r="BA23"/>
  <c r="BA20"/>
  <c r="AQ7"/>
  <c r="BA22" l="1"/>
  <c r="BA10"/>
  <c r="CE6"/>
  <c r="CQ6"/>
  <c r="CO7"/>
  <c r="CN7"/>
  <c r="K11"/>
  <c r="CH7"/>
  <c r="AP8"/>
  <c r="BD7"/>
  <c r="CD7" s="1"/>
  <c r="BC7"/>
  <c r="CC7" s="1"/>
  <c r="AO7"/>
  <c r="BE7"/>
  <c r="BA6"/>
  <c r="AQ8"/>
  <c r="CE7" l="1"/>
  <c r="CQ7"/>
  <c r="CN8"/>
  <c r="CO8"/>
  <c r="K12"/>
  <c r="CH8"/>
  <c r="AP9"/>
  <c r="BE8"/>
  <c r="BC8"/>
  <c r="CC8" s="1"/>
  <c r="AO8"/>
  <c r="BD8"/>
  <c r="CD8" s="1"/>
  <c r="AQ9"/>
  <c r="CE8" l="1"/>
  <c r="CQ8"/>
  <c r="CO9"/>
  <c r="CN9"/>
  <c r="CH9"/>
  <c r="BE9"/>
  <c r="AO9"/>
  <c r="BC9"/>
  <c r="CC9" s="1"/>
  <c r="BD9"/>
  <c r="CD9" s="1"/>
  <c r="AP10"/>
  <c r="K13"/>
  <c r="AQ10"/>
  <c r="CN10" l="1"/>
  <c r="CO10"/>
  <c r="CE9"/>
  <c r="CQ9"/>
  <c r="CH10"/>
  <c r="AP11"/>
  <c r="AO10"/>
  <c r="BC10"/>
  <c r="CC10" s="1"/>
  <c r="BD10"/>
  <c r="BE10"/>
  <c r="K14"/>
  <c r="AQ11"/>
  <c r="CE10" l="1"/>
  <c r="CQ10"/>
  <c r="CO11"/>
  <c r="CN11"/>
  <c r="CD10"/>
  <c r="K15"/>
  <c r="BG14"/>
  <c r="AB14" s="1"/>
  <c r="CH11"/>
  <c r="BC11"/>
  <c r="CC11" s="1"/>
  <c r="AO11"/>
  <c r="BD11"/>
  <c r="CD11" s="1"/>
  <c r="BE11"/>
  <c r="AP12"/>
  <c r="AQ12"/>
  <c r="AM14" l="1"/>
  <c r="AN14" s="1"/>
  <c r="CL13"/>
  <c r="CM13" s="1"/>
  <c r="CE11"/>
  <c r="CQ11"/>
  <c r="CN12"/>
  <c r="CO12"/>
  <c r="CH12"/>
  <c r="BC12"/>
  <c r="CC12" s="1"/>
  <c r="AP13"/>
  <c r="BE12"/>
  <c r="AO12"/>
  <c r="BD12"/>
  <c r="CD12" s="1"/>
  <c r="AZ14"/>
  <c r="K16"/>
  <c r="BG15"/>
  <c r="AB15" s="1"/>
  <c r="CL14" s="1"/>
  <c r="CM14" s="1"/>
  <c r="AQ13"/>
  <c r="CA14" l="1"/>
  <c r="AM15"/>
  <c r="CE12"/>
  <c r="CQ12"/>
  <c r="CO13"/>
  <c r="CN13"/>
  <c r="CA15"/>
  <c r="AN15"/>
  <c r="AZ15"/>
  <c r="BG16"/>
  <c r="AB16" s="1"/>
  <c r="K17"/>
  <c r="BS14"/>
  <c r="BA14"/>
  <c r="CH13"/>
  <c r="BD13"/>
  <c r="CD13" s="1"/>
  <c r="AP14"/>
  <c r="AO14" s="1"/>
  <c r="BE13"/>
  <c r="AO13"/>
  <c r="BC13"/>
  <c r="CC13" s="1"/>
  <c r="AQ14"/>
  <c r="AM16" l="1"/>
  <c r="CA16" s="1"/>
  <c r="CL15"/>
  <c r="CM15" s="1"/>
  <c r="CN14"/>
  <c r="CO14"/>
  <c r="CE13"/>
  <c r="CQ13"/>
  <c r="CH14"/>
  <c r="BD14"/>
  <c r="CD14" s="1"/>
  <c r="BC14"/>
  <c r="CC14" s="1"/>
  <c r="AP15"/>
  <c r="BE14"/>
  <c r="BG17"/>
  <c r="AB17" s="1"/>
  <c r="K18"/>
  <c r="AN16"/>
  <c r="BS15"/>
  <c r="BA15"/>
  <c r="AQ15"/>
  <c r="AZ16" l="1"/>
  <c r="BA16" s="1"/>
  <c r="AM17"/>
  <c r="CL16"/>
  <c r="CM16" s="1"/>
  <c r="CE14"/>
  <c r="CQ14"/>
  <c r="CO15"/>
  <c r="CN15"/>
  <c r="BS16"/>
  <c r="CH15"/>
  <c r="BE15"/>
  <c r="BC15"/>
  <c r="CC15" s="1"/>
  <c r="BD15"/>
  <c r="CD15" s="1"/>
  <c r="AP16"/>
  <c r="AO15"/>
  <c r="K19"/>
  <c r="BG18"/>
  <c r="AB18" s="1"/>
  <c r="CA17"/>
  <c r="AN17"/>
  <c r="AZ17"/>
  <c r="AO16"/>
  <c r="AQ16"/>
  <c r="AM18" l="1"/>
  <c r="CL17"/>
  <c r="CM17" s="1"/>
  <c r="CN16"/>
  <c r="CO16"/>
  <c r="CE15"/>
  <c r="CQ15"/>
  <c r="BS17"/>
  <c r="BA17"/>
  <c r="CA18"/>
  <c r="AN18"/>
  <c r="AZ18"/>
  <c r="K20"/>
  <c r="BG19"/>
  <c r="AB19" s="1"/>
  <c r="CH16"/>
  <c r="BC16"/>
  <c r="CC16" s="1"/>
  <c r="BD16"/>
  <c r="CD16" s="1"/>
  <c r="AP17"/>
  <c r="AO17" s="1"/>
  <c r="BE16"/>
  <c r="AQ17"/>
  <c r="AM19" l="1"/>
  <c r="CA19" s="1"/>
  <c r="CL19"/>
  <c r="CM19" s="1"/>
  <c r="CL18"/>
  <c r="CM18" s="1"/>
  <c r="CE16"/>
  <c r="CQ16"/>
  <c r="CO17"/>
  <c r="CN17"/>
  <c r="AN19"/>
  <c r="K21"/>
  <c r="BS18"/>
  <c r="BA18"/>
  <c r="CH17"/>
  <c r="BD17"/>
  <c r="CD17" s="1"/>
  <c r="BE17"/>
  <c r="BC17"/>
  <c r="CC17" s="1"/>
  <c r="AP18"/>
  <c r="AO18" s="1"/>
  <c r="AQ18"/>
  <c r="AZ19" l="1"/>
  <c r="CN18"/>
  <c r="CO18"/>
  <c r="CE17"/>
  <c r="CQ17"/>
  <c r="K22"/>
  <c r="BA19"/>
  <c r="BS19"/>
  <c r="CH18"/>
  <c r="BC18"/>
  <c r="CC18" s="1"/>
  <c r="BD18"/>
  <c r="CD18" s="1"/>
  <c r="BE18"/>
  <c r="AP19"/>
  <c r="AO19" s="1"/>
  <c r="AQ19"/>
  <c r="CO19" l="1"/>
  <c r="CN19"/>
  <c r="CE18"/>
  <c r="CQ18"/>
  <c r="K23"/>
  <c r="CH19"/>
  <c r="BE19"/>
  <c r="AP20"/>
  <c r="BC19"/>
  <c r="CC19" s="1"/>
  <c r="BD19"/>
  <c r="CD19" s="1"/>
  <c r="AQ20"/>
  <c r="CN20" l="1"/>
  <c r="CO20"/>
  <c r="CE19"/>
  <c r="CQ19"/>
  <c r="CH20"/>
  <c r="BD20"/>
  <c r="CD20" s="1"/>
  <c r="AP21"/>
  <c r="BE20"/>
  <c r="BC20"/>
  <c r="CC20" s="1"/>
  <c r="AO20"/>
  <c r="K24"/>
  <c r="AQ21"/>
  <c r="CO21" l="1"/>
  <c r="CN21"/>
  <c r="CE20"/>
  <c r="CQ20"/>
  <c r="CH21"/>
  <c r="AO21"/>
  <c r="BE21"/>
  <c r="AP22"/>
  <c r="BC21"/>
  <c r="CC21" s="1"/>
  <c r="BD21"/>
  <c r="CD21" s="1"/>
  <c r="K25"/>
  <c r="AQ22"/>
  <c r="CN22" l="1"/>
  <c r="CO22"/>
  <c r="CE21"/>
  <c r="CQ21"/>
  <c r="K26"/>
  <c r="CH22"/>
  <c r="BE22"/>
  <c r="BC22"/>
  <c r="CC22" s="1"/>
  <c r="AO22"/>
  <c r="BD22"/>
  <c r="CD22" s="1"/>
  <c r="AP23"/>
  <c r="AQ23"/>
  <c r="CO23" l="1"/>
  <c r="CN23"/>
  <c r="CE22"/>
  <c r="CQ22"/>
  <c r="CH23"/>
  <c r="BD23"/>
  <c r="CD23" s="1"/>
  <c r="BC23"/>
  <c r="CC23" s="1"/>
  <c r="AO23"/>
  <c r="AP24"/>
  <c r="BE23"/>
  <c r="K27"/>
  <c r="AQ24"/>
  <c r="CE23" l="1"/>
  <c r="CQ23"/>
  <c r="CN24"/>
  <c r="CO24"/>
  <c r="K28"/>
  <c r="CH24"/>
  <c r="BE24"/>
  <c r="AP25"/>
  <c r="BC24"/>
  <c r="CC24" s="1"/>
  <c r="AO24"/>
  <c r="BD24"/>
  <c r="CD24" s="1"/>
  <c r="AQ25"/>
  <c r="CO25" l="1"/>
  <c r="CN25"/>
  <c r="CE24"/>
  <c r="CQ24"/>
  <c r="CH25"/>
  <c r="BC25"/>
  <c r="CC25" s="1"/>
  <c r="AP26"/>
  <c r="AO25"/>
  <c r="BE25"/>
  <c r="BD25"/>
  <c r="CD25" s="1"/>
  <c r="AQ26"/>
  <c r="CN26" l="1"/>
  <c r="CO26"/>
  <c r="CE25"/>
  <c r="CQ25"/>
  <c r="CH26"/>
  <c r="AO26"/>
  <c r="BC26"/>
  <c r="CC26" s="1"/>
  <c r="BD26"/>
  <c r="CD26" s="1"/>
  <c r="AP27"/>
  <c r="BE26"/>
  <c r="AQ27"/>
  <c r="CE26" l="1"/>
  <c r="CQ26"/>
  <c r="CO27"/>
  <c r="CN27"/>
  <c r="CH27"/>
  <c r="BC27"/>
  <c r="CC27" s="1"/>
  <c r="AP28"/>
  <c r="BE27"/>
  <c r="BD27"/>
  <c r="CD27" s="1"/>
  <c r="AO27"/>
  <c r="AQ28"/>
  <c r="CN28" l="1"/>
  <c r="CO28"/>
  <c r="CE27"/>
  <c r="CQ27"/>
  <c r="CH28"/>
  <c r="AO28"/>
  <c r="BC28"/>
  <c r="CC28" s="1"/>
  <c r="BE28"/>
  <c r="BD28"/>
  <c r="CE28" l="1"/>
  <c r="CQ28"/>
  <c r="CD28"/>
</calcChain>
</file>

<file path=xl/sharedStrings.xml><?xml version="1.0" encoding="utf-8"?>
<sst xmlns="http://schemas.openxmlformats.org/spreadsheetml/2006/main" count="139" uniqueCount="132">
  <si>
    <t>date</t>
  </si>
  <si>
    <t>1/1</t>
  </si>
  <si>
    <t>1/15</t>
  </si>
  <si>
    <t>2/1</t>
  </si>
  <si>
    <t>2/15</t>
  </si>
  <si>
    <t>3/1</t>
  </si>
  <si>
    <t>3/15</t>
  </si>
  <si>
    <t>4/1</t>
  </si>
  <si>
    <t>4/15</t>
  </si>
  <si>
    <t>5/1</t>
  </si>
  <si>
    <t>5/15</t>
  </si>
  <si>
    <t>6/1</t>
  </si>
  <si>
    <t>6/15</t>
  </si>
  <si>
    <t>7/1</t>
  </si>
  <si>
    <t>7/15</t>
  </si>
  <si>
    <t>8/1</t>
  </si>
  <si>
    <t>8/15</t>
  </si>
  <si>
    <t>9/1</t>
  </si>
  <si>
    <t>9/15</t>
  </si>
  <si>
    <t>10/1</t>
  </si>
  <si>
    <t>10/15</t>
  </si>
  <si>
    <t>11/1</t>
  </si>
  <si>
    <t>11/15</t>
  </si>
  <si>
    <t>12/1</t>
  </si>
  <si>
    <t>12/15</t>
  </si>
  <si>
    <t>I0</t>
  </si>
  <si>
    <t>k</t>
  </si>
  <si>
    <t>T</t>
  </si>
  <si>
    <t>Z</t>
  </si>
  <si>
    <t>G</t>
  </si>
  <si>
    <t>dP/dt</t>
  </si>
  <si>
    <t>days</t>
  </si>
  <si>
    <t>P data</t>
  </si>
  <si>
    <t>(Ph-R)*P</t>
  </si>
  <si>
    <t>Ph*P</t>
  </si>
  <si>
    <t>d/dt</t>
  </si>
  <si>
    <t>G*P</t>
  </si>
  <si>
    <t>zeuph(z1)</t>
  </si>
  <si>
    <t>zmix(z2)</t>
  </si>
  <si>
    <t>T data</t>
  </si>
  <si>
    <t>R0</t>
  </si>
  <si>
    <t>Zsin</t>
  </si>
  <si>
    <t>zsinparam:</t>
  </si>
  <si>
    <t>(do not change here)</t>
  </si>
  <si>
    <t>FORCING: RILEY</t>
  </si>
  <si>
    <t>p</t>
  </si>
  <si>
    <t>g</t>
  </si>
  <si>
    <t>P0</t>
  </si>
  <si>
    <t>Ph</t>
  </si>
  <si>
    <t>R</t>
  </si>
  <si>
    <t>Phmax</t>
  </si>
  <si>
    <t>Phmax(1-N)</t>
  </si>
  <si>
    <t>Phmax(1-V)</t>
  </si>
  <si>
    <t>DIAGNOSTICS</t>
  </si>
  <si>
    <t>diffG</t>
  </si>
  <si>
    <t>diffR</t>
  </si>
  <si>
    <t>Ph-R</t>
  </si>
  <si>
    <t>Ph-R-G</t>
  </si>
  <si>
    <t>Z manipulation (post-bloom)</t>
  </si>
  <si>
    <t>spread factor</t>
  </si>
  <si>
    <t>DATA</t>
  </si>
  <si>
    <t>TIME</t>
  </si>
  <si>
    <t>Imin</t>
  </si>
  <si>
    <t>Z MANIPULATION</t>
  </si>
  <si>
    <t>r</t>
  </si>
  <si>
    <t>Q10=2</t>
  </si>
  <si>
    <t>Pt-forw</t>
  </si>
  <si>
    <t>NO3_Hu</t>
  </si>
  <si>
    <t>(1-NO3)</t>
  </si>
  <si>
    <t>apply (1-NO3) instead of (1-N)</t>
  </si>
  <si>
    <t>(1-nuts)</t>
  </si>
  <si>
    <t>zbase</t>
  </si>
  <si>
    <t>NO3 LIMITATION</t>
  </si>
  <si>
    <t>(1-V) flag</t>
  </si>
  <si>
    <t>1=std, 0=switched off</t>
  </si>
  <si>
    <t>Ncrit</t>
  </si>
  <si>
    <t>I0 uE m02 s-1</t>
  </si>
  <si>
    <t>Fig3a</t>
  </si>
  <si>
    <t>Fig3b</t>
  </si>
  <si>
    <t>max</t>
  </si>
  <si>
    <t>max(1-V)</t>
  </si>
  <si>
    <t>max(1-V)(1-N)</t>
  </si>
  <si>
    <t>Fig 3c</t>
  </si>
  <si>
    <t>Fig 3d</t>
  </si>
  <si>
    <t>sp_grazing</t>
  </si>
  <si>
    <t>Ph_delt/2</t>
  </si>
  <si>
    <t>R_delt/2</t>
  </si>
  <si>
    <t>G_delt/2</t>
  </si>
  <si>
    <t>f(tau+del2)/2</t>
  </si>
  <si>
    <t>Pt_midP</t>
  </si>
  <si>
    <t>Pt_trap</t>
  </si>
  <si>
    <t>G*P/Z</t>
  </si>
  <si>
    <t>photosynthetic rate</t>
  </si>
  <si>
    <t>grazing rate</t>
  </si>
  <si>
    <t xml:space="preserve">g C (g C)-1 d-1 (g cal cm-2 min-1)-1 </t>
  </si>
  <si>
    <t>W m-2</t>
  </si>
  <si>
    <t>d-1</t>
  </si>
  <si>
    <t>d</t>
  </si>
  <si>
    <t>STANDARD parameters FLAG</t>
  </si>
  <si>
    <t>P respiration at 0º C</t>
  </si>
  <si>
    <t>d-1 (gC m-2)-1</t>
  </si>
  <si>
    <t>ºC-1</t>
  </si>
  <si>
    <t>temp. Coeff: resp.</t>
  </si>
  <si>
    <t>initial P</t>
  </si>
  <si>
    <t>g C m-2</t>
  </si>
  <si>
    <t>time step</t>
  </si>
  <si>
    <t>STD</t>
  </si>
  <si>
    <t>SENSITIVITY OPTIONS</t>
  </si>
  <si>
    <t>divide by z2 rather than z1 when z2&lt;z1</t>
  </si>
  <si>
    <t>1=std; 0=maniplulated</t>
  </si>
  <si>
    <t>1=std; 0=manipulated</t>
  </si>
  <si>
    <t>I defining euphotic zone</t>
  </si>
  <si>
    <t xml:space="preserve">Tom Anderson </t>
  </si>
  <si>
    <t>National Oceanography Centre, Southamoton, UK</t>
  </si>
  <si>
    <t xml:space="preserve">Wendy Gentleman </t>
  </si>
  <si>
    <t>Dalhousie Univ., Nova Scotia, Canada</t>
  </si>
  <si>
    <t>and the development of mathematical models in biological oceanography"</t>
  </si>
  <si>
    <t xml:space="preserve">    See: Anderson, TR, and Gentleman, WC (J. Mar. Res.) "The legacy of Gordon Arthur Riley (1911-1985) </t>
  </si>
  <si>
    <r>
      <t xml:space="preserve">         Riley's (1946) model of plankton dynamics on Georges Bank,</t>
    </r>
    <r>
      <rPr>
        <sz val="10"/>
        <rFont val="Arial"/>
        <family val="2"/>
      </rPr>
      <t xml:space="preserve"> reproduced in Excel by:</t>
    </r>
  </si>
  <si>
    <r>
      <t>PARAMETERS</t>
    </r>
    <r>
      <rPr>
        <sz val="10"/>
        <rFont val="Arial"/>
        <family val="2"/>
      </rPr>
      <t xml:space="preserve"> (alter values in </t>
    </r>
    <r>
      <rPr>
        <sz val="10"/>
        <color rgb="FFFF0000"/>
        <rFont val="Arial"/>
        <family val="2"/>
      </rPr>
      <t>red</t>
    </r>
    <r>
      <rPr>
        <sz val="10"/>
        <rFont val="Arial"/>
        <family val="2"/>
      </rPr>
      <t xml:space="preserve"> only)</t>
    </r>
  </si>
  <si>
    <t>Sensitivity tests</t>
  </si>
  <si>
    <t>Pt_Riley</t>
  </si>
  <si>
    <t>forward</t>
  </si>
  <si>
    <t>integration</t>
  </si>
  <si>
    <t>MAIN CALCS: Anderson &amp; Gentleman</t>
  </si>
  <si>
    <t>Pt_A&amp;G</t>
  </si>
  <si>
    <t>More diagnostics</t>
  </si>
  <si>
    <t>MAIN CALCS: Riley</t>
  </si>
  <si>
    <t>L_N</t>
  </si>
  <si>
    <t>L_V</t>
  </si>
  <si>
    <t>diff(L_N)</t>
  </si>
  <si>
    <t>diff(L_V)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</si>
</sst>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8"/>
      <name val="Arial"/>
    </font>
    <font>
      <sz val="10"/>
      <color indexed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FF"/>
      <name val="Arial"/>
      <family val="2"/>
    </font>
    <font>
      <sz val="10"/>
      <color rgb="FF0000FF"/>
      <name val="Arial"/>
      <family val="2"/>
    </font>
    <font>
      <sz val="10"/>
      <color theme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2" fillId="0" borderId="0" xfId="0" applyFont="1"/>
    <xf numFmtId="0" fontId="0" fillId="2" borderId="0" xfId="0" applyFill="1"/>
    <xf numFmtId="0" fontId="2" fillId="0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6" fillId="0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7" fillId="0" borderId="0" xfId="0" applyFont="1" applyFill="1"/>
    <xf numFmtId="0" fontId="7" fillId="0" borderId="0" xfId="0" applyFont="1"/>
    <xf numFmtId="0" fontId="7" fillId="0" borderId="0" xfId="0" applyFont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99"/>
      <color rgb="FFFFFFCC"/>
      <color rgb="FFEAEAEA"/>
      <color rgb="FFF2DCDB"/>
      <color rgb="FFFEF0FD"/>
      <color rgb="FFF3F3F3"/>
      <color rgb="FFFFF4DD"/>
      <color rgb="FFEFFEFF"/>
      <color rgb="FF0000FF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/>
              <a:t>Forcing: irradiance (I0)</a:t>
            </a:r>
          </a:p>
        </c:rich>
      </c:tx>
      <c:layout>
        <c:manualLayout>
          <c:xMode val="edge"/>
          <c:yMode val="edge"/>
          <c:x val="0.36005266829987376"/>
          <c:y val="7.776460313966618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52457416840215"/>
          <c:y val="0.21569520671953879"/>
          <c:w val="0.80028449266852653"/>
          <c:h val="0.62190467399870786"/>
        </c:manualLayout>
      </c:layout>
      <c:scatterChart>
        <c:scatterStyle val="lineMarker"/>
        <c:ser>
          <c:idx val="0"/>
          <c:order val="0"/>
          <c:tx>
            <c:strRef>
              <c:f>main!$P$4</c:f>
              <c:strCache>
                <c:ptCount val="1"/>
                <c:pt idx="0">
                  <c:v>I0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main!$P$5:$P$28</c:f>
              <c:numCache>
                <c:formatCode>General</c:formatCode>
                <c:ptCount val="24"/>
                <c:pt idx="0">
                  <c:v>8.7999999999999995E-2</c:v>
                </c:pt>
                <c:pt idx="1">
                  <c:v>9.4E-2</c:v>
                </c:pt>
                <c:pt idx="2">
                  <c:v>0.112</c:v>
                </c:pt>
                <c:pt idx="3">
                  <c:v>0.13800000000000001</c:v>
                </c:pt>
                <c:pt idx="4">
                  <c:v>0.17399999999999999</c:v>
                </c:pt>
                <c:pt idx="5">
                  <c:v>0.21199999999999999</c:v>
                </c:pt>
                <c:pt idx="6">
                  <c:v>0.247</c:v>
                </c:pt>
                <c:pt idx="7">
                  <c:v>0.27200000000000002</c:v>
                </c:pt>
                <c:pt idx="8">
                  <c:v>0.28999999999999998</c:v>
                </c:pt>
                <c:pt idx="9">
                  <c:v>0.30599999999999999</c:v>
                </c:pt>
                <c:pt idx="10">
                  <c:v>0.32100000000000001</c:v>
                </c:pt>
                <c:pt idx="11">
                  <c:v>0.32900000000000001</c:v>
                </c:pt>
                <c:pt idx="12">
                  <c:v>0.31900000000000001</c:v>
                </c:pt>
                <c:pt idx="13">
                  <c:v>0.30199999999999999</c:v>
                </c:pt>
                <c:pt idx="14">
                  <c:v>0.28399999999999997</c:v>
                </c:pt>
                <c:pt idx="15">
                  <c:v>0.26700000000000002</c:v>
                </c:pt>
                <c:pt idx="16">
                  <c:v>0.25</c:v>
                </c:pt>
                <c:pt idx="17">
                  <c:v>0.23</c:v>
                </c:pt>
                <c:pt idx="18">
                  <c:v>0.20399999999999999</c:v>
                </c:pt>
                <c:pt idx="19">
                  <c:v>0.17399999999999999</c:v>
                </c:pt>
                <c:pt idx="20">
                  <c:v>0.14399999999999999</c:v>
                </c:pt>
                <c:pt idx="21">
                  <c:v>0.115</c:v>
                </c:pt>
                <c:pt idx="22">
                  <c:v>9.4E-2</c:v>
                </c:pt>
                <c:pt idx="23">
                  <c:v>8.5999999999999993E-2</c:v>
                </c:pt>
              </c:numCache>
            </c:numRef>
          </c:yVal>
        </c:ser>
        <c:axId val="89511808"/>
        <c:axId val="89513344"/>
      </c:scatterChart>
      <c:valAx>
        <c:axId val="89511808"/>
        <c:scaling>
          <c:orientation val="minMax"/>
          <c:max val="360"/>
          <c:min val="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13344"/>
        <c:crosses val="autoZero"/>
        <c:crossBetween val="midCat"/>
        <c:majorUnit val="60"/>
      </c:valAx>
      <c:valAx>
        <c:axId val="89513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11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30698169724102"/>
          <c:y val="0.22543853794650778"/>
          <c:w val="0.12575511338897427"/>
          <c:h val="0.122057326242695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38100">
      <a:solidFill>
        <a:schemeClr val="accent2">
          <a:lumMod val="40000"/>
          <a:lumOff val="60000"/>
        </a:schemeClr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000"/>
              <a:t>Comparison of different</a:t>
            </a:r>
            <a:r>
              <a:rPr lang="en-GB" sz="1000" baseline="0"/>
              <a:t> integrations for P</a:t>
            </a:r>
            <a:endParaRPr lang="en-GB" sz="1000"/>
          </a:p>
        </c:rich>
      </c:tx>
      <c:layout>
        <c:manualLayout>
          <c:xMode val="edge"/>
          <c:yMode val="edge"/>
          <c:x val="0.24019936337745021"/>
          <c:y val="5.21012393886731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642276763276932"/>
          <c:y val="0.12370915488424986"/>
          <c:w val="0.84584876026135025"/>
          <c:h val="0.76969696969696966"/>
        </c:manualLayout>
      </c:layout>
      <c:scatterChart>
        <c:scatterStyle val="lineMarker"/>
        <c:ser>
          <c:idx val="0"/>
          <c:order val="0"/>
          <c:tx>
            <c:strRef>
              <c:f>main!$M$4</c:f>
              <c:strCache>
                <c:ptCount val="1"/>
                <c:pt idx="0">
                  <c:v>P data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main!$K$5:$K$35</c:f>
              <c:numCache>
                <c:formatCode>General</c:formatCode>
                <c:ptCount val="3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5">
                  <c:v>8</c:v>
                </c:pt>
                <c:pt idx="26">
                  <c:v>89</c:v>
                </c:pt>
                <c:pt idx="27">
                  <c:v>111</c:v>
                </c:pt>
                <c:pt idx="28">
                  <c:v>132</c:v>
                </c:pt>
                <c:pt idx="29">
                  <c:v>173</c:v>
                </c:pt>
                <c:pt idx="30">
                  <c:v>251</c:v>
                </c:pt>
              </c:numCache>
            </c:numRef>
          </c:xVal>
          <c:yVal>
            <c:numRef>
              <c:f>main!$M$5:$M$35</c:f>
              <c:numCache>
                <c:formatCode>General</c:formatCode>
                <c:ptCount val="31"/>
                <c:pt idx="25">
                  <c:v>2.0060000000000002</c:v>
                </c:pt>
                <c:pt idx="26">
                  <c:v>14.076000000000001</c:v>
                </c:pt>
                <c:pt idx="27">
                  <c:v>39.151000000000003</c:v>
                </c:pt>
                <c:pt idx="28">
                  <c:v>14.807</c:v>
                </c:pt>
                <c:pt idx="29">
                  <c:v>8.1260000000000012</c:v>
                </c:pt>
                <c:pt idx="30">
                  <c:v>9.52</c:v>
                </c:pt>
              </c:numCache>
            </c:numRef>
          </c:yVal>
        </c:ser>
        <c:ser>
          <c:idx val="1"/>
          <c:order val="1"/>
          <c:tx>
            <c:strRef>
              <c:f>main!$AI$4</c:f>
              <c:strCache>
                <c:ptCount val="1"/>
                <c:pt idx="0">
                  <c:v>Pt_Riley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main!$K$5:$K$35</c:f>
              <c:numCache>
                <c:formatCode>General</c:formatCode>
                <c:ptCount val="3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5">
                  <c:v>8</c:v>
                </c:pt>
                <c:pt idx="26">
                  <c:v>89</c:v>
                </c:pt>
                <c:pt idx="27">
                  <c:v>111</c:v>
                </c:pt>
                <c:pt idx="28">
                  <c:v>132</c:v>
                </c:pt>
                <c:pt idx="29">
                  <c:v>173</c:v>
                </c:pt>
                <c:pt idx="30">
                  <c:v>251</c:v>
                </c:pt>
              </c:numCache>
            </c:numRef>
          </c:xVal>
          <c:yVal>
            <c:numRef>
              <c:f>main!$AI$5:$AI$35</c:f>
              <c:numCache>
                <c:formatCode>General</c:formatCode>
                <c:ptCount val="31"/>
                <c:pt idx="0">
                  <c:v>3.4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6.7</c:v>
                </c:pt>
                <c:pt idx="5">
                  <c:v>10</c:v>
                </c:pt>
                <c:pt idx="6">
                  <c:v>19.100000000000001</c:v>
                </c:pt>
                <c:pt idx="7">
                  <c:v>35.5</c:v>
                </c:pt>
                <c:pt idx="8">
                  <c:v>25.7</c:v>
                </c:pt>
                <c:pt idx="9">
                  <c:v>14.2</c:v>
                </c:pt>
                <c:pt idx="10">
                  <c:v>8.1999999999999993</c:v>
                </c:pt>
                <c:pt idx="11">
                  <c:v>7.5</c:v>
                </c:pt>
                <c:pt idx="12">
                  <c:v>12.1</c:v>
                </c:pt>
                <c:pt idx="13">
                  <c:v>15.4</c:v>
                </c:pt>
                <c:pt idx="14">
                  <c:v>14.8</c:v>
                </c:pt>
                <c:pt idx="15">
                  <c:v>11.5</c:v>
                </c:pt>
                <c:pt idx="16">
                  <c:v>8.4</c:v>
                </c:pt>
                <c:pt idx="17">
                  <c:v>6.1</c:v>
                </c:pt>
                <c:pt idx="18">
                  <c:v>4.9000000000000004</c:v>
                </c:pt>
                <c:pt idx="19">
                  <c:v>4.4000000000000004</c:v>
                </c:pt>
                <c:pt idx="20">
                  <c:v>4.2</c:v>
                </c:pt>
                <c:pt idx="21">
                  <c:v>3.9</c:v>
                </c:pt>
                <c:pt idx="22">
                  <c:v>3.5</c:v>
                </c:pt>
                <c:pt idx="23">
                  <c:v>3.2</c:v>
                </c:pt>
              </c:numCache>
            </c:numRef>
          </c:yVal>
        </c:ser>
        <c:ser>
          <c:idx val="2"/>
          <c:order val="2"/>
          <c:tx>
            <c:strRef>
              <c:f>main!$AP$4</c:f>
              <c:strCache>
                <c:ptCount val="1"/>
                <c:pt idx="0">
                  <c:v>Pt_A&amp;G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main!$K$5:$K$35</c:f>
              <c:numCache>
                <c:formatCode>General</c:formatCode>
                <c:ptCount val="3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5">
                  <c:v>8</c:v>
                </c:pt>
                <c:pt idx="26">
                  <c:v>89</c:v>
                </c:pt>
                <c:pt idx="27">
                  <c:v>111</c:v>
                </c:pt>
                <c:pt idx="28">
                  <c:v>132</c:v>
                </c:pt>
                <c:pt idx="29">
                  <c:v>173</c:v>
                </c:pt>
                <c:pt idx="30">
                  <c:v>251</c:v>
                </c:pt>
              </c:numCache>
            </c:numRef>
          </c:xVal>
          <c:yVal>
            <c:numRef>
              <c:f>main!$AP$5:$AP$35</c:f>
              <c:numCache>
                <c:formatCode>General</c:formatCode>
                <c:ptCount val="31"/>
                <c:pt idx="0">
                  <c:v>3.3226030004479767</c:v>
                </c:pt>
                <c:pt idx="1">
                  <c:v>3.4411707210932461</c:v>
                </c:pt>
                <c:pt idx="2">
                  <c:v>3.9449913130479342</c:v>
                </c:pt>
                <c:pt idx="3">
                  <c:v>4.937311386333735</c:v>
                </c:pt>
                <c:pt idx="4">
                  <c:v>6.4982292685385641</c:v>
                </c:pt>
                <c:pt idx="5">
                  <c:v>9.6610249585220629</c:v>
                </c:pt>
                <c:pt idx="6">
                  <c:v>18.390855144150834</c:v>
                </c:pt>
                <c:pt idx="7">
                  <c:v>34.09983450620549</c:v>
                </c:pt>
                <c:pt idx="8">
                  <c:v>24.252803185228924</c:v>
                </c:pt>
                <c:pt idx="9">
                  <c:v>13.440291965295783</c:v>
                </c:pt>
                <c:pt idx="10">
                  <c:v>7.7625768042853061</c:v>
                </c:pt>
                <c:pt idx="11">
                  <c:v>7.1461061205449479</c:v>
                </c:pt>
                <c:pt idx="12">
                  <c:v>11.238325958011956</c:v>
                </c:pt>
                <c:pt idx="13">
                  <c:v>14.171900031514463</c:v>
                </c:pt>
                <c:pt idx="14">
                  <c:v>13.536659544413132</c:v>
                </c:pt>
                <c:pt idx="15">
                  <c:v>10.658051537569246</c:v>
                </c:pt>
                <c:pt idx="16">
                  <c:v>7.847856802891032</c:v>
                </c:pt>
                <c:pt idx="17">
                  <c:v>5.7238367687735661</c:v>
                </c:pt>
                <c:pt idx="18">
                  <c:v>4.5485524145496274</c:v>
                </c:pt>
                <c:pt idx="19">
                  <c:v>3.9878031723197669</c:v>
                </c:pt>
                <c:pt idx="20">
                  <c:v>3.6955094023870214</c:v>
                </c:pt>
                <c:pt idx="21">
                  <c:v>3.4865718630499805</c:v>
                </c:pt>
                <c:pt idx="22">
                  <c:v>3.1208789964037975</c:v>
                </c:pt>
                <c:pt idx="23">
                  <c:v>2.8558950768511018</c:v>
                </c:pt>
              </c:numCache>
            </c:numRef>
          </c:yVal>
        </c:ser>
        <c:ser>
          <c:idx val="3"/>
          <c:order val="3"/>
          <c:tx>
            <c:strRef>
              <c:f>main!$AQ$4</c:f>
              <c:strCache>
                <c:ptCount val="1"/>
                <c:pt idx="0">
                  <c:v>Pt-forw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main!$K$5:$K$35</c:f>
              <c:numCache>
                <c:formatCode>General</c:formatCode>
                <c:ptCount val="3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5">
                  <c:v>8</c:v>
                </c:pt>
                <c:pt idx="26">
                  <c:v>89</c:v>
                </c:pt>
                <c:pt idx="27">
                  <c:v>111</c:v>
                </c:pt>
                <c:pt idx="28">
                  <c:v>132</c:v>
                </c:pt>
                <c:pt idx="29">
                  <c:v>173</c:v>
                </c:pt>
                <c:pt idx="30">
                  <c:v>251</c:v>
                </c:pt>
              </c:numCache>
            </c:numRef>
          </c:xVal>
          <c:yVal>
            <c:numRef>
              <c:f>main!$AQ$5:$AQ$29</c:f>
              <c:numCache>
                <c:formatCode>General</c:formatCode>
                <c:ptCount val="25"/>
                <c:pt idx="0">
                  <c:v>3.3226030004479767</c:v>
                </c:pt>
                <c:pt idx="1">
                  <c:v>3.2690822323322175</c:v>
                </c:pt>
                <c:pt idx="2">
                  <c:v>3.3857400541777163</c:v>
                </c:pt>
                <c:pt idx="3">
                  <c:v>3.8814450617335714</c:v>
                </c:pt>
                <c:pt idx="4">
                  <c:v>4.8577807599580778</c:v>
                </c:pt>
                <c:pt idx="5">
                  <c:v>6.3935552458528564</c:v>
                </c:pt>
                <c:pt idx="6">
                  <c:v>9.505404357295884</c:v>
                </c:pt>
                <c:pt idx="7">
                  <c:v>18.094613705288619</c:v>
                </c:pt>
                <c:pt idx="8">
                  <c:v>33.550551508764528</c:v>
                </c:pt>
                <c:pt idx="9">
                  <c:v>23.862136995118703</c:v>
                </c:pt>
                <c:pt idx="10">
                  <c:v>13.223794613795853</c:v>
                </c:pt>
                <c:pt idx="11">
                  <c:v>7.6375365653320166</c:v>
                </c:pt>
                <c:pt idx="12">
                  <c:v>7.0309960431277148</c:v>
                </c:pt>
                <c:pt idx="13">
                  <c:v>11.057298059846877</c:v>
                </c:pt>
                <c:pt idx="14">
                  <c:v>13.943617875853933</c:v>
                </c:pt>
                <c:pt idx="15">
                  <c:v>13.318609895857216</c:v>
                </c:pt>
                <c:pt idx="16">
                  <c:v>10.486370748491785</c:v>
                </c:pt>
                <c:pt idx="17">
                  <c:v>7.721442866559614</c:v>
                </c:pt>
                <c:pt idx="18">
                  <c:v>5.631636725496449</c:v>
                </c:pt>
                <c:pt idx="19">
                  <c:v>4.4752839503338713</c:v>
                </c:pt>
                <c:pt idx="20">
                  <c:v>3.9235673039815278</c:v>
                </c:pt>
                <c:pt idx="21">
                  <c:v>3.6359818266374972</c:v>
                </c:pt>
                <c:pt idx="22">
                  <c:v>3.4304098707276749</c:v>
                </c:pt>
                <c:pt idx="23">
                  <c:v>3.0706076154830702</c:v>
                </c:pt>
              </c:numCache>
            </c:numRef>
          </c:yVal>
        </c:ser>
        <c:axId val="90216704"/>
        <c:axId val="90226688"/>
      </c:scatterChart>
      <c:valAx>
        <c:axId val="90216704"/>
        <c:scaling>
          <c:orientation val="minMax"/>
          <c:max val="360"/>
          <c:min val="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26688"/>
        <c:crosses val="autoZero"/>
        <c:crossBetween val="midCat"/>
        <c:majorUnit val="60"/>
      </c:valAx>
      <c:valAx>
        <c:axId val="90226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g C m-2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16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90902998827282"/>
          <c:y val="0.11452062434413779"/>
          <c:w val="0.1920727927626068"/>
          <c:h val="0.268180537378331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CC"/>
    </a:solidFill>
    <a:ln w="38100">
      <a:solidFill>
        <a:schemeClr val="accent3">
          <a:lumMod val="60000"/>
          <a:lumOff val="40000"/>
        </a:schemeClr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/>
              <a:t>Forcing:</a:t>
            </a:r>
            <a:r>
              <a:rPr lang="en-US" sz="1000" baseline="0"/>
              <a:t> temperature</a:t>
            </a:r>
            <a:endParaRPr lang="en-US" sz="1000"/>
          </a:p>
        </c:rich>
      </c:tx>
      <c:layout>
        <c:manualLayout>
          <c:xMode val="edge"/>
          <c:yMode val="edge"/>
          <c:x val="0.35391696968111552"/>
          <c:y val="0.10235939121617761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6367432150313375E-2"/>
          <c:y val="0.21966889896497885"/>
          <c:w val="0.81628392484342349"/>
          <c:h val="0.6354503071293407"/>
        </c:manualLayout>
      </c:layout>
      <c:scatterChart>
        <c:scatterStyle val="lineMarker"/>
        <c:ser>
          <c:idx val="0"/>
          <c:order val="0"/>
          <c:tx>
            <c:strRef>
              <c:f>main!$T$4</c:f>
              <c:strCache>
                <c:ptCount val="1"/>
                <c:pt idx="0">
                  <c:v>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main!$T$5:$T$28</c:f>
              <c:numCache>
                <c:formatCode>General</c:formatCode>
                <c:ptCount val="24"/>
                <c:pt idx="0">
                  <c:v>5.2</c:v>
                </c:pt>
                <c:pt idx="1">
                  <c:v>4.0999999999999996</c:v>
                </c:pt>
                <c:pt idx="2">
                  <c:v>3.2</c:v>
                </c:pt>
                <c:pt idx="3">
                  <c:v>2.7</c:v>
                </c:pt>
                <c:pt idx="4">
                  <c:v>2.4</c:v>
                </c:pt>
                <c:pt idx="5">
                  <c:v>2.5</c:v>
                </c:pt>
                <c:pt idx="6">
                  <c:v>2.7</c:v>
                </c:pt>
                <c:pt idx="7">
                  <c:v>3.4</c:v>
                </c:pt>
                <c:pt idx="8">
                  <c:v>4.5</c:v>
                </c:pt>
                <c:pt idx="9">
                  <c:v>5.9</c:v>
                </c:pt>
                <c:pt idx="10">
                  <c:v>7.6</c:v>
                </c:pt>
                <c:pt idx="11">
                  <c:v>9.6999999999999993</c:v>
                </c:pt>
                <c:pt idx="12">
                  <c:v>11.8</c:v>
                </c:pt>
                <c:pt idx="13">
                  <c:v>13.9</c:v>
                </c:pt>
                <c:pt idx="14">
                  <c:v>15.5</c:v>
                </c:pt>
                <c:pt idx="15">
                  <c:v>16.3</c:v>
                </c:pt>
                <c:pt idx="16">
                  <c:v>16.600000000000001</c:v>
                </c:pt>
                <c:pt idx="17">
                  <c:v>16.399999999999999</c:v>
                </c:pt>
                <c:pt idx="18">
                  <c:v>15.5</c:v>
                </c:pt>
                <c:pt idx="19">
                  <c:v>14.2</c:v>
                </c:pt>
                <c:pt idx="20">
                  <c:v>12.4</c:v>
                </c:pt>
                <c:pt idx="21">
                  <c:v>10.5</c:v>
                </c:pt>
                <c:pt idx="22">
                  <c:v>8.5</c:v>
                </c:pt>
                <c:pt idx="23">
                  <c:v>6.7</c:v>
                </c:pt>
              </c:numCache>
            </c:numRef>
          </c:yVal>
        </c:ser>
        <c:axId val="89226624"/>
        <c:axId val="89228416"/>
      </c:scatterChart>
      <c:valAx>
        <c:axId val="89226624"/>
        <c:scaling>
          <c:orientation val="minMax"/>
          <c:max val="360"/>
          <c:min val="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28416"/>
        <c:crosses val="autoZero"/>
        <c:crossBetween val="midCat"/>
        <c:majorUnit val="60"/>
      </c:valAx>
      <c:valAx>
        <c:axId val="89228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26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00442095900805"/>
          <c:y val="0.26116554227395383"/>
          <c:w val="0.12508478300677531"/>
          <c:h val="0.11924247967323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8100">
      <a:solidFill>
        <a:schemeClr val="accent2">
          <a:lumMod val="40000"/>
          <a:lumOff val="60000"/>
        </a:schemeClr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00"/>
            </a:pPr>
            <a:r>
              <a:rPr lang="en-GB" sz="1000"/>
              <a:t>Forcing:</a:t>
            </a:r>
            <a:r>
              <a:rPr lang="en-GB" sz="1000" baseline="0"/>
              <a:t> L_N, L_V</a:t>
            </a:r>
            <a:endParaRPr lang="en-GB" sz="1000"/>
          </a:p>
        </c:rich>
      </c:tx>
      <c:layout>
        <c:manualLayout>
          <c:xMode val="edge"/>
          <c:yMode val="edge"/>
          <c:x val="0.382194124265816"/>
          <c:y val="4.4734389561975771E-2"/>
        </c:manualLayout>
      </c:layout>
      <c:overlay val="1"/>
    </c:title>
    <c:plotArea>
      <c:layout>
        <c:manualLayout>
          <c:layoutTarget val="inner"/>
          <c:xMode val="edge"/>
          <c:yMode val="edge"/>
          <c:x val="0.11946371240235223"/>
          <c:y val="0.16772901057451695"/>
          <c:w val="0.7925135685444733"/>
          <c:h val="0.70805174982204566"/>
        </c:manualLayout>
      </c:layout>
      <c:scatterChart>
        <c:scatterStyle val="lineMarker"/>
        <c:ser>
          <c:idx val="0"/>
          <c:order val="0"/>
          <c:tx>
            <c:strRef>
              <c:f>main!$V$4</c:f>
              <c:strCache>
                <c:ptCount val="1"/>
                <c:pt idx="0">
                  <c:v>L_N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main!$V$5:$V$28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0.95</c:v>
                </c:pt>
                <c:pt idx="9">
                  <c:v>0.92</c:v>
                </c:pt>
                <c:pt idx="10">
                  <c:v>0.9</c:v>
                </c:pt>
                <c:pt idx="11">
                  <c:v>0.88</c:v>
                </c:pt>
                <c:pt idx="12">
                  <c:v>0.82</c:v>
                </c:pt>
                <c:pt idx="13">
                  <c:v>0.76</c:v>
                </c:pt>
                <c:pt idx="14">
                  <c:v>0.69</c:v>
                </c:pt>
                <c:pt idx="15">
                  <c:v>0.63</c:v>
                </c:pt>
                <c:pt idx="16">
                  <c:v>0.6</c:v>
                </c:pt>
                <c:pt idx="17">
                  <c:v>0.59</c:v>
                </c:pt>
                <c:pt idx="18">
                  <c:v>0.63</c:v>
                </c:pt>
                <c:pt idx="19">
                  <c:v>0.69</c:v>
                </c:pt>
                <c:pt idx="20">
                  <c:v>0.77</c:v>
                </c:pt>
                <c:pt idx="21">
                  <c:v>0.85</c:v>
                </c:pt>
                <c:pt idx="22">
                  <c:v>0.92</c:v>
                </c:pt>
                <c:pt idx="23">
                  <c:v>0.97</c:v>
                </c:pt>
              </c:numCache>
            </c:numRef>
          </c:yVal>
        </c:ser>
        <c:ser>
          <c:idx val="1"/>
          <c:order val="1"/>
          <c:tx>
            <c:strRef>
              <c:f>main!$W$4</c:f>
              <c:strCache>
                <c:ptCount val="1"/>
                <c:pt idx="0">
                  <c:v>L_V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main!$W$5:$W$28</c:f>
              <c:numCache>
                <c:formatCode>General</c:formatCode>
                <c:ptCount val="24"/>
                <c:pt idx="0">
                  <c:v>0.63494023177452719</c:v>
                </c:pt>
                <c:pt idx="1">
                  <c:v>0.64522527275250885</c:v>
                </c:pt>
                <c:pt idx="2">
                  <c:v>0.68201039898591564</c:v>
                </c:pt>
                <c:pt idx="3">
                  <c:v>0.73596819287907556</c:v>
                </c:pt>
                <c:pt idx="4">
                  <c:v>0.77673042338339293</c:v>
                </c:pt>
                <c:pt idx="5">
                  <c:v>0.85364158044204275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0.9308166066613226</c:v>
                </c:pt>
                <c:pt idx="22">
                  <c:v>0.75993198790851046</c:v>
                </c:pt>
                <c:pt idx="23">
                  <c:v>0.66923672531327993</c:v>
                </c:pt>
              </c:numCache>
            </c:numRef>
          </c:yVal>
        </c:ser>
        <c:axId val="89274624"/>
        <c:axId val="89280512"/>
      </c:scatterChart>
      <c:valAx>
        <c:axId val="89274624"/>
        <c:scaling>
          <c:orientation val="minMax"/>
          <c:max val="360"/>
          <c:min val="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80512"/>
        <c:crosses val="autoZero"/>
        <c:crossBetween val="midCat"/>
        <c:majorUnit val="60"/>
      </c:valAx>
      <c:valAx>
        <c:axId val="89280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74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52052720734769"/>
          <c:y val="0.1005214609124465"/>
          <c:w val="0.14819654636382693"/>
          <c:h val="0.14162837287463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8100">
      <a:solidFill>
        <a:schemeClr val="accent2">
          <a:lumMod val="40000"/>
          <a:lumOff val="60000"/>
        </a:schemeClr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00"/>
            </a:pPr>
            <a:r>
              <a:rPr lang="en-GB" sz="1000"/>
              <a:t>Forcing: zeuoh, zmix</a:t>
            </a:r>
          </a:p>
        </c:rich>
      </c:tx>
      <c:layout>
        <c:manualLayout>
          <c:xMode val="edge"/>
          <c:yMode val="edge"/>
          <c:x val="0.36695421366954223"/>
          <c:y val="5.2287581699346421E-2"/>
        </c:manualLayout>
      </c:layout>
      <c:overlay val="1"/>
    </c:title>
    <c:plotArea>
      <c:layout>
        <c:manualLayout>
          <c:layoutTarget val="inner"/>
          <c:xMode val="edge"/>
          <c:yMode val="edge"/>
          <c:x val="0.10088981080417365"/>
          <c:y val="0.13990486483307235"/>
          <c:w val="0.79345375126052176"/>
          <c:h val="0.73390679106288181"/>
        </c:manualLayout>
      </c:layout>
      <c:scatterChart>
        <c:scatterStyle val="lineMarker"/>
        <c:ser>
          <c:idx val="0"/>
          <c:order val="0"/>
          <c:tx>
            <c:strRef>
              <c:f>main!$R$4</c:f>
              <c:strCache>
                <c:ptCount val="1"/>
                <c:pt idx="0">
                  <c:v>zeuph(z1)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main!$R$5:$R$28</c:f>
              <c:numCache>
                <c:formatCode>General</c:formatCode>
                <c:ptCount val="24"/>
                <c:pt idx="0">
                  <c:v>33.651832284049938</c:v>
                </c:pt>
                <c:pt idx="1">
                  <c:v>34.196939455882969</c:v>
                </c:pt>
                <c:pt idx="2">
                  <c:v>34.782530348281696</c:v>
                </c:pt>
                <c:pt idx="3">
                  <c:v>35.326473258195627</c:v>
                </c:pt>
                <c:pt idx="4">
                  <c:v>34.95286905225268</c:v>
                </c:pt>
                <c:pt idx="5">
                  <c:v>34.145663217681708</c:v>
                </c:pt>
                <c:pt idx="6">
                  <c:v>32.10014609131958</c:v>
                </c:pt>
                <c:pt idx="7">
                  <c:v>26.001684790939166</c:v>
                </c:pt>
                <c:pt idx="8">
                  <c:v>25.680077145718805</c:v>
                </c:pt>
                <c:pt idx="9">
                  <c:v>31.283058787318915</c:v>
                </c:pt>
                <c:pt idx="10">
                  <c:v>31.564564794246181</c:v>
                </c:pt>
                <c:pt idx="11">
                  <c:v>31.709368486218864</c:v>
                </c:pt>
                <c:pt idx="12">
                  <c:v>31.527799968686349</c:v>
                </c:pt>
                <c:pt idx="13">
                  <c:v>31.205658289804145</c:v>
                </c:pt>
                <c:pt idx="14">
                  <c:v>31.778843212442673</c:v>
                </c:pt>
                <c:pt idx="15">
                  <c:v>31.986318211679535</c:v>
                </c:pt>
                <c:pt idx="16">
                  <c:v>32.176074275182906</c:v>
                </c:pt>
                <c:pt idx="17">
                  <c:v>32.679312992305398</c:v>
                </c:pt>
                <c:pt idx="18">
                  <c:v>33.880378522317606</c:v>
                </c:pt>
                <c:pt idx="19">
                  <c:v>34.446305732654814</c:v>
                </c:pt>
                <c:pt idx="20">
                  <c:v>34.842352606624701</c:v>
                </c:pt>
                <c:pt idx="21">
                  <c:v>34.440214446468936</c:v>
                </c:pt>
                <c:pt idx="22">
                  <c:v>34.196939455882969</c:v>
                </c:pt>
                <c:pt idx="23">
                  <c:v>33.461836265663997</c:v>
                </c:pt>
              </c:numCache>
            </c:numRef>
          </c:yVal>
        </c:ser>
        <c:ser>
          <c:idx val="1"/>
          <c:order val="1"/>
          <c:tx>
            <c:strRef>
              <c:f>main!$S$4</c:f>
              <c:strCache>
                <c:ptCount val="1"/>
                <c:pt idx="0">
                  <c:v>zmix(z2)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main!$S$5:$S$28</c:f>
              <c:numCache>
                <c:formatCode>General</c:formatCode>
                <c:ptCount val="24"/>
                <c:pt idx="0">
                  <c:v>53</c:v>
                </c:pt>
                <c:pt idx="1">
                  <c:v>53</c:v>
                </c:pt>
                <c:pt idx="2">
                  <c:v>51</c:v>
                </c:pt>
                <c:pt idx="3">
                  <c:v>48</c:v>
                </c:pt>
                <c:pt idx="4">
                  <c:v>45</c:v>
                </c:pt>
                <c:pt idx="5">
                  <c:v>40</c:v>
                </c:pt>
                <c:pt idx="6">
                  <c:v>32</c:v>
                </c:pt>
                <c:pt idx="7">
                  <c:v>23</c:v>
                </c:pt>
                <c:pt idx="8">
                  <c:v>19</c:v>
                </c:pt>
                <c:pt idx="9">
                  <c:v>18</c:v>
                </c:pt>
                <c:pt idx="10">
                  <c:v>15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13</c:v>
                </c:pt>
                <c:pt idx="18">
                  <c:v>16</c:v>
                </c:pt>
                <c:pt idx="19">
                  <c:v>20</c:v>
                </c:pt>
                <c:pt idx="20">
                  <c:v>27</c:v>
                </c:pt>
                <c:pt idx="21">
                  <c:v>37</c:v>
                </c:pt>
                <c:pt idx="22">
                  <c:v>45</c:v>
                </c:pt>
                <c:pt idx="23">
                  <c:v>50</c:v>
                </c:pt>
              </c:numCache>
            </c:numRef>
          </c:yVal>
        </c:ser>
        <c:axId val="89297280"/>
        <c:axId val="89298816"/>
      </c:scatterChart>
      <c:valAx>
        <c:axId val="89297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98816"/>
        <c:crosses val="autoZero"/>
        <c:crossBetween val="midCat"/>
      </c:valAx>
      <c:valAx>
        <c:axId val="89298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97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540475157924458"/>
          <c:y val="1.3527720799605939E-2"/>
          <c:w val="0.23980855744060525"/>
          <c:h val="0.2172060845335509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8100">
      <a:solidFill>
        <a:schemeClr val="accent2">
          <a:lumMod val="40000"/>
          <a:lumOff val="60000"/>
        </a:schemeClr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000"/>
              <a:t>Dimiution</a:t>
            </a:r>
            <a:r>
              <a:rPr lang="en-GB" sz="1000" baseline="0"/>
              <a:t> of gross photosynthesis by LV and LN</a:t>
            </a:r>
            <a:endParaRPr lang="en-GB" sz="1000"/>
          </a:p>
        </c:rich>
      </c:tx>
      <c:layout>
        <c:manualLayout>
          <c:xMode val="edge"/>
          <c:yMode val="edge"/>
          <c:x val="0.17071783937455579"/>
          <c:y val="7.18857551896922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946462996328264"/>
          <c:y val="0.17397423049391555"/>
          <c:w val="0.75932280312859513"/>
          <c:h val="0.70075497164914435"/>
        </c:manualLayout>
      </c:layout>
      <c:areaChart>
        <c:grouping val="stacked"/>
        <c:ser>
          <c:idx val="0"/>
          <c:order val="0"/>
          <c:tx>
            <c:strRef>
              <c:f>main!$AE$4</c:f>
              <c:strCache>
                <c:ptCount val="1"/>
                <c:pt idx="0">
                  <c:v>Ph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main!$AE$5:$AE$28</c:f>
              <c:numCache>
                <c:formatCode>General</c:formatCode>
                <c:ptCount val="24"/>
                <c:pt idx="0">
                  <c:v>3.4000000000000002E-2</c:v>
                </c:pt>
                <c:pt idx="1">
                  <c:v>3.5999999999999997E-2</c:v>
                </c:pt>
                <c:pt idx="2">
                  <c:v>4.3999999999999997E-2</c:v>
                </c:pt>
                <c:pt idx="3">
                  <c:v>5.5E-2</c:v>
                </c:pt>
                <c:pt idx="4">
                  <c:v>7.0999999999999994E-2</c:v>
                </c:pt>
                <c:pt idx="5">
                  <c:v>9.0999999999999998E-2</c:v>
                </c:pt>
                <c:pt idx="6">
                  <c:v>0.12</c:v>
                </c:pt>
                <c:pt idx="7">
                  <c:v>0.13</c:v>
                </c:pt>
                <c:pt idx="8">
                  <c:v>0.13100000000000001</c:v>
                </c:pt>
                <c:pt idx="9">
                  <c:v>0.13200000000000001</c:v>
                </c:pt>
                <c:pt idx="10">
                  <c:v>0.13400000000000001</c:v>
                </c:pt>
                <c:pt idx="11">
                  <c:v>0.13400000000000001</c:v>
                </c:pt>
                <c:pt idx="12">
                  <c:v>0.122</c:v>
                </c:pt>
                <c:pt idx="13">
                  <c:v>0.108</c:v>
                </c:pt>
                <c:pt idx="14">
                  <c:v>9.2999999999999999E-2</c:v>
                </c:pt>
                <c:pt idx="15">
                  <c:v>8.1000000000000003E-2</c:v>
                </c:pt>
                <c:pt idx="16">
                  <c:v>7.2999999999999995E-2</c:v>
                </c:pt>
                <c:pt idx="17">
                  <c:v>6.7000000000000004E-2</c:v>
                </c:pt>
                <c:pt idx="18">
                  <c:v>6.5000000000000002E-2</c:v>
                </c:pt>
                <c:pt idx="19">
                  <c:v>6.3E-2</c:v>
                </c:pt>
                <c:pt idx="20">
                  <c:v>0.06</c:v>
                </c:pt>
                <c:pt idx="21">
                  <c:v>5.2999999999999999E-2</c:v>
                </c:pt>
                <c:pt idx="22">
                  <c:v>3.9E-2</c:v>
                </c:pt>
                <c:pt idx="23">
                  <c:v>3.3000000000000002E-2</c:v>
                </c:pt>
              </c:numCache>
            </c:numRef>
          </c:val>
        </c:ser>
        <c:ser>
          <c:idx val="1"/>
          <c:order val="1"/>
          <c:tx>
            <c:strRef>
              <c:f>main!$AW$4</c:f>
              <c:strCache>
                <c:ptCount val="1"/>
                <c:pt idx="0">
                  <c:v>diff(L_N)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main!$AW$5:$AW$28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6.850237760117811E-3</c:v>
                </c:pt>
                <c:pt idx="9">
                  <c:v>1.1451415175004032E-2</c:v>
                </c:pt>
                <c:pt idx="10">
                  <c:v>1.4885456024475857E-2</c:v>
                </c:pt>
                <c:pt idx="11">
                  <c:v>1.8226196359658359E-2</c:v>
                </c:pt>
                <c:pt idx="12">
                  <c:v>2.6657146305968729E-2</c:v>
                </c:pt>
                <c:pt idx="13">
                  <c:v>3.3987048933386693E-2</c:v>
                </c:pt>
                <c:pt idx="14">
                  <c:v>4.1754003773001022E-2</c:v>
                </c:pt>
                <c:pt idx="15">
                  <c:v>4.7394395697241506E-2</c:v>
                </c:pt>
                <c:pt idx="16">
                  <c:v>4.8573143771191832E-2</c:v>
                </c:pt>
                <c:pt idx="17">
                  <c:v>4.6538933972341726E-2</c:v>
                </c:pt>
                <c:pt idx="18">
                  <c:v>3.8128568840417404E-2</c:v>
                </c:pt>
                <c:pt idx="19">
                  <c:v>2.812348028025638E-2</c:v>
                </c:pt>
                <c:pt idx="20">
                  <c:v>1.795163220745654E-2</c:v>
                </c:pt>
                <c:pt idx="21">
                  <c:v>9.8082321633816832E-3</c:v>
                </c:pt>
                <c:pt idx="22">
                  <c:v>4.4709428509155241E-3</c:v>
                </c:pt>
                <c:pt idx="23">
                  <c:v>1.5652468275208081E-3</c:v>
                </c:pt>
              </c:numCache>
            </c:numRef>
          </c:val>
        </c:ser>
        <c:ser>
          <c:idx val="2"/>
          <c:order val="2"/>
          <c:tx>
            <c:strRef>
              <c:f>main!$AX$4</c:f>
              <c:strCache>
                <c:ptCount val="1"/>
                <c:pt idx="0">
                  <c:v>diff(L_V)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main!$AX$5:$AX$28</c:f>
              <c:numCache>
                <c:formatCode>General</c:formatCode>
                <c:ptCount val="24"/>
                <c:pt idx="0">
                  <c:v>1.9387687179647159E-2</c:v>
                </c:pt>
                <c:pt idx="1">
                  <c:v>1.9827219130908458E-2</c:v>
                </c:pt>
                <c:pt idx="2">
                  <c:v>2.0367247766507585E-2</c:v>
                </c:pt>
                <c:pt idx="3">
                  <c:v>1.9925932547429297E-2</c:v>
                </c:pt>
                <c:pt idx="4">
                  <c:v>2.0255217855349478E-2</c:v>
                </c:pt>
                <c:pt idx="5">
                  <c:v>1.555629840217157E-2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4.5237785581086765E-3</c:v>
                </c:pt>
                <c:pt idx="22">
                  <c:v>1.341662952992434E-2</c:v>
                </c:pt>
                <c:pt idx="23">
                  <c:v>1.7257538878792722E-2</c:v>
                </c:pt>
              </c:numCache>
            </c:numRef>
          </c:val>
        </c:ser>
        <c:axId val="89972736"/>
        <c:axId val="89974272"/>
      </c:areaChart>
      <c:catAx>
        <c:axId val="899727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974272"/>
        <c:crosses val="autoZero"/>
        <c:auto val="1"/>
        <c:lblAlgn val="ctr"/>
        <c:lblOffset val="100"/>
        <c:tickLblSkip val="4"/>
        <c:tickMarkSkip val="1"/>
      </c:catAx>
      <c:valAx>
        <c:axId val="899742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000"/>
                  <a:t>C production rate</a:t>
                </a:r>
              </a:p>
            </c:rich>
          </c:tx>
          <c:layout>
            <c:manualLayout>
              <c:xMode val="edge"/>
              <c:yMode val="edge"/>
              <c:x val="2.4128421572386836E-2"/>
              <c:y val="0.353158482462419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972736"/>
        <c:crosses val="autoZero"/>
        <c:crossBetween val="midCat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575102561812872"/>
          <c:y val="0.13410823192555477"/>
          <c:w val="0.16558892824964039"/>
          <c:h val="0.1946259126700071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chemeClr val="accent2">
        <a:lumMod val="20000"/>
        <a:lumOff val="80000"/>
      </a:schemeClr>
    </a:solidFill>
    <a:ln w="38100">
      <a:solidFill>
        <a:schemeClr val="bg2">
          <a:lumMod val="75000"/>
        </a:schemeClr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000"/>
              <a:t>net carbon balance (1/P dP/dt)</a:t>
            </a:r>
          </a:p>
        </c:rich>
      </c:tx>
      <c:layout>
        <c:manualLayout>
          <c:xMode val="edge"/>
          <c:yMode val="edge"/>
          <c:x val="0.30364632327935764"/>
          <c:y val="6.801550531478217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912334214037202"/>
          <c:y val="0.17390498162252016"/>
          <c:w val="0.7604327666151468"/>
          <c:h val="0.72999237089935842"/>
        </c:manualLayout>
      </c:layout>
      <c:areaChart>
        <c:grouping val="stacked"/>
        <c:ser>
          <c:idx val="0"/>
          <c:order val="0"/>
          <c:tx>
            <c:strRef>
              <c:f>main!$AZ$4</c:f>
              <c:strCache>
                <c:ptCount val="1"/>
                <c:pt idx="0">
                  <c:v>Ph-R-G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main!$AZ$5:$AZ$28</c:f>
              <c:numCache>
                <c:formatCode>General</c:formatCode>
                <c:ptCount val="24"/>
                <c:pt idx="0">
                  <c:v>-1.0826152927605418E-3</c:v>
                </c:pt>
                <c:pt idx="1">
                  <c:v>2.3375484916507254E-3</c:v>
                </c:pt>
                <c:pt idx="2">
                  <c:v>9.1090008595264647E-3</c:v>
                </c:pt>
                <c:pt idx="3">
                  <c:v>1.4958278465447113E-2</c:v>
                </c:pt>
                <c:pt idx="4">
                  <c:v>1.8313919353482547E-2</c:v>
                </c:pt>
                <c:pt idx="5">
                  <c:v>2.6438001759927374E-2</c:v>
                </c:pt>
                <c:pt idx="6">
                  <c:v>4.2916919471345183E-2</c:v>
                </c:pt>
                <c:pt idx="7">
                  <c:v>4.1162599536968408E-2</c:v>
                </c:pt>
                <c:pt idx="8">
                  <c:v>-2.2717355007812884E-2</c:v>
                </c:pt>
                <c:pt idx="9">
                  <c:v>-3.9351676500178651E-2</c:v>
                </c:pt>
                <c:pt idx="10">
                  <c:v>-3.6596181132323879E-2</c:v>
                </c:pt>
                <c:pt idx="11">
                  <c:v>-5.5164487766275472E-3</c:v>
                </c:pt>
                <c:pt idx="12">
                  <c:v>3.0184152494695464E-2</c:v>
                </c:pt>
                <c:pt idx="13">
                  <c:v>1.546208238542951E-2</c:v>
                </c:pt>
                <c:pt idx="14">
                  <c:v>-3.05730707668736E-3</c:v>
                </c:pt>
                <c:pt idx="15">
                  <c:v>-1.5939060496382496E-2</c:v>
                </c:pt>
                <c:pt idx="16">
                  <c:v>-2.0405009577400102E-2</c:v>
                </c:pt>
                <c:pt idx="17">
                  <c:v>-2.1040075431738844E-2</c:v>
                </c:pt>
                <c:pt idx="18">
                  <c:v>-1.5322020840537756E-2</c:v>
                </c:pt>
                <c:pt idx="19">
                  <c:v>-8.7712357198126527E-3</c:v>
                </c:pt>
                <c:pt idx="20">
                  <c:v>-5.0748058917958194E-3</c:v>
                </c:pt>
                <c:pt idx="21">
                  <c:v>-3.8799618833649345E-3</c:v>
                </c:pt>
                <c:pt idx="22">
                  <c:v>-7.3869525006342307E-3</c:v>
                </c:pt>
                <c:pt idx="23">
                  <c:v>-5.915292383626744E-3</c:v>
                </c:pt>
              </c:numCache>
            </c:numRef>
          </c:val>
        </c:ser>
        <c:ser>
          <c:idx val="1"/>
          <c:order val="1"/>
          <c:tx>
            <c:strRef>
              <c:f>main!$BA$4</c:f>
              <c:strCache>
                <c:ptCount val="1"/>
                <c:pt idx="0">
                  <c:v>diffG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main!$BA$5:$BA$28</c:f>
              <c:numCache>
                <c:formatCode>General</c:formatCode>
                <c:ptCount val="24"/>
                <c:pt idx="0">
                  <c:v>9.75E-3</c:v>
                </c:pt>
                <c:pt idx="1">
                  <c:v>1.0499999999999999E-2</c:v>
                </c:pt>
                <c:pt idx="2">
                  <c:v>1.2749999999999999E-2</c:v>
                </c:pt>
                <c:pt idx="3">
                  <c:v>1.95E-2</c:v>
                </c:pt>
                <c:pt idx="4">
                  <c:v>3.15E-2</c:v>
                </c:pt>
                <c:pt idx="5">
                  <c:v>4.3499999999999997E-2</c:v>
                </c:pt>
                <c:pt idx="6">
                  <c:v>5.6249999999999994E-2</c:v>
                </c:pt>
                <c:pt idx="7">
                  <c:v>6.6750000000000004E-2</c:v>
                </c:pt>
                <c:pt idx="8">
                  <c:v>0.129</c:v>
                </c:pt>
                <c:pt idx="9">
                  <c:v>0.14474999999999999</c:v>
                </c:pt>
                <c:pt idx="10">
                  <c:v>0.14099999999999999</c:v>
                </c:pt>
                <c:pt idx="11">
                  <c:v>0.105</c:v>
                </c:pt>
                <c:pt idx="12">
                  <c:v>5.1749999999999997E-2</c:v>
                </c:pt>
                <c:pt idx="13">
                  <c:v>4.65E-2</c:v>
                </c:pt>
                <c:pt idx="14">
                  <c:v>4.4999999999999998E-2</c:v>
                </c:pt>
                <c:pt idx="15">
                  <c:v>4.2749999999999996E-2</c:v>
                </c:pt>
                <c:pt idx="16">
                  <c:v>3.8249999999999999E-2</c:v>
                </c:pt>
                <c:pt idx="17">
                  <c:v>3.3750000000000002E-2</c:v>
                </c:pt>
                <c:pt idx="18">
                  <c:v>2.9249999999999998E-2</c:v>
                </c:pt>
                <c:pt idx="19">
                  <c:v>2.4749999999999998E-2</c:v>
                </c:pt>
                <c:pt idx="20">
                  <c:v>2.4E-2</c:v>
                </c:pt>
                <c:pt idx="21">
                  <c:v>1.95E-2</c:v>
                </c:pt>
                <c:pt idx="22">
                  <c:v>1.4999999999999999E-2</c:v>
                </c:pt>
                <c:pt idx="23">
                  <c:v>1.2E-2</c:v>
                </c:pt>
              </c:numCache>
            </c:numRef>
          </c:val>
        </c:ser>
        <c:ser>
          <c:idx val="2"/>
          <c:order val="2"/>
          <c:tx>
            <c:strRef>
              <c:f>main!$BB$4</c:f>
              <c:strCache>
                <c:ptCount val="1"/>
                <c:pt idx="0">
                  <c:v>diffR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main!$BB$5:$BB$28</c:f>
              <c:numCache>
                <c:formatCode>General</c:formatCode>
                <c:ptCount val="24"/>
                <c:pt idx="0">
                  <c:v>2.5053182889828999E-2</c:v>
                </c:pt>
                <c:pt idx="1">
                  <c:v>2.3222018013884904E-2</c:v>
                </c:pt>
                <c:pt idx="2">
                  <c:v>2.1823794839398263E-2</c:v>
                </c:pt>
                <c:pt idx="3">
                  <c:v>2.1083713722052887E-2</c:v>
                </c:pt>
                <c:pt idx="4">
                  <c:v>2.0651766921027256E-2</c:v>
                </c:pt>
                <c:pt idx="5">
                  <c:v>2.0794756860762292E-2</c:v>
                </c:pt>
                <c:pt idx="6">
                  <c:v>2.108371372205288E-2</c:v>
                </c:pt>
                <c:pt idx="7">
                  <c:v>2.2127050862080666E-2</c:v>
                </c:pt>
                <c:pt idx="8">
                  <c:v>2.3871872450051346E-2</c:v>
                </c:pt>
                <c:pt idx="9">
                  <c:v>2.6292951012725024E-2</c:v>
                </c:pt>
                <c:pt idx="10">
                  <c:v>2.9565285352606663E-2</c:v>
                </c:pt>
                <c:pt idx="11">
                  <c:v>3.417522208078895E-2</c:v>
                </c:pt>
                <c:pt idx="12">
                  <c:v>3.950395845471763E-2</c:v>
                </c:pt>
                <c:pt idx="13">
                  <c:v>4.5663572570295033E-2</c:v>
                </c:pt>
                <c:pt idx="14">
                  <c:v>5.0993638055302534E-2</c:v>
                </c:pt>
                <c:pt idx="15">
                  <c:v>5.3887626143036951E-2</c:v>
                </c:pt>
                <c:pt idx="16">
                  <c:v>5.5014725234187843E-2</c:v>
                </c:pt>
                <c:pt idx="17">
                  <c:v>5.4260736513889116E-2</c:v>
                </c:pt>
                <c:pt idx="18">
                  <c:v>5.0993638055302534E-2</c:v>
                </c:pt>
                <c:pt idx="19">
                  <c:v>4.6618659569415556E-2</c:v>
                </c:pt>
                <c:pt idx="20">
                  <c:v>4.117374849936771E-2</c:v>
                </c:pt>
                <c:pt idx="21">
                  <c:v>3.6114732368135422E-2</c:v>
                </c:pt>
                <c:pt idx="22">
                  <c:v>3.1459496118632399E-2</c:v>
                </c:pt>
                <c:pt idx="23">
                  <c:v>2.7785127094370542E-2</c:v>
                </c:pt>
              </c:numCache>
            </c:numRef>
          </c:val>
        </c:ser>
        <c:axId val="90000384"/>
        <c:axId val="90026752"/>
      </c:areaChart>
      <c:catAx>
        <c:axId val="900003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026752"/>
        <c:crosses val="autoZero"/>
        <c:auto val="1"/>
        <c:lblAlgn val="ctr"/>
        <c:lblOffset val="100"/>
        <c:tickLblSkip val="4"/>
        <c:tickMarkSkip val="1"/>
      </c:catAx>
      <c:valAx>
        <c:axId val="90026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000"/>
                  <a:t>1/P dP/dt</a:t>
                </a:r>
              </a:p>
            </c:rich>
          </c:tx>
          <c:layout>
            <c:manualLayout>
              <c:xMode val="edge"/>
              <c:yMode val="edge"/>
              <c:x val="2.738734402385749E-2"/>
              <c:y val="0.403467401858296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000384"/>
        <c:crosses val="autoZero"/>
        <c:crossBetween val="midCat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193140973657365"/>
          <c:y val="0.15461873746429766"/>
          <c:w val="0.14038831192612555"/>
          <c:h val="0.185699754743771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2DCDB"/>
    </a:solidFill>
    <a:ln w="38100">
      <a:solidFill>
        <a:schemeClr val="bg2">
          <a:lumMod val="75000"/>
        </a:schemeClr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00"/>
            </a:pPr>
            <a:r>
              <a:rPr lang="en-GB" sz="1000"/>
              <a:t>net carbon</a:t>
            </a:r>
            <a:r>
              <a:rPr lang="en-GB" sz="1000" baseline="0"/>
              <a:t> balance (1/P dP/dt)</a:t>
            </a:r>
            <a:endParaRPr lang="en-GB" sz="1000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4064570064110271"/>
          <c:y val="9.5012434598439971E-2"/>
          <c:w val="0.79297963282826422"/>
          <c:h val="0.77013010987207797"/>
        </c:manualLayout>
      </c:layout>
      <c:scatterChart>
        <c:scatterStyle val="lineMarker"/>
        <c:ser>
          <c:idx val="0"/>
          <c:order val="0"/>
          <c:tx>
            <c:strRef>
              <c:f>main!$AK$4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main!$AK$5:$AK$28</c:f>
              <c:numCache>
                <c:formatCode>General</c:formatCode>
                <c:ptCount val="24"/>
                <c:pt idx="0">
                  <c:v>3.3720567597068457E-2</c:v>
                </c:pt>
                <c:pt idx="1">
                  <c:v>3.6059566505535628E-2</c:v>
                </c:pt>
                <c:pt idx="2">
                  <c:v>4.3682795698924727E-2</c:v>
                </c:pt>
                <c:pt idx="3">
                  <c:v>5.55419921875E-2</c:v>
                </c:pt>
                <c:pt idx="4">
                  <c:v>7.0465686274509803E-2</c:v>
                </c:pt>
                <c:pt idx="5">
                  <c:v>9.0732758620689663E-2</c:v>
                </c:pt>
                <c:pt idx="6">
                  <c:v>0.12025063319339806</c:v>
                </c:pt>
                <c:pt idx="7">
                  <c:v>0.13003965039904908</c:v>
                </c:pt>
                <c:pt idx="8">
                  <c:v>0.13015451744223847</c:v>
                </c:pt>
                <c:pt idx="9">
                  <c:v>0.13169127451254636</c:v>
                </c:pt>
                <c:pt idx="10">
                  <c:v>0.13396910422028277</c:v>
                </c:pt>
                <c:pt idx="11">
                  <c:v>0.1336587733041614</c:v>
                </c:pt>
                <c:pt idx="12">
                  <c:v>0.12143811094941309</c:v>
                </c:pt>
                <c:pt idx="13">
                  <c:v>0.10762565495572454</c:v>
                </c:pt>
                <c:pt idx="14">
                  <c:v>9.2936330978615173E-2</c:v>
                </c:pt>
                <c:pt idx="15">
                  <c:v>8.0698565646654452E-2</c:v>
                </c:pt>
                <c:pt idx="16">
                  <c:v>7.2859715656787741E-2</c:v>
                </c:pt>
                <c:pt idx="17">
                  <c:v>6.6970661082150273E-2</c:v>
                </c:pt>
                <c:pt idx="18">
                  <c:v>6.4921617214764776E-2</c:v>
                </c:pt>
                <c:pt idx="19">
                  <c:v>6.2597423849602901E-2</c:v>
                </c:pt>
                <c:pt idx="20">
                  <c:v>6.0098942607571891E-2</c:v>
                </c:pt>
                <c:pt idx="21">
                  <c:v>5.1734770484770487E-2</c:v>
                </c:pt>
                <c:pt idx="22">
                  <c:v>3.9072543617998168E-2</c:v>
                </c:pt>
                <c:pt idx="23">
                  <c:v>3.3869834710743799E-2</c:v>
                </c:pt>
              </c:numCache>
            </c:numRef>
          </c:yVal>
        </c:ser>
        <c:ser>
          <c:idx val="1"/>
          <c:order val="1"/>
          <c:tx>
            <c:strRef>
              <c:f>main!$AM$4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main!$AM$5:$AM$28</c:f>
              <c:numCache>
                <c:formatCode>General</c:formatCode>
                <c:ptCount val="24"/>
                <c:pt idx="0">
                  <c:v>9.75E-3</c:v>
                </c:pt>
                <c:pt idx="1">
                  <c:v>1.0499999999999999E-2</c:v>
                </c:pt>
                <c:pt idx="2">
                  <c:v>1.2749999999999999E-2</c:v>
                </c:pt>
                <c:pt idx="3">
                  <c:v>1.95E-2</c:v>
                </c:pt>
                <c:pt idx="4">
                  <c:v>3.15E-2</c:v>
                </c:pt>
                <c:pt idx="5">
                  <c:v>4.3499999999999997E-2</c:v>
                </c:pt>
                <c:pt idx="6">
                  <c:v>5.6249999999999994E-2</c:v>
                </c:pt>
                <c:pt idx="7">
                  <c:v>6.6750000000000004E-2</c:v>
                </c:pt>
                <c:pt idx="8">
                  <c:v>0.129</c:v>
                </c:pt>
                <c:pt idx="9">
                  <c:v>0.14474999999999999</c:v>
                </c:pt>
                <c:pt idx="10">
                  <c:v>0.14099999999999999</c:v>
                </c:pt>
                <c:pt idx="11">
                  <c:v>0.105</c:v>
                </c:pt>
                <c:pt idx="12">
                  <c:v>5.1749999999999997E-2</c:v>
                </c:pt>
                <c:pt idx="13">
                  <c:v>4.65E-2</c:v>
                </c:pt>
                <c:pt idx="14">
                  <c:v>4.4999999999999998E-2</c:v>
                </c:pt>
                <c:pt idx="15">
                  <c:v>4.2749999999999996E-2</c:v>
                </c:pt>
                <c:pt idx="16">
                  <c:v>3.8249999999999999E-2</c:v>
                </c:pt>
                <c:pt idx="17">
                  <c:v>3.3750000000000002E-2</c:v>
                </c:pt>
                <c:pt idx="18">
                  <c:v>2.9249999999999998E-2</c:v>
                </c:pt>
                <c:pt idx="19">
                  <c:v>2.4749999999999998E-2</c:v>
                </c:pt>
                <c:pt idx="20">
                  <c:v>2.4E-2</c:v>
                </c:pt>
                <c:pt idx="21">
                  <c:v>1.95E-2</c:v>
                </c:pt>
                <c:pt idx="22">
                  <c:v>1.4999999999999999E-2</c:v>
                </c:pt>
                <c:pt idx="23">
                  <c:v>1.2E-2</c:v>
                </c:pt>
              </c:numCache>
            </c:numRef>
          </c:yVal>
        </c:ser>
        <c:ser>
          <c:idx val="2"/>
          <c:order val="2"/>
          <c:tx>
            <c:strRef>
              <c:f>main!$AY$4</c:f>
              <c:strCache>
                <c:ptCount val="1"/>
                <c:pt idx="0">
                  <c:v>Ph-R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main!$AY$5:$AY$28</c:f>
              <c:numCache>
                <c:formatCode>General</c:formatCode>
                <c:ptCount val="24"/>
                <c:pt idx="0">
                  <c:v>8.6673847072394582E-3</c:v>
                </c:pt>
                <c:pt idx="1">
                  <c:v>1.2837548491650724E-2</c:v>
                </c:pt>
                <c:pt idx="2">
                  <c:v>2.1859000859526464E-2</c:v>
                </c:pt>
                <c:pt idx="3">
                  <c:v>3.4458278465447113E-2</c:v>
                </c:pt>
                <c:pt idx="4">
                  <c:v>4.9813919353482547E-2</c:v>
                </c:pt>
                <c:pt idx="5">
                  <c:v>6.9938001759927371E-2</c:v>
                </c:pt>
                <c:pt idx="6">
                  <c:v>9.9166919471345177E-2</c:v>
                </c:pt>
                <c:pt idx="7">
                  <c:v>0.10791259953696841</c:v>
                </c:pt>
                <c:pt idx="8">
                  <c:v>0.10628264499218712</c:v>
                </c:pt>
                <c:pt idx="9">
                  <c:v>0.10539832349982134</c:v>
                </c:pt>
                <c:pt idx="10">
                  <c:v>0.10440381886767611</c:v>
                </c:pt>
                <c:pt idx="11">
                  <c:v>9.9483551223372449E-2</c:v>
                </c:pt>
                <c:pt idx="12">
                  <c:v>8.1934152494695461E-2</c:v>
                </c:pt>
                <c:pt idx="13">
                  <c:v>6.1962082385429509E-2</c:v>
                </c:pt>
                <c:pt idx="14">
                  <c:v>4.1942692923312638E-2</c:v>
                </c:pt>
                <c:pt idx="15">
                  <c:v>2.6810939503617501E-2</c:v>
                </c:pt>
                <c:pt idx="16">
                  <c:v>1.7844990422599898E-2</c:v>
                </c:pt>
                <c:pt idx="17">
                  <c:v>1.2709924568261158E-2</c:v>
                </c:pt>
                <c:pt idx="18">
                  <c:v>1.3927979159462242E-2</c:v>
                </c:pt>
                <c:pt idx="19">
                  <c:v>1.5978764280187345E-2</c:v>
                </c:pt>
                <c:pt idx="20">
                  <c:v>1.8925194108204181E-2</c:v>
                </c:pt>
                <c:pt idx="21">
                  <c:v>1.5620038116635065E-2</c:v>
                </c:pt>
                <c:pt idx="22">
                  <c:v>7.6130474993657687E-3</c:v>
                </c:pt>
                <c:pt idx="23">
                  <c:v>6.0847076163732562E-3</c:v>
                </c:pt>
              </c:numCache>
            </c:numRef>
          </c:yVal>
        </c:ser>
        <c:axId val="90072960"/>
        <c:axId val="90074496"/>
      </c:scatterChart>
      <c:valAx>
        <c:axId val="90072960"/>
        <c:scaling>
          <c:orientation val="minMax"/>
          <c:max val="360"/>
          <c:min val="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074496"/>
        <c:crosses val="autoZero"/>
        <c:crossBetween val="midCat"/>
        <c:majorUnit val="60"/>
      </c:valAx>
      <c:valAx>
        <c:axId val="900744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GB" sz="1000"/>
                  <a:t>1/P</a:t>
                </a:r>
                <a:r>
                  <a:rPr lang="en-GB" sz="1000" baseline="0"/>
                  <a:t> dP/dt</a:t>
                </a:r>
                <a:endParaRPr lang="en-GB" sz="1000"/>
              </a:p>
            </c:rich>
          </c:tx>
          <c:layout>
            <c:manualLayout>
              <c:xMode val="edge"/>
              <c:yMode val="edge"/>
              <c:x val="1.3271400132714004E-2"/>
              <c:y val="0.4117645322450908"/>
            </c:manualLayout>
          </c:layout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072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166441122545"/>
          <c:y val="0.11989107734541618"/>
          <c:w val="0.14556949458955323"/>
          <c:h val="0.20303412073490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EAEAEA"/>
    </a:solidFill>
    <a:ln w="38100">
      <a:solidFill>
        <a:schemeClr val="accent6">
          <a:lumMod val="40000"/>
          <a:lumOff val="60000"/>
        </a:schemeClr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00"/>
            </a:pPr>
            <a:r>
              <a:rPr lang="en-GB" sz="1000"/>
              <a:t>net</a:t>
            </a:r>
            <a:r>
              <a:rPr lang="en-GB" sz="1000" baseline="0"/>
              <a:t> carbon balance (g C m-2 d-1)</a:t>
            </a:r>
            <a:endParaRPr lang="en-GB" sz="1000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000612947333683"/>
          <c:y val="9.2355716771358634E-2"/>
          <c:w val="0.78336995300737122"/>
          <c:h val="0.80539641978870435"/>
        </c:manualLayout>
      </c:layout>
      <c:scatterChart>
        <c:scatterStyle val="lineMarker"/>
        <c:ser>
          <c:idx val="0"/>
          <c:order val="0"/>
          <c:tx>
            <c:strRef>
              <c:f>main!$BC$4</c:f>
              <c:strCache>
                <c:ptCount val="1"/>
                <c:pt idx="0">
                  <c:v>Ph*P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main!$BC$5:$BC$28</c:f>
              <c:numCache>
                <c:formatCode>General</c:formatCode>
                <c:ptCount val="24"/>
                <c:pt idx="0">
                  <c:v>0.11204005907482847</c:v>
                </c:pt>
                <c:pt idx="1">
                  <c:v>0.1240871244741639</c:v>
                </c:pt>
                <c:pt idx="2">
                  <c:v>0.17232824956190571</c:v>
                </c:pt>
                <c:pt idx="3">
                  <c:v>0.27422811044700313</c:v>
                </c:pt>
                <c:pt idx="4">
                  <c:v>0.45790218497667579</c:v>
                </c:pt>
                <c:pt idx="5">
                  <c:v>0.87657144559004074</c:v>
                </c:pt>
                <c:pt idx="6">
                  <c:v>2.2115119760521997</c:v>
                </c:pt>
                <c:pt idx="7">
                  <c:v>4.4343305578523919</c:v>
                </c:pt>
                <c:pt idx="8">
                  <c:v>3.1566118951950544</c:v>
                </c:pt>
                <c:pt idx="9">
                  <c:v>1.7699691787305383</c:v>
                </c:pt>
                <c:pt idx="10">
                  <c:v>1.0399454609112477</c:v>
                </c:pt>
                <c:pt idx="11">
                  <c:v>0.95513977797339744</c:v>
                </c:pt>
                <c:pt idx="12">
                  <c:v>1.364761074574725</c:v>
                </c:pt>
                <c:pt idx="13">
                  <c:v>1.5252600228587974</c:v>
                </c:pt>
                <c:pt idx="14">
                  <c:v>1.2580474717644088</c:v>
                </c:pt>
                <c:pt idx="15">
                  <c:v>0.86008947166995819</c:v>
                </c:pt>
                <c:pt idx="16">
                  <c:v>0.57179261517382796</c:v>
                </c:pt>
                <c:pt idx="17">
                  <c:v>0.38332913233108462</c:v>
                </c:pt>
                <c:pt idx="18">
                  <c:v>0.295299378738685</c:v>
                </c:pt>
                <c:pt idx="19">
                  <c:v>0.2496262054064915</c:v>
                </c:pt>
                <c:pt idx="20">
                  <c:v>0.22209620747979988</c:v>
                </c:pt>
                <c:pt idx="21">
                  <c:v>0.18037699511354938</c:v>
                </c:pt>
                <c:pt idx="22">
                  <c:v>0.12194068071348173</c:v>
                </c:pt>
                <c:pt idx="23">
                  <c:v>9.6728694204173779E-2</c:v>
                </c:pt>
              </c:numCache>
            </c:numRef>
          </c:yVal>
        </c:ser>
        <c:ser>
          <c:idx val="1"/>
          <c:order val="1"/>
          <c:tx>
            <c:strRef>
              <c:f>main!$BD$4</c:f>
              <c:strCache>
                <c:ptCount val="1"/>
                <c:pt idx="0">
                  <c:v>(Ph-R)*P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main!$BD$5:$BD$28</c:f>
              <c:numCache>
                <c:formatCode>General</c:formatCode>
                <c:ptCount val="24"/>
                <c:pt idx="0">
                  <c:v>2.8798278434310733E-2</c:v>
                </c:pt>
                <c:pt idx="1">
                  <c:v>4.4176196000083233E-2</c:v>
                </c:pt>
                <c:pt idx="2">
                  <c:v>8.6233568502739222E-2</c:v>
                </c:pt>
                <c:pt idx="3">
                  <c:v>0.17013125062091058</c:v>
                </c:pt>
                <c:pt idx="4">
                  <c:v>0.32370226872341989</c:v>
                </c:pt>
                <c:pt idx="5">
                  <c:v>0.67567278055181834</c:v>
                </c:pt>
                <c:pt idx="6">
                  <c:v>1.8237644510891799</c:v>
                </c:pt>
                <c:pt idx="7">
                  <c:v>3.6798017853450502</c:v>
                </c:pt>
                <c:pt idx="8">
                  <c:v>2.5776520710010709</c:v>
                </c:pt>
                <c:pt idx="9">
                  <c:v>1.4165842404902944</c:v>
                </c:pt>
                <c:pt idx="10">
                  <c:v>0.81044266262102715</c:v>
                </c:pt>
                <c:pt idx="11">
                  <c:v>0.71092001429088869</c:v>
                </c:pt>
                <c:pt idx="12">
                  <c:v>0.92080271282884607</c:v>
                </c:pt>
                <c:pt idx="13">
                  <c:v>0.87812043731077016</c:v>
                </c:pt>
                <c:pt idx="14">
                  <c:v>0.56776395447874917</c:v>
                </c:pt>
                <c:pt idx="15">
                  <c:v>0.28575237500020656</c:v>
                </c:pt>
                <c:pt idx="16">
                  <c:v>0.14004492948552591</c:v>
                </c:pt>
                <c:pt idx="17">
                  <c:v>7.2749533572151706E-2</c:v>
                </c:pt>
                <c:pt idx="18">
                  <c:v>6.335214323556887E-2</c:v>
                </c:pt>
                <c:pt idx="19">
                  <c:v>6.3720166886280877E-2</c:v>
                </c:pt>
                <c:pt idx="20">
                  <c:v>6.9938232768868014E-2</c:v>
                </c:pt>
                <c:pt idx="21">
                  <c:v>5.4460385397228028E-2</c:v>
                </c:pt>
                <c:pt idx="22">
                  <c:v>2.3759400039395081E-2</c:v>
                </c:pt>
                <c:pt idx="23">
                  <c:v>1.7377286525678784E-2</c:v>
                </c:pt>
              </c:numCache>
            </c:numRef>
          </c:yVal>
        </c:ser>
        <c:ser>
          <c:idx val="2"/>
          <c:order val="2"/>
          <c:tx>
            <c:strRef>
              <c:f>main!$BE$4</c:f>
              <c:strCache>
                <c:ptCount val="1"/>
                <c:pt idx="0">
                  <c:v>G*P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main!$K$5:$K$28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main!$BE$5:$BE$28</c:f>
              <c:numCache>
                <c:formatCode>General</c:formatCode>
                <c:ptCount val="24"/>
                <c:pt idx="0">
                  <c:v>3.2395379254367772E-2</c:v>
                </c:pt>
                <c:pt idx="1">
                  <c:v>3.6132292571479083E-2</c:v>
                </c:pt>
                <c:pt idx="2">
                  <c:v>5.0298639241361159E-2</c:v>
                </c:pt>
                <c:pt idx="3">
                  <c:v>9.6277572033507827E-2</c:v>
                </c:pt>
                <c:pt idx="4">
                  <c:v>0.20469422195896478</c:v>
                </c:pt>
                <c:pt idx="5">
                  <c:v>0.42025458569570973</c:v>
                </c:pt>
                <c:pt idx="6">
                  <c:v>1.0344856018584843</c:v>
                </c:pt>
                <c:pt idx="7">
                  <c:v>2.2761639532892164</c:v>
                </c:pt>
                <c:pt idx="8">
                  <c:v>3.1286116108945312</c:v>
                </c:pt>
                <c:pt idx="9">
                  <c:v>1.9454822619765644</c:v>
                </c:pt>
                <c:pt idx="10">
                  <c:v>1.094523329404228</c:v>
                </c:pt>
                <c:pt idx="11">
                  <c:v>0.75034114265721952</c:v>
                </c:pt>
                <c:pt idx="12">
                  <c:v>0.58158336832711865</c:v>
                </c:pt>
                <c:pt idx="13">
                  <c:v>0.65899335146542248</c:v>
                </c:pt>
                <c:pt idx="14">
                  <c:v>0.60914967949859089</c:v>
                </c:pt>
                <c:pt idx="15">
                  <c:v>0.45563170323108526</c:v>
                </c:pt>
                <c:pt idx="16">
                  <c:v>0.30018052271058199</c:v>
                </c:pt>
                <c:pt idx="17">
                  <c:v>0.19317949094610787</c:v>
                </c:pt>
                <c:pt idx="18">
                  <c:v>0.1330451581255766</c:v>
                </c:pt>
                <c:pt idx="19">
                  <c:v>9.8698128514914218E-2</c:v>
                </c:pt>
                <c:pt idx="20">
                  <c:v>8.8692225657288515E-2</c:v>
                </c:pt>
                <c:pt idx="21">
                  <c:v>6.7988151329474625E-2</c:v>
                </c:pt>
                <c:pt idx="22">
                  <c:v>4.6813184946056963E-2</c:v>
                </c:pt>
                <c:pt idx="23">
                  <c:v>3.4270740922213223E-2</c:v>
                </c:pt>
              </c:numCache>
            </c:numRef>
          </c:yVal>
        </c:ser>
        <c:axId val="90117632"/>
        <c:axId val="90119168"/>
      </c:scatterChart>
      <c:valAx>
        <c:axId val="90117632"/>
        <c:scaling>
          <c:orientation val="minMax"/>
          <c:max val="360"/>
          <c:min val="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119168"/>
        <c:crosses val="autoZero"/>
        <c:crossBetween val="midCat"/>
        <c:majorUnit val="60"/>
      </c:valAx>
      <c:valAx>
        <c:axId val="90119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GB" sz="1000"/>
                  <a:t>g</a:t>
                </a:r>
                <a:r>
                  <a:rPr lang="en-GB" sz="1000" baseline="0"/>
                  <a:t> C m-2 d-1</a:t>
                </a:r>
                <a:endParaRPr lang="en-GB" sz="1000"/>
              </a:p>
            </c:rich>
          </c:tx>
          <c:layout>
            <c:manualLayout>
              <c:xMode val="edge"/>
              <c:yMode val="edge"/>
              <c:x val="3.3017848816802094E-2"/>
              <c:y val="0.35499778819782363"/>
            </c:manualLayout>
          </c:layout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117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606173479812046"/>
          <c:y val="0.16804476687605061"/>
          <c:w val="0.20326737600913658"/>
          <c:h val="0.1968604205373205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EAEAEA"/>
    </a:solidFill>
    <a:ln w="38100">
      <a:solidFill>
        <a:schemeClr val="accent6">
          <a:lumMod val="40000"/>
          <a:lumOff val="60000"/>
        </a:schemeClr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000"/>
              <a:t>Predicted</a:t>
            </a:r>
            <a:r>
              <a:rPr lang="en-GB" sz="1000" baseline="0"/>
              <a:t> seasonal cycle of P vs data</a:t>
            </a:r>
            <a:endParaRPr lang="en-GB" sz="1000"/>
          </a:p>
        </c:rich>
      </c:tx>
      <c:layout>
        <c:manualLayout>
          <c:xMode val="edge"/>
          <c:yMode val="edge"/>
          <c:x val="0.2421220541795164"/>
          <c:y val="7.41584151296156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17026510416247"/>
          <c:y val="0.18472146130924544"/>
          <c:w val="0.85206327276259763"/>
          <c:h val="0.70125739941472798"/>
        </c:manualLayout>
      </c:layout>
      <c:scatterChart>
        <c:scatterStyle val="lineMarker"/>
        <c:ser>
          <c:idx val="0"/>
          <c:order val="0"/>
          <c:tx>
            <c:strRef>
              <c:f>main!$M$4</c:f>
              <c:strCache>
                <c:ptCount val="1"/>
                <c:pt idx="0">
                  <c:v>P data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main!$K$5:$K$35</c:f>
              <c:numCache>
                <c:formatCode>General</c:formatCode>
                <c:ptCount val="3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5">
                  <c:v>8</c:v>
                </c:pt>
                <c:pt idx="26">
                  <c:v>89</c:v>
                </c:pt>
                <c:pt idx="27">
                  <c:v>111</c:v>
                </c:pt>
                <c:pt idx="28">
                  <c:v>132</c:v>
                </c:pt>
                <c:pt idx="29">
                  <c:v>173</c:v>
                </c:pt>
                <c:pt idx="30">
                  <c:v>251</c:v>
                </c:pt>
              </c:numCache>
            </c:numRef>
          </c:xVal>
          <c:yVal>
            <c:numRef>
              <c:f>main!$M$5:$M$35</c:f>
              <c:numCache>
                <c:formatCode>General</c:formatCode>
                <c:ptCount val="31"/>
                <c:pt idx="25">
                  <c:v>2.0060000000000002</c:v>
                </c:pt>
                <c:pt idx="26">
                  <c:v>14.076000000000001</c:v>
                </c:pt>
                <c:pt idx="27">
                  <c:v>39.151000000000003</c:v>
                </c:pt>
                <c:pt idx="28">
                  <c:v>14.807</c:v>
                </c:pt>
                <c:pt idx="29">
                  <c:v>8.1260000000000012</c:v>
                </c:pt>
                <c:pt idx="30">
                  <c:v>9.52</c:v>
                </c:pt>
              </c:numCache>
            </c:numRef>
          </c:yVal>
        </c:ser>
        <c:ser>
          <c:idx val="1"/>
          <c:order val="1"/>
          <c:tx>
            <c:strRef>
              <c:f>main!$AB$4</c:f>
              <c:strCache>
                <c:ptCount val="1"/>
                <c:pt idx="0">
                  <c:v>Z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main!$K$5:$K$35</c:f>
              <c:numCache>
                <c:formatCode>General</c:formatCode>
                <c:ptCount val="3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5">
                  <c:v>8</c:v>
                </c:pt>
                <c:pt idx="26">
                  <c:v>89</c:v>
                </c:pt>
                <c:pt idx="27">
                  <c:v>111</c:v>
                </c:pt>
                <c:pt idx="28">
                  <c:v>132</c:v>
                </c:pt>
                <c:pt idx="29">
                  <c:v>173</c:v>
                </c:pt>
                <c:pt idx="30">
                  <c:v>251</c:v>
                </c:pt>
              </c:numCache>
            </c:numRef>
          </c:xVal>
          <c:yVal>
            <c:numRef>
              <c:f>main!$AB$5:$AB$35</c:f>
              <c:numCache>
                <c:formatCode>General</c:formatCode>
                <c:ptCount val="31"/>
                <c:pt idx="0">
                  <c:v>1.3</c:v>
                </c:pt>
                <c:pt idx="1">
                  <c:v>1.4</c:v>
                </c:pt>
                <c:pt idx="2">
                  <c:v>1.7</c:v>
                </c:pt>
                <c:pt idx="3">
                  <c:v>2.6</c:v>
                </c:pt>
                <c:pt idx="4">
                  <c:v>4.2</c:v>
                </c:pt>
                <c:pt idx="5">
                  <c:v>5.8</c:v>
                </c:pt>
                <c:pt idx="6">
                  <c:v>7.5</c:v>
                </c:pt>
                <c:pt idx="7">
                  <c:v>8.9</c:v>
                </c:pt>
                <c:pt idx="8">
                  <c:v>17.2</c:v>
                </c:pt>
                <c:pt idx="9">
                  <c:v>19.3</c:v>
                </c:pt>
                <c:pt idx="10">
                  <c:v>18.8</c:v>
                </c:pt>
                <c:pt idx="11">
                  <c:v>14</c:v>
                </c:pt>
                <c:pt idx="12">
                  <c:v>6.9</c:v>
                </c:pt>
                <c:pt idx="13">
                  <c:v>6.2</c:v>
                </c:pt>
                <c:pt idx="14">
                  <c:v>6</c:v>
                </c:pt>
                <c:pt idx="15">
                  <c:v>5.7</c:v>
                </c:pt>
                <c:pt idx="16">
                  <c:v>5.0999999999999996</c:v>
                </c:pt>
                <c:pt idx="17">
                  <c:v>4.5</c:v>
                </c:pt>
                <c:pt idx="18">
                  <c:v>3.9</c:v>
                </c:pt>
                <c:pt idx="19">
                  <c:v>3.3</c:v>
                </c:pt>
                <c:pt idx="20">
                  <c:v>3.2</c:v>
                </c:pt>
                <c:pt idx="21">
                  <c:v>2.6</c:v>
                </c:pt>
                <c:pt idx="22">
                  <c:v>2</c:v>
                </c:pt>
                <c:pt idx="23">
                  <c:v>1.6</c:v>
                </c:pt>
              </c:numCache>
            </c:numRef>
          </c:yVal>
        </c:ser>
        <c:ser>
          <c:idx val="2"/>
          <c:order val="2"/>
          <c:tx>
            <c:strRef>
              <c:f>main!$AP$4</c:f>
              <c:strCache>
                <c:ptCount val="1"/>
                <c:pt idx="0">
                  <c:v>Pt_A&amp;G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main!$K$5:$K$35</c:f>
              <c:numCache>
                <c:formatCode>General</c:formatCode>
                <c:ptCount val="3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5">
                  <c:v>8</c:v>
                </c:pt>
                <c:pt idx="26">
                  <c:v>89</c:v>
                </c:pt>
                <c:pt idx="27">
                  <c:v>111</c:v>
                </c:pt>
                <c:pt idx="28">
                  <c:v>132</c:v>
                </c:pt>
                <c:pt idx="29">
                  <c:v>173</c:v>
                </c:pt>
                <c:pt idx="30">
                  <c:v>251</c:v>
                </c:pt>
              </c:numCache>
            </c:numRef>
          </c:xVal>
          <c:yVal>
            <c:numRef>
              <c:f>main!$AP$5:$AP$35</c:f>
              <c:numCache>
                <c:formatCode>General</c:formatCode>
                <c:ptCount val="31"/>
                <c:pt idx="0">
                  <c:v>3.3226030004479767</c:v>
                </c:pt>
                <c:pt idx="1">
                  <c:v>3.4411707210932461</c:v>
                </c:pt>
                <c:pt idx="2">
                  <c:v>3.9449913130479342</c:v>
                </c:pt>
                <c:pt idx="3">
                  <c:v>4.937311386333735</c:v>
                </c:pt>
                <c:pt idx="4">
                  <c:v>6.4982292685385641</c:v>
                </c:pt>
                <c:pt idx="5">
                  <c:v>9.6610249585220629</c:v>
                </c:pt>
                <c:pt idx="6">
                  <c:v>18.390855144150834</c:v>
                </c:pt>
                <c:pt idx="7">
                  <c:v>34.09983450620549</c:v>
                </c:pt>
                <c:pt idx="8">
                  <c:v>24.252803185228924</c:v>
                </c:pt>
                <c:pt idx="9">
                  <c:v>13.440291965295783</c:v>
                </c:pt>
                <c:pt idx="10">
                  <c:v>7.7625768042853061</c:v>
                </c:pt>
                <c:pt idx="11">
                  <c:v>7.1461061205449479</c:v>
                </c:pt>
                <c:pt idx="12">
                  <c:v>11.238325958011956</c:v>
                </c:pt>
                <c:pt idx="13">
                  <c:v>14.171900031514463</c:v>
                </c:pt>
                <c:pt idx="14">
                  <c:v>13.536659544413132</c:v>
                </c:pt>
                <c:pt idx="15">
                  <c:v>10.658051537569246</c:v>
                </c:pt>
                <c:pt idx="16">
                  <c:v>7.847856802891032</c:v>
                </c:pt>
                <c:pt idx="17">
                  <c:v>5.7238367687735661</c:v>
                </c:pt>
                <c:pt idx="18">
                  <c:v>4.5485524145496274</c:v>
                </c:pt>
                <c:pt idx="19">
                  <c:v>3.9878031723197669</c:v>
                </c:pt>
                <c:pt idx="20">
                  <c:v>3.6955094023870214</c:v>
                </c:pt>
                <c:pt idx="21">
                  <c:v>3.4865718630499805</c:v>
                </c:pt>
                <c:pt idx="22">
                  <c:v>3.1208789964037975</c:v>
                </c:pt>
                <c:pt idx="23">
                  <c:v>2.8558950768511018</c:v>
                </c:pt>
              </c:numCache>
            </c:numRef>
          </c:yVal>
        </c:ser>
        <c:axId val="90147072"/>
        <c:axId val="90181632"/>
      </c:scatterChart>
      <c:valAx>
        <c:axId val="90147072"/>
        <c:scaling>
          <c:orientation val="minMax"/>
          <c:max val="360"/>
          <c:min val="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181632"/>
        <c:crosses val="autoZero"/>
        <c:crossBetween val="midCat"/>
        <c:majorUnit val="60"/>
      </c:valAx>
      <c:valAx>
        <c:axId val="90181632"/>
        <c:scaling>
          <c:orientation val="minMax"/>
          <c:max val="6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000"/>
                  <a:t>g C m-2</a:t>
                </a:r>
              </a:p>
            </c:rich>
          </c:tx>
          <c:layout>
            <c:manualLayout>
              <c:xMode val="edge"/>
              <c:yMode val="edge"/>
              <c:x val="4.8498018781122703E-3"/>
              <c:y val="0.446959623197785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147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007622047244083"/>
          <c:y val="0.14353115449609899"/>
          <c:w val="0.20910710241487374"/>
          <c:h val="0.20623708337827637"/>
        </c:manualLayout>
      </c:layout>
      <c:spPr>
        <a:solidFill>
          <a:srgbClr val="FFFFFF"/>
        </a:solidFill>
        <a:ln w="3175">
          <a:solidFill>
            <a:schemeClr val="accent3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CC"/>
    </a:solidFill>
    <a:ln w="38100">
      <a:solidFill>
        <a:schemeClr val="accent3">
          <a:lumMod val="60000"/>
          <a:lumOff val="40000"/>
        </a:schemeClr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288925</xdr:colOff>
      <xdr:row>36</xdr:row>
      <xdr:rowOff>149224</xdr:rowOff>
    </xdr:from>
    <xdr:to>
      <xdr:col>36</xdr:col>
      <xdr:colOff>228600</xdr:colOff>
      <xdr:row>58</xdr:row>
      <xdr:rowOff>38099</xdr:rowOff>
    </xdr:to>
    <xdr:graphicFrame macro="">
      <xdr:nvGraphicFramePr>
        <xdr:cNvPr id="1369" name="Chart 1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492125</xdr:colOff>
      <xdr:row>36</xdr:row>
      <xdr:rowOff>152400</xdr:rowOff>
    </xdr:from>
    <xdr:to>
      <xdr:col>45</xdr:col>
      <xdr:colOff>495300</xdr:colOff>
      <xdr:row>58</xdr:row>
      <xdr:rowOff>38099</xdr:rowOff>
    </xdr:to>
    <xdr:graphicFrame macro="">
      <xdr:nvGraphicFramePr>
        <xdr:cNvPr id="1370" name="Chart 1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292100</xdr:colOff>
      <xdr:row>59</xdr:row>
      <xdr:rowOff>111124</xdr:rowOff>
    </xdr:from>
    <xdr:to>
      <xdr:col>36</xdr:col>
      <xdr:colOff>241299</xdr:colOff>
      <xdr:row>80</xdr:row>
      <xdr:rowOff>50799</xdr:rowOff>
    </xdr:to>
    <xdr:graphicFrame macro="">
      <xdr:nvGraphicFramePr>
        <xdr:cNvPr id="1371" name="Chart 1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498474</xdr:colOff>
      <xdr:row>59</xdr:row>
      <xdr:rowOff>117474</xdr:rowOff>
    </xdr:from>
    <xdr:to>
      <xdr:col>45</xdr:col>
      <xdr:colOff>507999</xdr:colOff>
      <xdr:row>80</xdr:row>
      <xdr:rowOff>50799</xdr:rowOff>
    </xdr:to>
    <xdr:graphicFrame macro="">
      <xdr:nvGraphicFramePr>
        <xdr:cNvPr id="1372" name="Chart 1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104775</xdr:colOff>
      <xdr:row>37</xdr:row>
      <xdr:rowOff>0</xdr:rowOff>
    </xdr:from>
    <xdr:to>
      <xdr:col>17</xdr:col>
      <xdr:colOff>114300</xdr:colOff>
      <xdr:row>58</xdr:row>
      <xdr:rowOff>25400</xdr:rowOff>
    </xdr:to>
    <xdr:graphicFrame macro="">
      <xdr:nvGraphicFramePr>
        <xdr:cNvPr id="1373" name="Chart 1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365125</xdr:colOff>
      <xdr:row>37</xdr:row>
      <xdr:rowOff>3175</xdr:rowOff>
    </xdr:from>
    <xdr:to>
      <xdr:col>26</xdr:col>
      <xdr:colOff>25400</xdr:colOff>
      <xdr:row>58</xdr:row>
      <xdr:rowOff>38100</xdr:rowOff>
    </xdr:to>
    <xdr:graphicFrame macro="">
      <xdr:nvGraphicFramePr>
        <xdr:cNvPr id="1374" name="Chart 1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66675</xdr:colOff>
      <xdr:row>59</xdr:row>
      <xdr:rowOff>117475</xdr:rowOff>
    </xdr:from>
    <xdr:to>
      <xdr:col>17</xdr:col>
      <xdr:colOff>101600</xdr:colOff>
      <xdr:row>80</xdr:row>
      <xdr:rowOff>38100</xdr:rowOff>
    </xdr:to>
    <xdr:graphicFrame macro="">
      <xdr:nvGraphicFramePr>
        <xdr:cNvPr id="1375" name="Chart 1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346074</xdr:colOff>
      <xdr:row>59</xdr:row>
      <xdr:rowOff>127001</xdr:rowOff>
    </xdr:from>
    <xdr:to>
      <xdr:col>25</xdr:col>
      <xdr:colOff>647699</xdr:colOff>
      <xdr:row>80</xdr:row>
      <xdr:rowOff>50801</xdr:rowOff>
    </xdr:to>
    <xdr:graphicFrame macro="">
      <xdr:nvGraphicFramePr>
        <xdr:cNvPr id="1376" name="Chart 1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12701</xdr:colOff>
      <xdr:row>37</xdr:row>
      <xdr:rowOff>28575</xdr:rowOff>
    </xdr:from>
    <xdr:to>
      <xdr:col>5</xdr:col>
      <xdr:colOff>482601</xdr:colOff>
      <xdr:row>58</xdr:row>
      <xdr:rowOff>38100</xdr:rowOff>
    </xdr:to>
    <xdr:graphicFrame macro="">
      <xdr:nvGraphicFramePr>
        <xdr:cNvPr id="1377" name="Chart 1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165101</xdr:colOff>
      <xdr:row>59</xdr:row>
      <xdr:rowOff>111125</xdr:rowOff>
    </xdr:from>
    <xdr:to>
      <xdr:col>5</xdr:col>
      <xdr:colOff>457201</xdr:colOff>
      <xdr:row>80</xdr:row>
      <xdr:rowOff>50800</xdr:rowOff>
    </xdr:to>
    <xdr:graphicFrame macro="">
      <xdr:nvGraphicFramePr>
        <xdr:cNvPr id="1378" name="Chart 1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36"/>
  <sheetViews>
    <sheetView tabSelected="1" zoomScale="75" zoomScaleNormal="75" workbookViewId="0">
      <selection activeCell="R36" sqref="R36"/>
    </sheetView>
  </sheetViews>
  <sheetFormatPr defaultRowHeight="12.75"/>
  <cols>
    <col min="1" max="1" width="2.85546875" customWidth="1"/>
    <col min="2" max="2" width="7.28515625" customWidth="1"/>
    <col min="3" max="3" width="19.7109375" customWidth="1"/>
    <col min="4" max="4" width="8.5703125" customWidth="1"/>
    <col min="5" max="5" width="28.7109375" customWidth="1"/>
    <col min="7" max="7" width="8.7109375" customWidth="1"/>
    <col min="8" max="8" width="2.42578125" customWidth="1"/>
    <col min="9" max="9" width="2.7109375" customWidth="1"/>
    <col min="12" max="12" width="2.28515625" customWidth="1"/>
    <col min="13" max="13" width="8" customWidth="1"/>
    <col min="14" max="14" width="7.85546875" customWidth="1"/>
    <col min="15" max="15" width="2.7109375" customWidth="1"/>
    <col min="24" max="24" width="2.42578125" customWidth="1"/>
    <col min="25" max="27" width="9.7109375" style="1" customWidth="1"/>
    <col min="28" max="28" width="8.7109375" customWidth="1"/>
    <col min="29" max="30" width="2.7109375" customWidth="1"/>
    <col min="36" max="36" width="2.85546875" customWidth="1"/>
    <col min="41" max="41" width="9.42578125" customWidth="1"/>
    <col min="42" max="43" width="10" customWidth="1"/>
    <col min="44" max="44" width="2.5703125" customWidth="1"/>
    <col min="45" max="45" width="2.7109375" customWidth="1"/>
    <col min="47" max="47" width="10.140625" customWidth="1"/>
    <col min="48" max="48" width="10.28515625" customWidth="1"/>
    <col min="49" max="50" width="10.140625" customWidth="1"/>
    <col min="52" max="52" width="11.5703125" customWidth="1"/>
    <col min="57" max="57" width="9.5703125" customWidth="1"/>
    <col min="58" max="58" width="2.7109375" customWidth="1"/>
    <col min="60" max="60" width="12.42578125" bestFit="1" customWidth="1"/>
    <col min="62" max="62" width="2.5703125" customWidth="1"/>
    <col min="63" max="63" width="9.85546875" customWidth="1"/>
    <col min="65" max="65" width="2.42578125" customWidth="1"/>
    <col min="66" max="66" width="11.28515625" customWidth="1"/>
    <col min="67" max="67" width="2.7109375" customWidth="1"/>
    <col min="68" max="68" width="3.85546875" customWidth="1"/>
    <col min="72" max="72" width="3.28515625" customWidth="1"/>
    <col min="75" max="75" width="11" customWidth="1"/>
    <col min="76" max="76" width="2.85546875" customWidth="1"/>
    <col min="80" max="80" width="2.7109375" customWidth="1"/>
    <col min="84" max="84" width="3.28515625" customWidth="1"/>
    <col min="85" max="85" width="2.5703125" customWidth="1"/>
    <col min="87" max="87" width="2.42578125" customWidth="1"/>
    <col min="91" max="91" width="11.28515625" customWidth="1"/>
    <col min="94" max="94" width="2.7109375" customWidth="1"/>
    <col min="96" max="96" width="2.42578125" customWidth="1"/>
  </cols>
  <sheetData>
    <row r="1" spans="1:96">
      <c r="A1" s="20"/>
      <c r="B1" s="20"/>
      <c r="C1" s="20"/>
      <c r="D1" s="20"/>
      <c r="E1" s="20"/>
      <c r="F1" s="20"/>
      <c r="G1" s="20"/>
      <c r="H1" s="20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</row>
    <row r="2" spans="1:96">
      <c r="A2" s="20"/>
      <c r="B2" s="11" t="s">
        <v>118</v>
      </c>
      <c r="H2" s="20"/>
      <c r="I2" s="16"/>
      <c r="J2" s="12" t="s">
        <v>61</v>
      </c>
      <c r="K2" s="6"/>
      <c r="L2" s="16"/>
      <c r="M2" s="11" t="s">
        <v>60</v>
      </c>
      <c r="O2" s="16"/>
      <c r="R2" s="11" t="s">
        <v>44</v>
      </c>
      <c r="S2" s="11"/>
      <c r="X2" s="16"/>
      <c r="Z2" s="19" t="s">
        <v>120</v>
      </c>
      <c r="AC2" s="16"/>
      <c r="AD2" s="26"/>
      <c r="AF2" s="11" t="s">
        <v>127</v>
      </c>
      <c r="AJ2" s="26"/>
      <c r="AL2" s="11" t="s">
        <v>124</v>
      </c>
      <c r="AM2" s="11"/>
      <c r="AQ2" s="5" t="s">
        <v>122</v>
      </c>
      <c r="AR2" s="27"/>
      <c r="AS2" s="25"/>
      <c r="AX2" s="11" t="s">
        <v>53</v>
      </c>
      <c r="BF2" s="25"/>
      <c r="BH2" s="11" t="s">
        <v>63</v>
      </c>
      <c r="BJ2" s="25"/>
      <c r="BK2" s="11" t="s">
        <v>72</v>
      </c>
      <c r="BM2" s="25"/>
      <c r="BO2" s="25"/>
      <c r="BP2" s="28"/>
      <c r="BQ2" s="11" t="s">
        <v>77</v>
      </c>
      <c r="BT2" s="28"/>
      <c r="BU2" s="11" t="s">
        <v>78</v>
      </c>
      <c r="BX2" s="28"/>
      <c r="BY2" s="11" t="s">
        <v>82</v>
      </c>
      <c r="CB2" s="28"/>
      <c r="CC2" s="11" t="s">
        <v>83</v>
      </c>
      <c r="CF2" s="28"/>
      <c r="CG2" s="25"/>
      <c r="CI2" s="25"/>
      <c r="CL2" s="11" t="s">
        <v>126</v>
      </c>
      <c r="CP2" s="25"/>
      <c r="CR2" s="25"/>
    </row>
    <row r="3" spans="1:96">
      <c r="A3" s="20"/>
      <c r="C3" s="10" t="s">
        <v>112</v>
      </c>
      <c r="D3" s="5" t="s">
        <v>113</v>
      </c>
      <c r="G3" s="6">
        <v>2011</v>
      </c>
      <c r="H3" s="20"/>
      <c r="I3" s="16"/>
      <c r="J3" s="6"/>
      <c r="K3" s="6"/>
      <c r="L3" s="16"/>
      <c r="O3" s="16"/>
      <c r="X3" s="16"/>
      <c r="Z3" s="19"/>
      <c r="AC3" s="16"/>
      <c r="AD3" s="26"/>
      <c r="AJ3" s="26"/>
      <c r="AQ3" s="5" t="s">
        <v>123</v>
      </c>
      <c r="AR3" s="27"/>
      <c r="AS3" s="25"/>
      <c r="BF3" s="25"/>
      <c r="BJ3" s="25"/>
      <c r="BM3" s="25"/>
      <c r="BO3" s="25"/>
      <c r="BP3" s="28"/>
      <c r="BT3" s="28"/>
      <c r="BX3" s="28"/>
      <c r="CB3" s="28"/>
      <c r="CF3" s="28"/>
      <c r="CG3" s="25"/>
      <c r="CI3" s="25"/>
      <c r="CP3" s="25"/>
      <c r="CR3" s="25"/>
    </row>
    <row r="4" spans="1:96">
      <c r="A4" s="20"/>
      <c r="B4" s="5"/>
      <c r="C4" s="10" t="s">
        <v>114</v>
      </c>
      <c r="D4" s="5" t="s">
        <v>115</v>
      </c>
      <c r="H4" s="21"/>
      <c r="I4" s="16"/>
      <c r="J4" s="6" t="s">
        <v>0</v>
      </c>
      <c r="K4" s="6" t="s">
        <v>31</v>
      </c>
      <c r="L4" s="16"/>
      <c r="M4" t="s">
        <v>32</v>
      </c>
      <c r="N4" t="s">
        <v>39</v>
      </c>
      <c r="O4" s="16"/>
      <c r="P4" t="s">
        <v>25</v>
      </c>
      <c r="Q4" t="s">
        <v>26</v>
      </c>
      <c r="R4" t="s">
        <v>37</v>
      </c>
      <c r="S4" t="s">
        <v>38</v>
      </c>
      <c r="T4" t="s">
        <v>27</v>
      </c>
      <c r="U4" t="s">
        <v>28</v>
      </c>
      <c r="V4" t="s">
        <v>128</v>
      </c>
      <c r="W4" t="s">
        <v>129</v>
      </c>
      <c r="X4" s="16"/>
      <c r="Y4" s="1" t="s">
        <v>70</v>
      </c>
      <c r="Z4" s="1" t="s">
        <v>71</v>
      </c>
      <c r="AA4" s="1" t="s">
        <v>129</v>
      </c>
      <c r="AB4" t="s">
        <v>28</v>
      </c>
      <c r="AC4" s="16"/>
      <c r="AD4" s="26"/>
      <c r="AE4" t="s">
        <v>48</v>
      </c>
      <c r="AF4" t="s">
        <v>49</v>
      </c>
      <c r="AG4" t="s">
        <v>29</v>
      </c>
      <c r="AH4" t="s">
        <v>30</v>
      </c>
      <c r="AI4" s="5" t="s">
        <v>121</v>
      </c>
      <c r="AJ4" s="26"/>
      <c r="AK4" t="s">
        <v>48</v>
      </c>
      <c r="AL4" t="s">
        <v>49</v>
      </c>
      <c r="AM4" t="s">
        <v>29</v>
      </c>
      <c r="AN4" t="s">
        <v>35</v>
      </c>
      <c r="AO4" t="s">
        <v>30</v>
      </c>
      <c r="AP4" s="5" t="s">
        <v>125</v>
      </c>
      <c r="AQ4" t="s">
        <v>66</v>
      </c>
      <c r="AR4" s="26"/>
      <c r="AS4" s="25"/>
      <c r="AT4" t="s">
        <v>50</v>
      </c>
      <c r="AU4" t="s">
        <v>51</v>
      </c>
      <c r="AV4" t="s">
        <v>52</v>
      </c>
      <c r="AW4" t="s">
        <v>130</v>
      </c>
      <c r="AX4" t="s">
        <v>131</v>
      </c>
      <c r="AY4" t="s">
        <v>56</v>
      </c>
      <c r="AZ4" t="s">
        <v>57</v>
      </c>
      <c r="BA4" t="s">
        <v>54</v>
      </c>
      <c r="BB4" t="s">
        <v>55</v>
      </c>
      <c r="BC4" t="s">
        <v>34</v>
      </c>
      <c r="BD4" t="s">
        <v>33</v>
      </c>
      <c r="BE4" t="s">
        <v>36</v>
      </c>
      <c r="BF4" s="25"/>
      <c r="BG4" t="s">
        <v>41</v>
      </c>
      <c r="BJ4" s="25"/>
      <c r="BK4" t="s">
        <v>67</v>
      </c>
      <c r="BL4" t="s">
        <v>68</v>
      </c>
      <c r="BM4" s="25"/>
      <c r="BN4" t="s">
        <v>76</v>
      </c>
      <c r="BO4" s="25"/>
      <c r="BP4" s="28"/>
      <c r="BQ4" t="str">
        <f>AK4</f>
        <v>Ph</v>
      </c>
      <c r="BR4" t="str">
        <f>AY4</f>
        <v>Ph-R</v>
      </c>
      <c r="BS4" t="str">
        <f>AZ4</f>
        <v>Ph-R-G</v>
      </c>
      <c r="BT4" s="28"/>
      <c r="BU4" t="s">
        <v>79</v>
      </c>
      <c r="BV4" t="s">
        <v>80</v>
      </c>
      <c r="BW4" t="s">
        <v>81</v>
      </c>
      <c r="BX4" s="28"/>
      <c r="BY4" t="str">
        <f>AK4</f>
        <v>Ph</v>
      </c>
      <c r="BZ4" t="str">
        <f>AY4</f>
        <v>Ph-R</v>
      </c>
      <c r="CA4" t="str">
        <f>AM4</f>
        <v>G</v>
      </c>
      <c r="CB4" s="28"/>
      <c r="CC4" t="str">
        <f>BC4</f>
        <v>Ph*P</v>
      </c>
      <c r="CD4" t="str">
        <f>BD4</f>
        <v>(Ph-R)*P</v>
      </c>
      <c r="CE4" t="str">
        <f>BE4</f>
        <v>G*P</v>
      </c>
      <c r="CF4" s="28"/>
      <c r="CG4" s="25"/>
      <c r="CH4" t="s">
        <v>84</v>
      </c>
      <c r="CI4" s="25"/>
      <c r="CJ4" t="s">
        <v>85</v>
      </c>
      <c r="CK4" t="s">
        <v>86</v>
      </c>
      <c r="CL4" t="s">
        <v>87</v>
      </c>
      <c r="CM4" t="s">
        <v>88</v>
      </c>
      <c r="CN4" t="s">
        <v>89</v>
      </c>
      <c r="CO4" t="s">
        <v>90</v>
      </c>
      <c r="CP4" s="25"/>
      <c r="CQ4" t="s">
        <v>91</v>
      </c>
      <c r="CR4" s="25"/>
    </row>
    <row r="5" spans="1:96">
      <c r="A5" s="20"/>
      <c r="B5" s="5"/>
      <c r="H5" s="21"/>
      <c r="I5" s="16"/>
      <c r="J5" s="15" t="s">
        <v>1</v>
      </c>
      <c r="K5" s="6">
        <v>0</v>
      </c>
      <c r="L5" s="16"/>
      <c r="O5" s="16"/>
      <c r="P5">
        <v>8.7999999999999995E-2</v>
      </c>
      <c r="Q5">
        <v>0.121</v>
      </c>
      <c r="R5">
        <f t="shared" ref="R5:R28" si="0">LN(P5/D$17)/Q5</f>
        <v>33.651832284049938</v>
      </c>
      <c r="S5">
        <v>53</v>
      </c>
      <c r="T5">
        <v>5.2</v>
      </c>
      <c r="U5">
        <v>1.3</v>
      </c>
      <c r="V5">
        <v>1</v>
      </c>
      <c r="W5">
        <f>MIN(R5/S5,1)</f>
        <v>0.63494023177452719</v>
      </c>
      <c r="X5" s="16"/>
      <c r="Y5" s="1">
        <f t="shared" ref="Y5:Y28" si="1">F$30*V5+(1-F$30)*BL5</f>
        <v>1</v>
      </c>
      <c r="Z5" s="1">
        <f t="shared" ref="Z5:Z28" si="2">F$33*R5+(1-F$33)*MIN(S5,R5)</f>
        <v>33.651832284049938</v>
      </c>
      <c r="AA5" s="1">
        <f t="shared" ref="AA5:AA28" si="3">F$35*W5+(1-F$35)</f>
        <v>0.63494023177452719</v>
      </c>
      <c r="AB5">
        <f t="shared" ref="AB5:AB28" si="4">MAX(U5,(1-F$27)*BG5)</f>
        <v>1.3</v>
      </c>
      <c r="AC5" s="16"/>
      <c r="AD5" s="26"/>
      <c r="AE5">
        <v>3.4000000000000002E-2</v>
      </c>
      <c r="AF5">
        <v>2.4E-2</v>
      </c>
      <c r="AG5">
        <v>0.01</v>
      </c>
      <c r="AH5">
        <v>0</v>
      </c>
      <c r="AI5" s="3">
        <v>3.4</v>
      </c>
      <c r="AJ5" s="26"/>
      <c r="AK5">
        <f t="shared" ref="AK5:AK28" si="5">P5/Q5/Z5*(1-EXP(-Q5*Z5))*Y5*AA5*D$12</f>
        <v>3.3720567597068457E-2</v>
      </c>
      <c r="AL5">
        <f t="shared" ref="AL5:AL28" si="6">D$14*EXP(D$15*T5/10)</f>
        <v>2.5053182889828999E-2</v>
      </c>
      <c r="AM5">
        <f t="shared" ref="AM5:AM28" si="7">AB5*D$13</f>
        <v>9.75E-3</v>
      </c>
      <c r="AN5">
        <f t="shared" ref="AN5:AN28" si="8">AK5-AL5-AM5</f>
        <v>-1.0826152927605418E-3</v>
      </c>
      <c r="AO5">
        <f t="shared" ref="AO5:AO28" si="9">AN5*AP5</f>
        <v>-3.5971008200570411E-3</v>
      </c>
      <c r="AP5" s="3">
        <f>D$16*EXP(AN5*D$19)</f>
        <v>3.3226030004479767</v>
      </c>
      <c r="AQ5">
        <f>AP5</f>
        <v>3.3226030004479767</v>
      </c>
      <c r="AR5" s="26"/>
      <c r="AS5" s="25"/>
      <c r="AT5">
        <f t="shared" ref="AT5:AT28" si="10">P5/Q5/R5*(1-EXP(-Q5*R5))*D$12</f>
        <v>5.3108254776715616E-2</v>
      </c>
      <c r="AU5">
        <f t="shared" ref="AU5:AU28" si="11">AT5*V5</f>
        <v>5.3108254776715616E-2</v>
      </c>
      <c r="AV5">
        <f t="shared" ref="AV5:AV28" si="12">AT5*W5</f>
        <v>3.3720567597068457E-2</v>
      </c>
      <c r="AW5">
        <f>AT5-AU5</f>
        <v>0</v>
      </c>
      <c r="AX5">
        <f>AT5-AV5</f>
        <v>1.9387687179647159E-2</v>
      </c>
      <c r="AY5">
        <f t="shared" ref="AY5:AY28" si="13">AK5-AL5</f>
        <v>8.6673847072394582E-3</v>
      </c>
      <c r="AZ5">
        <f t="shared" ref="AZ5:AZ28" si="14">AY5-AM5</f>
        <v>-1.0826152927605418E-3</v>
      </c>
      <c r="BA5">
        <f>AY5-AZ5</f>
        <v>9.75E-3</v>
      </c>
      <c r="BB5">
        <f t="shared" ref="BB5:BB28" si="15">AK5-AY5</f>
        <v>2.5053182889828999E-2</v>
      </c>
      <c r="BC5">
        <f t="shared" ref="BC5:BC28" si="16">AK5*AP5</f>
        <v>0.11204005907482847</v>
      </c>
      <c r="BD5">
        <f>AY5*AP5</f>
        <v>2.8798278434310733E-2</v>
      </c>
      <c r="BE5">
        <f t="shared" ref="BE5:BE28" si="17">AM5*AP5</f>
        <v>3.2395379254367772E-2</v>
      </c>
      <c r="BF5" s="25"/>
      <c r="BG5">
        <v>0</v>
      </c>
      <c r="BH5" t="s">
        <v>42</v>
      </c>
      <c r="BJ5" s="25"/>
      <c r="BK5">
        <v>4.4660194174757279</v>
      </c>
      <c r="BL5">
        <f t="shared" ref="BL5:BL28" si="18">MIN(1-(F$31-BK5)/F$31,1)</f>
        <v>1</v>
      </c>
      <c r="BM5" s="25"/>
      <c r="BN5">
        <f t="shared" ref="BN5:BN28" si="19">P5*4.4/0.0015</f>
        <v>258.13333333333333</v>
      </c>
      <c r="BO5" s="25"/>
      <c r="BP5" s="28"/>
      <c r="BQ5">
        <f t="shared" ref="BQ5:BQ28" si="20">AK5</f>
        <v>3.3720567597068457E-2</v>
      </c>
      <c r="BR5">
        <f t="shared" ref="BR5:BR28" si="21">AY5</f>
        <v>8.6673847072394582E-3</v>
      </c>
      <c r="BS5">
        <f t="shared" ref="BS5:BS28" si="22">AZ5</f>
        <v>-1.0826152927605418E-3</v>
      </c>
      <c r="BT5" s="28"/>
      <c r="BU5">
        <f>AT5</f>
        <v>5.3108254776715616E-2</v>
      </c>
      <c r="BV5">
        <f t="shared" ref="BV5:BV28" si="23">AT5*AA5</f>
        <v>3.3720567597068457E-2</v>
      </c>
      <c r="BW5">
        <f t="shared" ref="BW5:BW28" si="24">AT5*AA5*V5</f>
        <v>3.3720567597068457E-2</v>
      </c>
      <c r="BX5" s="28"/>
      <c r="BY5">
        <f t="shared" ref="BY5:BY28" si="25">AK5</f>
        <v>3.3720567597068457E-2</v>
      </c>
      <c r="BZ5">
        <f t="shared" ref="BZ5:BZ28" si="26">AY5</f>
        <v>8.6673847072394582E-3</v>
      </c>
      <c r="CA5">
        <f t="shared" ref="CA5:CA28" si="27">AM5</f>
        <v>9.75E-3</v>
      </c>
      <c r="CB5" s="28"/>
      <c r="CC5">
        <f t="shared" ref="CC5:CC28" si="28">BC5</f>
        <v>0.11204005907482847</v>
      </c>
      <c r="CD5">
        <f t="shared" ref="CD5:CD28" si="29">BD5</f>
        <v>2.8798278434310733E-2</v>
      </c>
      <c r="CE5">
        <f t="shared" ref="CE5:CE28" si="30">BE5</f>
        <v>3.2395379254367772E-2</v>
      </c>
      <c r="CF5" s="28"/>
      <c r="CG5" s="25"/>
      <c r="CH5">
        <f t="shared" ref="CH5:CH28" si="31">AM5*AP5/U5</f>
        <v>2.4919522503359822E-2</v>
      </c>
      <c r="CI5" s="25"/>
      <c r="CJ5">
        <f t="shared" ref="CJ5:CJ28" si="32">(P5+P6)/2/((Q5+Q6)/2)/((Z5+Z6)/2)*(1-EXP(-(Q5+Q6)/2*(Z5+Z6)/2))*(Y5+Y6)/2*(AA5+AA6)/2*D$12</f>
        <v>3.4889749031666847E-2</v>
      </c>
      <c r="CK5">
        <f t="shared" ref="CK5:CK28" si="33">D$14*EXP(D$15*(T5+T6)/2/10)</f>
        <v>2.4120229359870567E-2</v>
      </c>
      <c r="CL5">
        <f t="shared" ref="CL5:CL28" si="34">(AB5+AB6)/2*D$13</f>
        <v>1.0125E-2</v>
      </c>
      <c r="CM5">
        <f>CJ5-CK5-CL5</f>
        <v>6.4451967179627971E-4</v>
      </c>
      <c r="CN5">
        <f>AP5</f>
        <v>3.3226030004479767</v>
      </c>
      <c r="CO5">
        <f>AP5</f>
        <v>3.3226030004479767</v>
      </c>
      <c r="CP5" s="25"/>
      <c r="CQ5">
        <f>BE5/AB5</f>
        <v>2.4919522503359822E-2</v>
      </c>
      <c r="CR5" s="25"/>
    </row>
    <row r="6" spans="1:96">
      <c r="A6" s="20"/>
      <c r="B6" s="5" t="s">
        <v>117</v>
      </c>
      <c r="H6" s="21"/>
      <c r="I6" s="16"/>
      <c r="J6" s="15" t="s">
        <v>2</v>
      </c>
      <c r="K6" s="6">
        <f>K5+15</f>
        <v>15</v>
      </c>
      <c r="L6" s="16"/>
      <c r="O6" s="16"/>
      <c r="P6">
        <v>9.4E-2</v>
      </c>
      <c r="Q6">
        <v>0.121</v>
      </c>
      <c r="R6">
        <f t="shared" si="0"/>
        <v>34.196939455882969</v>
      </c>
      <c r="S6">
        <v>53</v>
      </c>
      <c r="T6">
        <v>4.0999999999999996</v>
      </c>
      <c r="U6">
        <v>1.4</v>
      </c>
      <c r="V6">
        <v>1</v>
      </c>
      <c r="W6">
        <f t="shared" ref="W6:W28" si="35">MIN(R6/S6,1)</f>
        <v>0.64522527275250885</v>
      </c>
      <c r="X6" s="16"/>
      <c r="Y6" s="1">
        <f t="shared" si="1"/>
        <v>1</v>
      </c>
      <c r="Z6" s="1">
        <f t="shared" si="2"/>
        <v>34.196939455882969</v>
      </c>
      <c r="AA6" s="1">
        <f t="shared" si="3"/>
        <v>0.64522527275250885</v>
      </c>
      <c r="AB6">
        <f t="shared" si="4"/>
        <v>1.4</v>
      </c>
      <c r="AC6" s="16"/>
      <c r="AD6" s="26"/>
      <c r="AE6">
        <v>3.5999999999999997E-2</v>
      </c>
      <c r="AF6">
        <v>2.3E-2</v>
      </c>
      <c r="AG6">
        <v>1.0999999999999999E-2</v>
      </c>
      <c r="AH6">
        <v>2E-3</v>
      </c>
      <c r="AI6" s="3">
        <v>3.5</v>
      </c>
      <c r="AJ6" s="26"/>
      <c r="AK6">
        <f t="shared" si="5"/>
        <v>3.6059566505535628E-2</v>
      </c>
      <c r="AL6">
        <f t="shared" si="6"/>
        <v>2.3222018013884904E-2</v>
      </c>
      <c r="AM6">
        <f t="shared" si="7"/>
        <v>1.0499999999999999E-2</v>
      </c>
      <c r="AN6">
        <f>AK6-AL6-AM6</f>
        <v>2.3375484916507254E-3</v>
      </c>
      <c r="AO6">
        <f t="shared" si="9"/>
        <v>8.0439034286041572E-3</v>
      </c>
      <c r="AP6" s="3">
        <f t="shared" ref="AP6:AP28" si="36">AP5*EXP(AN6*D$19)</f>
        <v>3.4411707210932461</v>
      </c>
      <c r="AQ6">
        <f t="shared" ref="AQ6:AQ28" si="37">AQ5*EXP(AN5*D$19)</f>
        <v>3.2690822323322175</v>
      </c>
      <c r="AR6" s="26"/>
      <c r="AS6" s="25"/>
      <c r="AT6">
        <f t="shared" si="10"/>
        <v>5.5886785636444086E-2</v>
      </c>
      <c r="AU6">
        <f t="shared" si="11"/>
        <v>5.5886785636444086E-2</v>
      </c>
      <c r="AV6">
        <f t="shared" si="12"/>
        <v>3.6059566505535628E-2</v>
      </c>
      <c r="AW6">
        <f t="shared" ref="AW6:AW28" si="38">AT6-AU6</f>
        <v>0</v>
      </c>
      <c r="AX6">
        <f t="shared" ref="AX6:AX28" si="39">AT6-AV6</f>
        <v>1.9827219130908458E-2</v>
      </c>
      <c r="AY6">
        <f t="shared" si="13"/>
        <v>1.2837548491650724E-2</v>
      </c>
      <c r="AZ6">
        <f t="shared" si="14"/>
        <v>2.3375484916507254E-3</v>
      </c>
      <c r="BA6">
        <f t="shared" ref="BA6:BA28" si="40">AY6-AZ6</f>
        <v>1.0499999999999999E-2</v>
      </c>
      <c r="BB6">
        <f t="shared" si="15"/>
        <v>2.3222018013884904E-2</v>
      </c>
      <c r="BC6">
        <f t="shared" si="16"/>
        <v>0.1240871244741639</v>
      </c>
      <c r="BD6">
        <f t="shared" ref="BD6:BD28" si="41">AY6*AP6</f>
        <v>4.4176196000083233E-2</v>
      </c>
      <c r="BE6">
        <f t="shared" si="17"/>
        <v>3.6132292571479083E-2</v>
      </c>
      <c r="BF6" s="25"/>
      <c r="BG6">
        <v>0</v>
      </c>
      <c r="BH6" t="s">
        <v>43</v>
      </c>
      <c r="BJ6" s="25"/>
      <c r="BK6">
        <v>4.6852489821484493</v>
      </c>
      <c r="BL6">
        <f t="shared" si="18"/>
        <v>1</v>
      </c>
      <c r="BM6" s="25"/>
      <c r="BN6">
        <f t="shared" si="19"/>
        <v>275.73333333333335</v>
      </c>
      <c r="BO6" s="25"/>
      <c r="BP6" s="28"/>
      <c r="BQ6">
        <f t="shared" si="20"/>
        <v>3.6059566505535628E-2</v>
      </c>
      <c r="BR6">
        <f t="shared" si="21"/>
        <v>1.2837548491650724E-2</v>
      </c>
      <c r="BS6">
        <f t="shared" si="22"/>
        <v>2.3375484916507254E-3</v>
      </c>
      <c r="BT6" s="28"/>
      <c r="BU6">
        <f t="shared" ref="BU6:BU28" si="42">AT6</f>
        <v>5.5886785636444086E-2</v>
      </c>
      <c r="BV6">
        <f t="shared" si="23"/>
        <v>3.6059566505535628E-2</v>
      </c>
      <c r="BW6">
        <f t="shared" si="24"/>
        <v>3.6059566505535628E-2</v>
      </c>
      <c r="BX6" s="28"/>
      <c r="BY6">
        <f t="shared" si="25"/>
        <v>3.6059566505535628E-2</v>
      </c>
      <c r="BZ6">
        <f t="shared" si="26"/>
        <v>1.2837548491650724E-2</v>
      </c>
      <c r="CA6">
        <f t="shared" si="27"/>
        <v>1.0499999999999999E-2</v>
      </c>
      <c r="CB6" s="28"/>
      <c r="CC6">
        <f t="shared" si="28"/>
        <v>0.1240871244741639</v>
      </c>
      <c r="CD6">
        <f t="shared" si="29"/>
        <v>4.4176196000083233E-2</v>
      </c>
      <c r="CE6">
        <f t="shared" si="30"/>
        <v>3.6132292571479083E-2</v>
      </c>
      <c r="CF6" s="28"/>
      <c r="CG6" s="25"/>
      <c r="CH6">
        <f t="shared" si="31"/>
        <v>2.5808780408199346E-2</v>
      </c>
      <c r="CI6" s="25"/>
      <c r="CJ6">
        <f t="shared" si="32"/>
        <v>3.9853886734718923E-2</v>
      </c>
      <c r="CK6">
        <f t="shared" si="33"/>
        <v>2.2512053591172771E-2</v>
      </c>
      <c r="CL6">
        <f t="shared" si="34"/>
        <v>1.1624999999999998E-2</v>
      </c>
      <c r="CM6">
        <f t="shared" ref="CM6:CM28" si="43">CJ6-CK6-CL6</f>
        <v>5.7168331435461534E-3</v>
      </c>
      <c r="CN6">
        <f t="shared" ref="CN6:CN28" si="44">CN5*EXP(CM5*D$19)</f>
        <v>3.3548810226218335</v>
      </c>
      <c r="CO6">
        <f t="shared" ref="CO6:CO28" si="45">CO5*EXP((AN5+CM5)/2*D$19)</f>
        <v>3.3117037824421396</v>
      </c>
      <c r="CP6" s="25"/>
      <c r="CQ6">
        <f t="shared" ref="CQ6:CQ28" si="46">BE6/AB6</f>
        <v>2.5808780408199346E-2</v>
      </c>
      <c r="CR6" s="25"/>
    </row>
    <row r="7" spans="1:96">
      <c r="A7" s="20"/>
      <c r="C7" s="5" t="s">
        <v>116</v>
      </c>
      <c r="H7" s="21"/>
      <c r="I7" s="16"/>
      <c r="J7" s="15" t="s">
        <v>3</v>
      </c>
      <c r="K7" s="6">
        <f t="shared" ref="K7:K28" si="47">K6+15</f>
        <v>30</v>
      </c>
      <c r="L7" s="16"/>
      <c r="O7" s="16"/>
      <c r="P7">
        <v>0.112</v>
      </c>
      <c r="Q7">
        <v>0.124</v>
      </c>
      <c r="R7">
        <f t="shared" si="0"/>
        <v>34.782530348281696</v>
      </c>
      <c r="S7">
        <v>51</v>
      </c>
      <c r="T7">
        <v>3.2</v>
      </c>
      <c r="U7">
        <v>1.7</v>
      </c>
      <c r="V7">
        <v>1</v>
      </c>
      <c r="W7">
        <f t="shared" si="35"/>
        <v>0.68201039898591564</v>
      </c>
      <c r="X7" s="16"/>
      <c r="Y7" s="1">
        <f t="shared" si="1"/>
        <v>1</v>
      </c>
      <c r="Z7" s="1">
        <f t="shared" si="2"/>
        <v>34.782530348281696</v>
      </c>
      <c r="AA7" s="1">
        <f t="shared" si="3"/>
        <v>0.68201039898591564</v>
      </c>
      <c r="AB7">
        <f t="shared" si="4"/>
        <v>1.7</v>
      </c>
      <c r="AC7" s="16"/>
      <c r="AD7" s="26"/>
      <c r="AE7">
        <v>4.3999999999999997E-2</v>
      </c>
      <c r="AF7">
        <v>2.1000000000000001E-2</v>
      </c>
      <c r="AG7">
        <v>1.2999999999999999E-2</v>
      </c>
      <c r="AH7">
        <v>0.01</v>
      </c>
      <c r="AI7" s="3">
        <v>4</v>
      </c>
      <c r="AJ7" s="26"/>
      <c r="AK7">
        <f t="shared" si="5"/>
        <v>4.3682795698924727E-2</v>
      </c>
      <c r="AL7">
        <f t="shared" si="6"/>
        <v>2.1823794839398263E-2</v>
      </c>
      <c r="AM7">
        <f t="shared" si="7"/>
        <v>1.2749999999999999E-2</v>
      </c>
      <c r="AN7">
        <f t="shared" si="8"/>
        <v>9.1090008595264647E-3</v>
      </c>
      <c r="AO7">
        <f t="shared" si="9"/>
        <v>3.5934929261378069E-2</v>
      </c>
      <c r="AP7" s="3">
        <f t="shared" si="36"/>
        <v>3.9449913130479342</v>
      </c>
      <c r="AQ7">
        <f t="shared" si="37"/>
        <v>3.3857400541777163</v>
      </c>
      <c r="AR7" s="26"/>
      <c r="AS7" s="25"/>
      <c r="AT7">
        <f t="shared" si="10"/>
        <v>6.4050043465432319E-2</v>
      </c>
      <c r="AU7">
        <f t="shared" si="11"/>
        <v>6.4050043465432319E-2</v>
      </c>
      <c r="AV7">
        <f t="shared" si="12"/>
        <v>4.3682795698924734E-2</v>
      </c>
      <c r="AW7">
        <f t="shared" si="38"/>
        <v>0</v>
      </c>
      <c r="AX7">
        <f t="shared" si="39"/>
        <v>2.0367247766507585E-2</v>
      </c>
      <c r="AY7">
        <f t="shared" si="13"/>
        <v>2.1859000859526464E-2</v>
      </c>
      <c r="AZ7">
        <f t="shared" si="14"/>
        <v>9.1090008595264647E-3</v>
      </c>
      <c r="BA7">
        <f t="shared" si="40"/>
        <v>1.2749999999999999E-2</v>
      </c>
      <c r="BB7">
        <f t="shared" si="15"/>
        <v>2.1823794839398263E-2</v>
      </c>
      <c r="BC7">
        <f t="shared" si="16"/>
        <v>0.17232824956190571</v>
      </c>
      <c r="BD7">
        <f t="shared" si="41"/>
        <v>8.6233568502739222E-2</v>
      </c>
      <c r="BE7">
        <f t="shared" si="17"/>
        <v>5.0298639241361159E-2</v>
      </c>
      <c r="BF7" s="25"/>
      <c r="BG7">
        <v>0</v>
      </c>
      <c r="BJ7" s="25"/>
      <c r="BK7">
        <v>5.5833470462399211</v>
      </c>
      <c r="BL7">
        <f t="shared" si="18"/>
        <v>1</v>
      </c>
      <c r="BM7" s="25"/>
      <c r="BN7">
        <f t="shared" si="19"/>
        <v>328.53333333333336</v>
      </c>
      <c r="BO7" s="25"/>
      <c r="BP7" s="28"/>
      <c r="BQ7">
        <f t="shared" si="20"/>
        <v>4.3682795698924727E-2</v>
      </c>
      <c r="BR7">
        <f t="shared" si="21"/>
        <v>2.1859000859526464E-2</v>
      </c>
      <c r="BS7">
        <f t="shared" si="22"/>
        <v>9.1090008595264647E-3</v>
      </c>
      <c r="BT7" s="28"/>
      <c r="BU7">
        <f t="shared" si="42"/>
        <v>6.4050043465432319E-2</v>
      </c>
      <c r="BV7">
        <f t="shared" si="23"/>
        <v>4.3682795698924734E-2</v>
      </c>
      <c r="BW7">
        <f t="shared" si="24"/>
        <v>4.3682795698924734E-2</v>
      </c>
      <c r="BX7" s="28"/>
      <c r="BY7">
        <f t="shared" si="25"/>
        <v>4.3682795698924727E-2</v>
      </c>
      <c r="BZ7">
        <f t="shared" si="26"/>
        <v>2.1859000859526464E-2</v>
      </c>
      <c r="CA7">
        <f t="shared" si="27"/>
        <v>1.2749999999999999E-2</v>
      </c>
      <c r="CB7" s="28"/>
      <c r="CC7">
        <f t="shared" si="28"/>
        <v>0.17232824956190571</v>
      </c>
      <c r="CD7">
        <f t="shared" si="29"/>
        <v>8.6233568502739222E-2</v>
      </c>
      <c r="CE7">
        <f t="shared" si="30"/>
        <v>5.0298639241361159E-2</v>
      </c>
      <c r="CF7" s="28"/>
      <c r="CG7" s="25"/>
      <c r="CH7">
        <f t="shared" si="31"/>
        <v>2.9587434847859508E-2</v>
      </c>
      <c r="CI7" s="25"/>
      <c r="CJ7">
        <f t="shared" si="32"/>
        <v>4.9556503148399045E-2</v>
      </c>
      <c r="CK7">
        <f t="shared" si="33"/>
        <v>2.1450562760046372E-2</v>
      </c>
      <c r="CL7">
        <f t="shared" si="34"/>
        <v>1.6125E-2</v>
      </c>
      <c r="CM7">
        <f t="shared" si="43"/>
        <v>1.1980940388352672E-2</v>
      </c>
      <c r="CN7">
        <f t="shared" si="44"/>
        <v>3.6552657685147603</v>
      </c>
      <c r="CO7">
        <f t="shared" si="45"/>
        <v>3.5179226428568766</v>
      </c>
      <c r="CP7" s="25"/>
      <c r="CQ7">
        <f t="shared" si="46"/>
        <v>2.9587434847859508E-2</v>
      </c>
      <c r="CR7" s="25"/>
    </row>
    <row r="8" spans="1:96">
      <c r="A8" s="20"/>
      <c r="B8" s="20"/>
      <c r="C8" s="20"/>
      <c r="D8" s="20"/>
      <c r="E8" s="20"/>
      <c r="F8" s="20"/>
      <c r="G8" s="20"/>
      <c r="H8" s="21"/>
      <c r="I8" s="16"/>
      <c r="J8" s="15" t="s">
        <v>4</v>
      </c>
      <c r="K8" s="6">
        <f t="shared" si="47"/>
        <v>45</v>
      </c>
      <c r="L8" s="16"/>
      <c r="O8" s="16"/>
      <c r="P8">
        <v>0.13800000000000001</v>
      </c>
      <c r="Q8">
        <v>0.128</v>
      </c>
      <c r="R8">
        <f t="shared" si="0"/>
        <v>35.326473258195627</v>
      </c>
      <c r="S8">
        <v>48</v>
      </c>
      <c r="T8">
        <v>2.7</v>
      </c>
      <c r="U8">
        <v>2.6</v>
      </c>
      <c r="V8">
        <v>1</v>
      </c>
      <c r="W8">
        <f t="shared" si="35"/>
        <v>0.73596819287907556</v>
      </c>
      <c r="X8" s="16"/>
      <c r="Y8" s="1">
        <f t="shared" si="1"/>
        <v>1</v>
      </c>
      <c r="Z8" s="1">
        <f t="shared" si="2"/>
        <v>35.326473258195627</v>
      </c>
      <c r="AA8" s="1">
        <f t="shared" si="3"/>
        <v>0.73596819287907556</v>
      </c>
      <c r="AB8">
        <f t="shared" si="4"/>
        <v>2.6</v>
      </c>
      <c r="AC8" s="16"/>
      <c r="AD8" s="26"/>
      <c r="AE8">
        <v>5.5E-2</v>
      </c>
      <c r="AF8">
        <v>2.1000000000000001E-2</v>
      </c>
      <c r="AG8">
        <v>0.02</v>
      </c>
      <c r="AH8">
        <v>1.4E-2</v>
      </c>
      <c r="AI8" s="3">
        <v>5</v>
      </c>
      <c r="AJ8" s="26"/>
      <c r="AK8">
        <f t="shared" si="5"/>
        <v>5.55419921875E-2</v>
      </c>
      <c r="AL8">
        <f t="shared" si="6"/>
        <v>2.1083713722052887E-2</v>
      </c>
      <c r="AM8">
        <f t="shared" si="7"/>
        <v>1.95E-2</v>
      </c>
      <c r="AN8">
        <f t="shared" si="8"/>
        <v>1.4958278465447113E-2</v>
      </c>
      <c r="AO8">
        <f t="shared" si="9"/>
        <v>7.3853678587402743E-2</v>
      </c>
      <c r="AP8" s="3">
        <f t="shared" si="36"/>
        <v>4.937311386333735</v>
      </c>
      <c r="AQ8">
        <f t="shared" si="37"/>
        <v>3.8814450617335714</v>
      </c>
      <c r="AR8" s="26"/>
      <c r="AS8" s="25"/>
      <c r="AT8">
        <f t="shared" si="10"/>
        <v>7.546792473492929E-2</v>
      </c>
      <c r="AU8">
        <f t="shared" si="11"/>
        <v>7.546792473492929E-2</v>
      </c>
      <c r="AV8">
        <f t="shared" si="12"/>
        <v>5.5541992187499993E-2</v>
      </c>
      <c r="AW8">
        <f t="shared" si="38"/>
        <v>0</v>
      </c>
      <c r="AX8">
        <f t="shared" si="39"/>
        <v>1.9925932547429297E-2</v>
      </c>
      <c r="AY8">
        <f t="shared" si="13"/>
        <v>3.4458278465447113E-2</v>
      </c>
      <c r="AZ8">
        <f t="shared" si="14"/>
        <v>1.4958278465447113E-2</v>
      </c>
      <c r="BA8">
        <f t="shared" si="40"/>
        <v>1.95E-2</v>
      </c>
      <c r="BB8">
        <f t="shared" si="15"/>
        <v>2.1083713722052887E-2</v>
      </c>
      <c r="BC8">
        <f t="shared" si="16"/>
        <v>0.27422811044700313</v>
      </c>
      <c r="BD8">
        <f t="shared" si="41"/>
        <v>0.17013125062091058</v>
      </c>
      <c r="BE8">
        <f t="shared" si="17"/>
        <v>9.6277572033507827E-2</v>
      </c>
      <c r="BF8" s="25"/>
      <c r="BG8">
        <v>0</v>
      </c>
      <c r="BJ8" s="25"/>
      <c r="BK8">
        <v>6.5048543689320395</v>
      </c>
      <c r="BL8">
        <f t="shared" si="18"/>
        <v>1</v>
      </c>
      <c r="BM8" s="25"/>
      <c r="BN8">
        <f t="shared" si="19"/>
        <v>404.80000000000007</v>
      </c>
      <c r="BO8" s="25"/>
      <c r="BP8" s="28"/>
      <c r="BQ8">
        <f t="shared" si="20"/>
        <v>5.55419921875E-2</v>
      </c>
      <c r="BR8">
        <f t="shared" si="21"/>
        <v>3.4458278465447113E-2</v>
      </c>
      <c r="BS8">
        <f t="shared" si="22"/>
        <v>1.4958278465447113E-2</v>
      </c>
      <c r="BT8" s="28"/>
      <c r="BU8">
        <f t="shared" si="42"/>
        <v>7.546792473492929E-2</v>
      </c>
      <c r="BV8">
        <f t="shared" si="23"/>
        <v>5.5541992187499993E-2</v>
      </c>
      <c r="BW8">
        <f t="shared" si="24"/>
        <v>5.5541992187499993E-2</v>
      </c>
      <c r="BX8" s="28"/>
      <c r="BY8">
        <f t="shared" si="25"/>
        <v>5.55419921875E-2</v>
      </c>
      <c r="BZ8">
        <f t="shared" si="26"/>
        <v>3.4458278465447113E-2</v>
      </c>
      <c r="CA8">
        <f t="shared" si="27"/>
        <v>1.95E-2</v>
      </c>
      <c r="CB8" s="28"/>
      <c r="CC8">
        <f t="shared" si="28"/>
        <v>0.27422811044700313</v>
      </c>
      <c r="CD8">
        <f t="shared" si="29"/>
        <v>0.17013125062091058</v>
      </c>
      <c r="CE8">
        <f t="shared" si="30"/>
        <v>9.6277572033507827E-2</v>
      </c>
      <c r="CF8" s="28"/>
      <c r="CG8" s="25"/>
      <c r="CH8">
        <f t="shared" si="31"/>
        <v>3.7029835397503007E-2</v>
      </c>
      <c r="CI8" s="25"/>
      <c r="CJ8">
        <f t="shared" si="32"/>
        <v>6.2978759287314987E-2</v>
      </c>
      <c r="CK8">
        <f t="shared" si="33"/>
        <v>2.0866622669169544E-2</v>
      </c>
      <c r="CL8">
        <f t="shared" si="34"/>
        <v>2.5500000000000002E-2</v>
      </c>
      <c r="CM8">
        <f t="shared" si="43"/>
        <v>1.6612136618145444E-2</v>
      </c>
      <c r="CN8">
        <f t="shared" si="44"/>
        <v>4.3748967085975332</v>
      </c>
      <c r="CO8">
        <f t="shared" si="45"/>
        <v>4.1207913348264</v>
      </c>
      <c r="CP8" s="25"/>
      <c r="CQ8">
        <f t="shared" si="46"/>
        <v>3.7029835397503007E-2</v>
      </c>
      <c r="CR8" s="25"/>
    </row>
    <row r="9" spans="1:96">
      <c r="A9" s="17"/>
      <c r="B9" s="17"/>
      <c r="C9" s="17"/>
      <c r="D9" s="17"/>
      <c r="E9" s="17"/>
      <c r="F9" s="17"/>
      <c r="G9" s="17"/>
      <c r="H9" s="18"/>
      <c r="I9" s="16"/>
      <c r="J9" s="15" t="s">
        <v>5</v>
      </c>
      <c r="K9" s="6">
        <f t="shared" si="47"/>
        <v>60</v>
      </c>
      <c r="L9" s="16"/>
      <c r="O9" s="16"/>
      <c r="P9">
        <v>0.17399999999999999</v>
      </c>
      <c r="Q9">
        <v>0.13600000000000001</v>
      </c>
      <c r="R9">
        <f t="shared" si="0"/>
        <v>34.95286905225268</v>
      </c>
      <c r="S9">
        <v>45</v>
      </c>
      <c r="T9">
        <v>2.4</v>
      </c>
      <c r="U9">
        <v>4.2</v>
      </c>
      <c r="V9">
        <v>1</v>
      </c>
      <c r="W9">
        <f t="shared" si="35"/>
        <v>0.77673042338339293</v>
      </c>
      <c r="X9" s="16"/>
      <c r="Y9" s="1">
        <f t="shared" si="1"/>
        <v>1</v>
      </c>
      <c r="Z9" s="1">
        <f t="shared" si="2"/>
        <v>34.95286905225268</v>
      </c>
      <c r="AA9" s="1">
        <f t="shared" si="3"/>
        <v>0.77673042338339293</v>
      </c>
      <c r="AB9">
        <f t="shared" si="4"/>
        <v>4.2</v>
      </c>
      <c r="AC9" s="16"/>
      <c r="AD9" s="26"/>
      <c r="AE9">
        <v>7.0999999999999994E-2</v>
      </c>
      <c r="AF9">
        <v>2.1000000000000001E-2</v>
      </c>
      <c r="AG9">
        <v>3.1E-2</v>
      </c>
      <c r="AH9">
        <v>1.9E-2</v>
      </c>
      <c r="AI9" s="3">
        <v>6.7</v>
      </c>
      <c r="AJ9" s="26"/>
      <c r="AK9">
        <f t="shared" si="5"/>
        <v>7.0465686274509803E-2</v>
      </c>
      <c r="AL9">
        <f t="shared" si="6"/>
        <v>2.065176692102726E-2</v>
      </c>
      <c r="AM9">
        <f t="shared" si="7"/>
        <v>3.15E-2</v>
      </c>
      <c r="AN9">
        <f t="shared" si="8"/>
        <v>1.8313919353482547E-2</v>
      </c>
      <c r="AO9">
        <f t="shared" si="9"/>
        <v>0.11900804676445514</v>
      </c>
      <c r="AP9" s="3">
        <f t="shared" si="36"/>
        <v>6.4982292685385641</v>
      </c>
      <c r="AQ9">
        <f t="shared" si="37"/>
        <v>4.8577807599580778</v>
      </c>
      <c r="AR9" s="26"/>
      <c r="AS9" s="25"/>
      <c r="AT9">
        <f t="shared" si="10"/>
        <v>9.0720904129859281E-2</v>
      </c>
      <c r="AU9">
        <f t="shared" si="11"/>
        <v>9.0720904129859281E-2</v>
      </c>
      <c r="AV9">
        <f t="shared" si="12"/>
        <v>7.0465686274509803E-2</v>
      </c>
      <c r="AW9">
        <f t="shared" si="38"/>
        <v>0</v>
      </c>
      <c r="AX9">
        <f t="shared" si="39"/>
        <v>2.0255217855349478E-2</v>
      </c>
      <c r="AY9">
        <f t="shared" si="13"/>
        <v>4.9813919353482547E-2</v>
      </c>
      <c r="AZ9">
        <f t="shared" si="14"/>
        <v>1.8313919353482547E-2</v>
      </c>
      <c r="BA9">
        <f t="shared" si="40"/>
        <v>3.15E-2</v>
      </c>
      <c r="BB9">
        <f t="shared" si="15"/>
        <v>2.0651766921027256E-2</v>
      </c>
      <c r="BC9">
        <f t="shared" si="16"/>
        <v>0.45790218497667579</v>
      </c>
      <c r="BD9">
        <f t="shared" si="41"/>
        <v>0.32370226872341989</v>
      </c>
      <c r="BE9">
        <f t="shared" si="17"/>
        <v>0.20469422195896478</v>
      </c>
      <c r="BF9" s="25"/>
      <c r="BG9">
        <v>0</v>
      </c>
      <c r="BJ9" s="25"/>
      <c r="BK9">
        <v>4.9909494816521311</v>
      </c>
      <c r="BL9">
        <f t="shared" si="18"/>
        <v>1</v>
      </c>
      <c r="BM9" s="25"/>
      <c r="BN9">
        <f t="shared" si="19"/>
        <v>510.40000000000003</v>
      </c>
      <c r="BO9" s="25"/>
      <c r="BP9" s="28"/>
      <c r="BQ9">
        <f t="shared" si="20"/>
        <v>7.0465686274509803E-2</v>
      </c>
      <c r="BR9">
        <f t="shared" si="21"/>
        <v>4.9813919353482547E-2</v>
      </c>
      <c r="BS9">
        <f t="shared" si="22"/>
        <v>1.8313919353482547E-2</v>
      </c>
      <c r="BT9" s="28"/>
      <c r="BU9">
        <f t="shared" si="42"/>
        <v>9.0720904129859281E-2</v>
      </c>
      <c r="BV9">
        <f t="shared" si="23"/>
        <v>7.0465686274509803E-2</v>
      </c>
      <c r="BW9">
        <f t="shared" si="24"/>
        <v>7.0465686274509803E-2</v>
      </c>
      <c r="BX9" s="28"/>
      <c r="BY9">
        <f t="shared" si="25"/>
        <v>7.0465686274509803E-2</v>
      </c>
      <c r="BZ9">
        <f t="shared" si="26"/>
        <v>4.9813919353482547E-2</v>
      </c>
      <c r="CA9">
        <f t="shared" si="27"/>
        <v>3.15E-2</v>
      </c>
      <c r="CB9" s="28"/>
      <c r="CC9">
        <f t="shared" si="28"/>
        <v>0.45790218497667579</v>
      </c>
      <c r="CD9">
        <f t="shared" si="29"/>
        <v>0.32370226872341989</v>
      </c>
      <c r="CE9">
        <f t="shared" si="30"/>
        <v>0.20469422195896478</v>
      </c>
      <c r="CF9" s="28"/>
      <c r="CG9" s="25"/>
      <c r="CH9">
        <f t="shared" si="31"/>
        <v>4.8736719514039233E-2</v>
      </c>
      <c r="CI9" s="25"/>
      <c r="CJ9">
        <f t="shared" si="32"/>
        <v>8.039701918281722E-2</v>
      </c>
      <c r="CK9">
        <f t="shared" si="33"/>
        <v>2.0723138562194082E-2</v>
      </c>
      <c r="CL9">
        <f t="shared" si="34"/>
        <v>3.7499999999999999E-2</v>
      </c>
      <c r="CM9">
        <f t="shared" si="43"/>
        <v>2.2173880620623136E-2</v>
      </c>
      <c r="CN9">
        <f t="shared" si="44"/>
        <v>5.6128856271947871</v>
      </c>
      <c r="CO9">
        <f t="shared" si="45"/>
        <v>5.2217016199350237</v>
      </c>
      <c r="CP9" s="25"/>
      <c r="CQ9">
        <f t="shared" si="46"/>
        <v>4.8736719514039233E-2</v>
      </c>
      <c r="CR9" s="25"/>
    </row>
    <row r="10" spans="1:96">
      <c r="A10" s="17"/>
      <c r="D10" s="11" t="s">
        <v>119</v>
      </c>
      <c r="H10" s="17"/>
      <c r="I10" s="16"/>
      <c r="J10" s="15" t="s">
        <v>6</v>
      </c>
      <c r="K10" s="6">
        <f t="shared" si="47"/>
        <v>75</v>
      </c>
      <c r="L10" s="16"/>
      <c r="O10" s="16"/>
      <c r="P10">
        <v>0.21199999999999999</v>
      </c>
      <c r="Q10">
        <v>0.14499999999999999</v>
      </c>
      <c r="R10">
        <f t="shared" si="0"/>
        <v>34.145663217681708</v>
      </c>
      <c r="S10">
        <v>40</v>
      </c>
      <c r="T10">
        <v>2.5</v>
      </c>
      <c r="U10">
        <v>5.8</v>
      </c>
      <c r="V10">
        <v>1</v>
      </c>
      <c r="W10">
        <f t="shared" si="35"/>
        <v>0.85364158044204275</v>
      </c>
      <c r="X10" s="16"/>
      <c r="Y10" s="1">
        <f t="shared" si="1"/>
        <v>1</v>
      </c>
      <c r="Z10" s="1">
        <f t="shared" si="2"/>
        <v>34.145663217681708</v>
      </c>
      <c r="AA10" s="1">
        <f t="shared" si="3"/>
        <v>0.85364158044204275</v>
      </c>
      <c r="AB10">
        <f t="shared" si="4"/>
        <v>5.8</v>
      </c>
      <c r="AC10" s="16"/>
      <c r="AD10" s="26"/>
      <c r="AE10">
        <v>9.0999999999999998E-2</v>
      </c>
      <c r="AF10">
        <v>2.1000000000000001E-2</v>
      </c>
      <c r="AG10">
        <v>4.2999999999999997E-2</v>
      </c>
      <c r="AH10">
        <v>2.7E-2</v>
      </c>
      <c r="AI10" s="3">
        <v>10</v>
      </c>
      <c r="AJ10" s="26"/>
      <c r="AK10">
        <f t="shared" si="5"/>
        <v>9.0732758620689663E-2</v>
      </c>
      <c r="AL10">
        <f t="shared" si="6"/>
        <v>2.0794756860762296E-2</v>
      </c>
      <c r="AM10">
        <f t="shared" si="7"/>
        <v>4.3499999999999997E-2</v>
      </c>
      <c r="AN10">
        <f t="shared" si="8"/>
        <v>2.6438001759927374E-2</v>
      </c>
      <c r="AO10">
        <f t="shared" si="9"/>
        <v>0.25541819485610856</v>
      </c>
      <c r="AP10" s="3">
        <f t="shared" si="36"/>
        <v>9.6610249585220629</v>
      </c>
      <c r="AQ10">
        <f t="shared" si="37"/>
        <v>6.3935552458528564</v>
      </c>
      <c r="AR10" s="26"/>
      <c r="AS10" s="25"/>
      <c r="AT10">
        <f t="shared" si="10"/>
        <v>0.10628905702286125</v>
      </c>
      <c r="AU10">
        <f t="shared" si="11"/>
        <v>0.10628905702286125</v>
      </c>
      <c r="AV10">
        <f t="shared" si="12"/>
        <v>9.0732758620689677E-2</v>
      </c>
      <c r="AW10">
        <f t="shared" si="38"/>
        <v>0</v>
      </c>
      <c r="AX10">
        <f t="shared" si="39"/>
        <v>1.555629840217157E-2</v>
      </c>
      <c r="AY10">
        <f t="shared" si="13"/>
        <v>6.9938001759927371E-2</v>
      </c>
      <c r="AZ10">
        <f t="shared" si="14"/>
        <v>2.6438001759927374E-2</v>
      </c>
      <c r="BA10">
        <f t="shared" si="40"/>
        <v>4.3499999999999997E-2</v>
      </c>
      <c r="BB10">
        <f t="shared" si="15"/>
        <v>2.0794756860762292E-2</v>
      </c>
      <c r="BC10">
        <f t="shared" si="16"/>
        <v>0.87657144559004074</v>
      </c>
      <c r="BD10">
        <f t="shared" si="41"/>
        <v>0.67567278055181834</v>
      </c>
      <c r="BE10">
        <f t="shared" si="17"/>
        <v>0.42025458569570973</v>
      </c>
      <c r="BF10" s="25"/>
      <c r="BG10">
        <v>0</v>
      </c>
      <c r="BJ10" s="25"/>
      <c r="BK10">
        <v>3.4919624383256402</v>
      </c>
      <c r="BL10">
        <f t="shared" si="18"/>
        <v>1</v>
      </c>
      <c r="BM10" s="25"/>
      <c r="BN10">
        <f t="shared" si="19"/>
        <v>621.86666666666667</v>
      </c>
      <c r="BO10" s="25"/>
      <c r="BP10" s="28"/>
      <c r="BQ10">
        <f t="shared" si="20"/>
        <v>9.0732758620689663E-2</v>
      </c>
      <c r="BR10">
        <f t="shared" si="21"/>
        <v>6.9938001759927371E-2</v>
      </c>
      <c r="BS10">
        <f t="shared" si="22"/>
        <v>2.6438001759927374E-2</v>
      </c>
      <c r="BT10" s="28"/>
      <c r="BU10">
        <f t="shared" si="42"/>
        <v>0.10628905702286125</v>
      </c>
      <c r="BV10">
        <f t="shared" si="23"/>
        <v>9.0732758620689677E-2</v>
      </c>
      <c r="BW10">
        <f t="shared" si="24"/>
        <v>9.0732758620689677E-2</v>
      </c>
      <c r="BX10" s="28"/>
      <c r="BY10">
        <f t="shared" si="25"/>
        <v>9.0732758620689663E-2</v>
      </c>
      <c r="BZ10">
        <f t="shared" si="26"/>
        <v>6.9938001759927371E-2</v>
      </c>
      <c r="CA10">
        <f t="shared" si="27"/>
        <v>4.3499999999999997E-2</v>
      </c>
      <c r="CB10" s="28"/>
      <c r="CC10">
        <f t="shared" si="28"/>
        <v>0.87657144559004074</v>
      </c>
      <c r="CD10">
        <f t="shared" si="29"/>
        <v>0.67567278055181834</v>
      </c>
      <c r="CE10">
        <f t="shared" si="30"/>
        <v>0.42025458569570973</v>
      </c>
      <c r="CF10" s="28"/>
      <c r="CG10" s="25"/>
      <c r="CH10">
        <f t="shared" si="31"/>
        <v>7.2457687188915473E-2</v>
      </c>
      <c r="CI10" s="25"/>
      <c r="CJ10">
        <f t="shared" si="32"/>
        <v>0.10493266898909835</v>
      </c>
      <c r="CK10">
        <f t="shared" si="33"/>
        <v>2.0938736842799458E-2</v>
      </c>
      <c r="CL10">
        <f t="shared" si="34"/>
        <v>4.9875000000000003E-2</v>
      </c>
      <c r="CM10">
        <f t="shared" si="43"/>
        <v>3.4118932146298894E-2</v>
      </c>
      <c r="CN10">
        <f t="shared" si="44"/>
        <v>7.827734784926264</v>
      </c>
      <c r="CO10">
        <f t="shared" si="45"/>
        <v>7.0743943060385162</v>
      </c>
      <c r="CP10" s="25"/>
      <c r="CQ10">
        <f t="shared" si="46"/>
        <v>7.2457687188915473E-2</v>
      </c>
      <c r="CR10" s="25"/>
    </row>
    <row r="11" spans="1:96">
      <c r="A11" s="17"/>
      <c r="F11" s="24" t="s">
        <v>106</v>
      </c>
      <c r="H11" s="17"/>
      <c r="I11" s="16"/>
      <c r="J11" s="15" t="s">
        <v>7</v>
      </c>
      <c r="K11" s="6">
        <f t="shared" si="47"/>
        <v>90</v>
      </c>
      <c r="L11" s="16"/>
      <c r="O11" s="16"/>
      <c r="P11">
        <v>0.247</v>
      </c>
      <c r="Q11">
        <v>0.159</v>
      </c>
      <c r="R11">
        <f t="shared" si="0"/>
        <v>32.10014609131958</v>
      </c>
      <c r="S11">
        <v>32</v>
      </c>
      <c r="T11">
        <v>2.7</v>
      </c>
      <c r="U11">
        <v>7.5</v>
      </c>
      <c r="V11">
        <v>1</v>
      </c>
      <c r="W11">
        <f t="shared" si="35"/>
        <v>1</v>
      </c>
      <c r="X11" s="16"/>
      <c r="Y11" s="1">
        <f t="shared" si="1"/>
        <v>1</v>
      </c>
      <c r="Z11" s="1">
        <f t="shared" si="2"/>
        <v>32.10014609131958</v>
      </c>
      <c r="AA11" s="1">
        <f t="shared" si="3"/>
        <v>1</v>
      </c>
      <c r="AB11">
        <f t="shared" si="4"/>
        <v>7.5</v>
      </c>
      <c r="AC11" s="16"/>
      <c r="AD11" s="26"/>
      <c r="AE11">
        <v>0.12</v>
      </c>
      <c r="AF11">
        <v>2.1000000000000001E-2</v>
      </c>
      <c r="AG11">
        <v>5.6000000000000001E-2</v>
      </c>
      <c r="AH11">
        <v>4.2999999999999997E-2</v>
      </c>
      <c r="AI11" s="3">
        <v>19.100000000000001</v>
      </c>
      <c r="AJ11" s="26"/>
      <c r="AK11">
        <f t="shared" si="5"/>
        <v>0.12025063319339806</v>
      </c>
      <c r="AL11">
        <f t="shared" si="6"/>
        <v>2.1083713722052887E-2</v>
      </c>
      <c r="AM11">
        <f t="shared" si="7"/>
        <v>5.6249999999999994E-2</v>
      </c>
      <c r="AN11">
        <f t="shared" si="8"/>
        <v>4.2916919471345183E-2</v>
      </c>
      <c r="AO11">
        <f t="shared" si="9"/>
        <v>0.78927884923069569</v>
      </c>
      <c r="AP11" s="3">
        <f t="shared" si="36"/>
        <v>18.390855144150834</v>
      </c>
      <c r="AQ11">
        <f t="shared" si="37"/>
        <v>9.505404357295884</v>
      </c>
      <c r="AR11" s="26"/>
      <c r="AS11" s="25"/>
      <c r="AT11">
        <f t="shared" si="10"/>
        <v>0.12025063319339806</v>
      </c>
      <c r="AU11">
        <f t="shared" si="11"/>
        <v>0.12025063319339806</v>
      </c>
      <c r="AV11">
        <f t="shared" si="12"/>
        <v>0.12025063319339806</v>
      </c>
      <c r="AW11">
        <f t="shared" si="38"/>
        <v>0</v>
      </c>
      <c r="AX11">
        <f t="shared" si="39"/>
        <v>0</v>
      </c>
      <c r="AY11">
        <f t="shared" si="13"/>
        <v>9.9166919471345177E-2</v>
      </c>
      <c r="AZ11">
        <f t="shared" si="14"/>
        <v>4.2916919471345183E-2</v>
      </c>
      <c r="BA11">
        <f t="shared" si="40"/>
        <v>5.6249999999999994E-2</v>
      </c>
      <c r="BB11">
        <f t="shared" si="15"/>
        <v>2.108371372205288E-2</v>
      </c>
      <c r="BC11">
        <f t="shared" si="16"/>
        <v>2.2115119760521997</v>
      </c>
      <c r="BD11">
        <f t="shared" si="41"/>
        <v>1.8237644510891799</v>
      </c>
      <c r="BE11">
        <f t="shared" si="17"/>
        <v>1.0344856018584843</v>
      </c>
      <c r="BF11" s="25"/>
      <c r="BG11">
        <v>0</v>
      </c>
      <c r="BJ11" s="25"/>
      <c r="BK11">
        <v>2.4255928696482569</v>
      </c>
      <c r="BL11">
        <f t="shared" si="18"/>
        <v>1</v>
      </c>
      <c r="BM11" s="25"/>
      <c r="BN11">
        <f t="shared" si="19"/>
        <v>724.5333333333333</v>
      </c>
      <c r="BO11" s="25"/>
      <c r="BP11" s="28"/>
      <c r="BQ11">
        <f t="shared" si="20"/>
        <v>0.12025063319339806</v>
      </c>
      <c r="BR11">
        <f t="shared" si="21"/>
        <v>9.9166919471345177E-2</v>
      </c>
      <c r="BS11">
        <f t="shared" si="22"/>
        <v>4.2916919471345183E-2</v>
      </c>
      <c r="BT11" s="28"/>
      <c r="BU11">
        <f t="shared" si="42"/>
        <v>0.12025063319339806</v>
      </c>
      <c r="BV11">
        <f t="shared" si="23"/>
        <v>0.12025063319339806</v>
      </c>
      <c r="BW11">
        <f t="shared" si="24"/>
        <v>0.12025063319339806</v>
      </c>
      <c r="BX11" s="28"/>
      <c r="BY11">
        <f t="shared" si="25"/>
        <v>0.12025063319339806</v>
      </c>
      <c r="BZ11">
        <f t="shared" si="26"/>
        <v>9.9166919471345177E-2</v>
      </c>
      <c r="CA11">
        <f t="shared" si="27"/>
        <v>5.6249999999999994E-2</v>
      </c>
      <c r="CB11" s="28"/>
      <c r="CC11">
        <f t="shared" si="28"/>
        <v>2.2115119760521997</v>
      </c>
      <c r="CD11">
        <f t="shared" si="29"/>
        <v>1.8237644510891799</v>
      </c>
      <c r="CE11">
        <f t="shared" si="30"/>
        <v>1.0344856018584843</v>
      </c>
      <c r="CF11" s="28"/>
      <c r="CG11" s="25"/>
      <c r="CH11">
        <f t="shared" si="31"/>
        <v>0.13793141358113123</v>
      </c>
      <c r="CI11" s="25"/>
      <c r="CJ11">
        <f t="shared" si="32"/>
        <v>0.12373303303384961</v>
      </c>
      <c r="CK11">
        <f t="shared" si="33"/>
        <v>2.1599083450216407E-2</v>
      </c>
      <c r="CL11">
        <f t="shared" si="34"/>
        <v>6.1499999999999992E-2</v>
      </c>
      <c r="CM11">
        <f t="shared" si="43"/>
        <v>4.0633949583633207E-2</v>
      </c>
      <c r="CN11">
        <f t="shared" si="44"/>
        <v>13.058733593961593</v>
      </c>
      <c r="CO11">
        <f t="shared" si="45"/>
        <v>11.141298990908044</v>
      </c>
      <c r="CP11" s="25"/>
      <c r="CQ11">
        <f t="shared" si="46"/>
        <v>0.13793141358113123</v>
      </c>
      <c r="CR11" s="25"/>
    </row>
    <row r="12" spans="1:96">
      <c r="A12" s="17"/>
      <c r="B12" s="6" t="s">
        <v>45</v>
      </c>
      <c r="C12" s="9" t="s">
        <v>92</v>
      </c>
      <c r="D12" s="8">
        <v>2.5</v>
      </c>
      <c r="E12" s="6" t="s">
        <v>94</v>
      </c>
      <c r="F12" s="6">
        <v>2.5</v>
      </c>
      <c r="G12" s="6"/>
      <c r="H12" s="17"/>
      <c r="I12" s="16"/>
      <c r="J12" s="15" t="s">
        <v>8</v>
      </c>
      <c r="K12" s="6">
        <f t="shared" si="47"/>
        <v>105</v>
      </c>
      <c r="L12" s="16"/>
      <c r="O12" s="16"/>
      <c r="P12">
        <v>0.27200000000000002</v>
      </c>
      <c r="Q12">
        <v>0.2</v>
      </c>
      <c r="R12">
        <f t="shared" si="0"/>
        <v>26.001684790939166</v>
      </c>
      <c r="S12">
        <v>23</v>
      </c>
      <c r="T12">
        <v>3.4</v>
      </c>
      <c r="U12">
        <v>8.9</v>
      </c>
      <c r="V12">
        <v>1</v>
      </c>
      <c r="W12">
        <f t="shared" si="35"/>
        <v>1</v>
      </c>
      <c r="X12" s="16"/>
      <c r="Y12" s="1">
        <f t="shared" si="1"/>
        <v>1</v>
      </c>
      <c r="Z12" s="1">
        <f t="shared" si="2"/>
        <v>26.001684790939166</v>
      </c>
      <c r="AA12" s="1">
        <f t="shared" si="3"/>
        <v>1</v>
      </c>
      <c r="AB12">
        <f t="shared" si="4"/>
        <v>8.9</v>
      </c>
      <c r="AC12" s="16"/>
      <c r="AD12" s="26"/>
      <c r="AE12">
        <v>0.13</v>
      </c>
      <c r="AF12">
        <v>2.1000000000000001E-2</v>
      </c>
      <c r="AG12">
        <v>6.7000000000000004E-2</v>
      </c>
      <c r="AH12">
        <v>4.2000000000000003E-2</v>
      </c>
      <c r="AI12" s="3">
        <v>35.5</v>
      </c>
      <c r="AJ12" s="26"/>
      <c r="AK12">
        <f t="shared" si="5"/>
        <v>0.13003965039904908</v>
      </c>
      <c r="AL12">
        <f t="shared" si="6"/>
        <v>2.2127050862080659E-2</v>
      </c>
      <c r="AM12">
        <f t="shared" si="7"/>
        <v>6.6750000000000004E-2</v>
      </c>
      <c r="AN12">
        <f t="shared" si="8"/>
        <v>4.1162599536968408E-2</v>
      </c>
      <c r="AO12">
        <f t="shared" si="9"/>
        <v>1.4036378320558334</v>
      </c>
      <c r="AP12" s="3">
        <f t="shared" si="36"/>
        <v>34.09983450620549</v>
      </c>
      <c r="AQ12">
        <f t="shared" si="37"/>
        <v>18.094613705288619</v>
      </c>
      <c r="AR12" s="26"/>
      <c r="AS12" s="25"/>
      <c r="AT12">
        <f t="shared" si="10"/>
        <v>0.13003965039904908</v>
      </c>
      <c r="AU12">
        <f t="shared" si="11"/>
        <v>0.13003965039904908</v>
      </c>
      <c r="AV12">
        <f t="shared" si="12"/>
        <v>0.13003965039904908</v>
      </c>
      <c r="AW12">
        <f t="shared" si="38"/>
        <v>0</v>
      </c>
      <c r="AX12">
        <f t="shared" si="39"/>
        <v>0</v>
      </c>
      <c r="AY12">
        <f t="shared" si="13"/>
        <v>0.10791259953696841</v>
      </c>
      <c r="AZ12">
        <f t="shared" si="14"/>
        <v>4.1162599536968408E-2</v>
      </c>
      <c r="BA12">
        <f t="shared" si="40"/>
        <v>6.6750000000000004E-2</v>
      </c>
      <c r="BB12">
        <f t="shared" si="15"/>
        <v>2.2127050862080666E-2</v>
      </c>
      <c r="BC12">
        <f t="shared" si="16"/>
        <v>4.4343305578523919</v>
      </c>
      <c r="BD12">
        <f t="shared" si="41"/>
        <v>3.6798017853450502</v>
      </c>
      <c r="BE12">
        <f t="shared" si="17"/>
        <v>2.2761639532892164</v>
      </c>
      <c r="BF12" s="25"/>
      <c r="BG12">
        <v>0</v>
      </c>
      <c r="BJ12" s="25"/>
      <c r="BK12">
        <v>1.3592233009708736</v>
      </c>
      <c r="BL12">
        <f t="shared" si="18"/>
        <v>1</v>
      </c>
      <c r="BM12" s="25"/>
      <c r="BN12">
        <f t="shared" si="19"/>
        <v>797.86666666666667</v>
      </c>
      <c r="BO12" s="25"/>
      <c r="BP12" s="28"/>
      <c r="BQ12">
        <f t="shared" si="20"/>
        <v>0.13003965039904908</v>
      </c>
      <c r="BR12">
        <f t="shared" si="21"/>
        <v>0.10791259953696841</v>
      </c>
      <c r="BS12">
        <f t="shared" si="22"/>
        <v>4.1162599536968408E-2</v>
      </c>
      <c r="BT12" s="28"/>
      <c r="BU12">
        <f t="shared" si="42"/>
        <v>0.13003965039904908</v>
      </c>
      <c r="BV12">
        <f t="shared" si="23"/>
        <v>0.13003965039904908</v>
      </c>
      <c r="BW12">
        <f t="shared" si="24"/>
        <v>0.13003965039904908</v>
      </c>
      <c r="BX12" s="28"/>
      <c r="BY12">
        <f t="shared" si="25"/>
        <v>0.13003965039904908</v>
      </c>
      <c r="BZ12">
        <f t="shared" si="26"/>
        <v>0.10791259953696841</v>
      </c>
      <c r="CA12">
        <f t="shared" si="27"/>
        <v>6.6750000000000004E-2</v>
      </c>
      <c r="CB12" s="28"/>
      <c r="CC12">
        <f t="shared" si="28"/>
        <v>4.4343305578523919</v>
      </c>
      <c r="CD12">
        <f t="shared" si="29"/>
        <v>3.6798017853450502</v>
      </c>
      <c r="CE12">
        <f t="shared" si="30"/>
        <v>2.2761639532892164</v>
      </c>
      <c r="CF12" s="28"/>
      <c r="CG12" s="25"/>
      <c r="CH12">
        <f t="shared" si="31"/>
        <v>0.25574875879654113</v>
      </c>
      <c r="CI12" s="25"/>
      <c r="CJ12">
        <f t="shared" si="32"/>
        <v>0.13019485863176825</v>
      </c>
      <c r="CK12">
        <f t="shared" si="33"/>
        <v>2.2982909647722771E-2</v>
      </c>
      <c r="CL12">
        <f t="shared" si="34"/>
        <v>9.7875000000000004E-2</v>
      </c>
      <c r="CM12">
        <f t="shared" si="43"/>
        <v>9.3369489840454678E-3</v>
      </c>
      <c r="CN12">
        <f t="shared" si="44"/>
        <v>24.021911538322986</v>
      </c>
      <c r="CO12">
        <f t="shared" si="45"/>
        <v>20.84867405252837</v>
      </c>
      <c r="CP12" s="25"/>
      <c r="CQ12">
        <f t="shared" si="46"/>
        <v>0.25574875879654113</v>
      </c>
      <c r="CR12" s="25"/>
    </row>
    <row r="13" spans="1:96">
      <c r="A13" s="17"/>
      <c r="B13" s="6" t="s">
        <v>46</v>
      </c>
      <c r="C13" s="9" t="s">
        <v>93</v>
      </c>
      <c r="D13" s="8">
        <v>7.4999999999999997E-3</v>
      </c>
      <c r="E13" s="7" t="s">
        <v>100</v>
      </c>
      <c r="F13" s="6">
        <v>7.4999999999999997E-3</v>
      </c>
      <c r="G13" s="6"/>
      <c r="H13" s="17"/>
      <c r="I13" s="16"/>
      <c r="J13" s="15" t="s">
        <v>9</v>
      </c>
      <c r="K13" s="6">
        <f t="shared" si="47"/>
        <v>120</v>
      </c>
      <c r="L13" s="16"/>
      <c r="O13" s="16"/>
      <c r="P13">
        <v>0.28999999999999998</v>
      </c>
      <c r="Q13">
        <v>0.20499999999999999</v>
      </c>
      <c r="R13">
        <f t="shared" si="0"/>
        <v>25.680077145718805</v>
      </c>
      <c r="S13">
        <v>19</v>
      </c>
      <c r="T13">
        <v>4.5</v>
      </c>
      <c r="U13">
        <v>17.2</v>
      </c>
      <c r="V13">
        <v>0.95</v>
      </c>
      <c r="W13">
        <f t="shared" si="35"/>
        <v>1</v>
      </c>
      <c r="X13" s="16"/>
      <c r="Y13" s="1">
        <f t="shared" si="1"/>
        <v>0.95</v>
      </c>
      <c r="Z13" s="1">
        <f t="shared" si="2"/>
        <v>25.680077145718805</v>
      </c>
      <c r="AA13" s="1">
        <f t="shared" si="3"/>
        <v>1</v>
      </c>
      <c r="AB13">
        <f t="shared" si="4"/>
        <v>17.2</v>
      </c>
      <c r="AC13" s="16"/>
      <c r="AD13" s="26"/>
      <c r="AE13">
        <v>0.13100000000000001</v>
      </c>
      <c r="AF13">
        <v>2.4E-2</v>
      </c>
      <c r="AG13">
        <v>0.129</v>
      </c>
      <c r="AH13">
        <v>-2.1999999999999999E-2</v>
      </c>
      <c r="AI13" s="3">
        <v>25.7</v>
      </c>
      <c r="AJ13" s="26"/>
      <c r="AK13">
        <f t="shared" si="5"/>
        <v>0.13015451744223847</v>
      </c>
      <c r="AL13">
        <f t="shared" si="6"/>
        <v>2.3871872450051349E-2</v>
      </c>
      <c r="AM13">
        <f t="shared" si="7"/>
        <v>0.129</v>
      </c>
      <c r="AN13">
        <f t="shared" si="8"/>
        <v>-2.2717355007812884E-2</v>
      </c>
      <c r="AO13">
        <f t="shared" si="9"/>
        <v>-0.55095953989346058</v>
      </c>
      <c r="AP13" s="3">
        <f t="shared" si="36"/>
        <v>24.252803185228924</v>
      </c>
      <c r="AQ13">
        <f t="shared" si="37"/>
        <v>33.550551508764528</v>
      </c>
      <c r="AR13" s="26"/>
      <c r="AS13" s="25"/>
      <c r="AT13">
        <f t="shared" si="10"/>
        <v>0.13700475520235628</v>
      </c>
      <c r="AU13">
        <f t="shared" si="11"/>
        <v>0.13015451744223847</v>
      </c>
      <c r="AV13">
        <f t="shared" si="12"/>
        <v>0.13700475520235628</v>
      </c>
      <c r="AW13">
        <f t="shared" si="38"/>
        <v>6.850237760117811E-3</v>
      </c>
      <c r="AX13">
        <f t="shared" si="39"/>
        <v>0</v>
      </c>
      <c r="AY13">
        <f t="shared" si="13"/>
        <v>0.10628264499218712</v>
      </c>
      <c r="AZ13">
        <f t="shared" si="14"/>
        <v>-2.2717355007812884E-2</v>
      </c>
      <c r="BA13">
        <f t="shared" si="40"/>
        <v>0.129</v>
      </c>
      <c r="BB13">
        <f t="shared" si="15"/>
        <v>2.3871872450051346E-2</v>
      </c>
      <c r="BC13">
        <f t="shared" si="16"/>
        <v>3.1566118951950544</v>
      </c>
      <c r="BD13">
        <f t="shared" si="41"/>
        <v>2.5776520710010709</v>
      </c>
      <c r="BE13">
        <f t="shared" si="17"/>
        <v>3.1286116108945312</v>
      </c>
      <c r="BF13" s="25"/>
      <c r="BG13">
        <v>0</v>
      </c>
      <c r="BJ13" s="25"/>
      <c r="BK13">
        <v>0.97724017189240797</v>
      </c>
      <c r="BL13">
        <f t="shared" si="18"/>
        <v>0.72388160880919106</v>
      </c>
      <c r="BM13" s="25"/>
      <c r="BN13">
        <f t="shared" si="19"/>
        <v>850.66666666666663</v>
      </c>
      <c r="BO13" s="25"/>
      <c r="BP13" s="28"/>
      <c r="BQ13">
        <f t="shared" si="20"/>
        <v>0.13015451744223847</v>
      </c>
      <c r="BR13">
        <f t="shared" si="21"/>
        <v>0.10628264499218712</v>
      </c>
      <c r="BS13">
        <f t="shared" si="22"/>
        <v>-2.2717355007812884E-2</v>
      </c>
      <c r="BT13" s="28"/>
      <c r="BU13">
        <f t="shared" si="42"/>
        <v>0.13700475520235628</v>
      </c>
      <c r="BV13">
        <f t="shared" si="23"/>
        <v>0.13700475520235628</v>
      </c>
      <c r="BW13">
        <f t="shared" si="24"/>
        <v>0.13015451744223847</v>
      </c>
      <c r="BX13" s="28"/>
      <c r="BY13">
        <f t="shared" si="25"/>
        <v>0.13015451744223847</v>
      </c>
      <c r="BZ13">
        <f t="shared" si="26"/>
        <v>0.10628264499218712</v>
      </c>
      <c r="CA13">
        <f t="shared" si="27"/>
        <v>0.129</v>
      </c>
      <c r="CB13" s="28"/>
      <c r="CC13">
        <f t="shared" si="28"/>
        <v>3.1566118951950544</v>
      </c>
      <c r="CD13">
        <f t="shared" si="29"/>
        <v>2.5776520710010709</v>
      </c>
      <c r="CE13">
        <f t="shared" si="30"/>
        <v>3.1286116108945312</v>
      </c>
      <c r="CF13" s="28"/>
      <c r="CG13" s="25"/>
      <c r="CH13">
        <f t="shared" si="31"/>
        <v>0.18189602388921694</v>
      </c>
      <c r="CI13" s="25"/>
      <c r="CJ13">
        <f t="shared" si="32"/>
        <v>0.12981219745028272</v>
      </c>
      <c r="CK13">
        <f t="shared" si="33"/>
        <v>2.5053182889828999E-2</v>
      </c>
      <c r="CL13">
        <f t="shared" si="34"/>
        <v>0.136875</v>
      </c>
      <c r="CM13">
        <f t="shared" si="43"/>
        <v>-3.2115985439546274E-2</v>
      </c>
      <c r="CN13">
        <f t="shared" si="44"/>
        <v>27.633274084366217</v>
      </c>
      <c r="CO13">
        <f t="shared" si="45"/>
        <v>30.448507114854355</v>
      </c>
      <c r="CP13" s="25"/>
      <c r="CQ13">
        <f t="shared" si="46"/>
        <v>0.18189602388921694</v>
      </c>
      <c r="CR13" s="25"/>
    </row>
    <row r="14" spans="1:96">
      <c r="A14" s="17"/>
      <c r="B14" s="6" t="s">
        <v>40</v>
      </c>
      <c r="C14" s="13" t="s">
        <v>99</v>
      </c>
      <c r="D14" s="8">
        <v>1.7500000000000002E-2</v>
      </c>
      <c r="E14" s="7" t="s">
        <v>96</v>
      </c>
      <c r="F14" s="6">
        <v>1.7500000000000002E-2</v>
      </c>
      <c r="G14" s="6"/>
      <c r="H14" s="17"/>
      <c r="I14" s="16"/>
      <c r="J14" s="15" t="s">
        <v>10</v>
      </c>
      <c r="K14" s="6">
        <f t="shared" si="47"/>
        <v>135</v>
      </c>
      <c r="L14" s="16"/>
      <c r="O14" s="16"/>
      <c r="P14">
        <v>0.30599999999999999</v>
      </c>
      <c r="Q14">
        <v>0.17</v>
      </c>
      <c r="R14">
        <f t="shared" si="0"/>
        <v>31.283058787318915</v>
      </c>
      <c r="S14">
        <v>18</v>
      </c>
      <c r="T14">
        <v>5.9</v>
      </c>
      <c r="U14">
        <v>19.3</v>
      </c>
      <c r="V14">
        <v>0.92</v>
      </c>
      <c r="W14">
        <f t="shared" si="35"/>
        <v>1</v>
      </c>
      <c r="X14" s="16"/>
      <c r="Y14" s="1">
        <f t="shared" si="1"/>
        <v>0.92</v>
      </c>
      <c r="Z14" s="1">
        <f t="shared" si="2"/>
        <v>31.283058787318915</v>
      </c>
      <c r="AA14" s="1">
        <f t="shared" si="3"/>
        <v>1</v>
      </c>
      <c r="AB14">
        <f t="shared" si="4"/>
        <v>19.3</v>
      </c>
      <c r="AC14" s="16"/>
      <c r="AD14" s="26"/>
      <c r="AE14">
        <v>0.13200000000000001</v>
      </c>
      <c r="AF14">
        <v>2.5999999999999999E-2</v>
      </c>
      <c r="AG14">
        <v>0.14499999999999999</v>
      </c>
      <c r="AH14">
        <v>-3.9E-2</v>
      </c>
      <c r="AI14" s="3">
        <v>14.2</v>
      </c>
      <c r="AJ14" s="26"/>
      <c r="AK14">
        <f t="shared" si="5"/>
        <v>0.13169127451254636</v>
      </c>
      <c r="AL14">
        <f t="shared" si="6"/>
        <v>2.6292951012725031E-2</v>
      </c>
      <c r="AM14">
        <f t="shared" si="7"/>
        <v>0.14474999999999999</v>
      </c>
      <c r="AN14">
        <f t="shared" si="8"/>
        <v>-3.9351676500178651E-2</v>
      </c>
      <c r="AO14">
        <f t="shared" si="9"/>
        <v>-0.52889802148626996</v>
      </c>
      <c r="AP14" s="3">
        <f t="shared" si="36"/>
        <v>13.440291965295783</v>
      </c>
      <c r="AQ14">
        <f t="shared" si="37"/>
        <v>23.862136995118703</v>
      </c>
      <c r="AR14" s="26"/>
      <c r="AS14" s="25"/>
      <c r="AT14">
        <f t="shared" si="10"/>
        <v>0.1431426896875504</v>
      </c>
      <c r="AU14">
        <f t="shared" si="11"/>
        <v>0.13169127451254636</v>
      </c>
      <c r="AV14">
        <f t="shared" si="12"/>
        <v>0.1431426896875504</v>
      </c>
      <c r="AW14">
        <f t="shared" si="38"/>
        <v>1.1451415175004032E-2</v>
      </c>
      <c r="AX14">
        <f t="shared" si="39"/>
        <v>0</v>
      </c>
      <c r="AY14">
        <f t="shared" si="13"/>
        <v>0.10539832349982134</v>
      </c>
      <c r="AZ14">
        <f t="shared" si="14"/>
        <v>-3.9351676500178651E-2</v>
      </c>
      <c r="BA14">
        <f t="shared" si="40"/>
        <v>0.14474999999999999</v>
      </c>
      <c r="BB14">
        <f t="shared" si="15"/>
        <v>2.6292951012725024E-2</v>
      </c>
      <c r="BC14">
        <f t="shared" si="16"/>
        <v>1.7699691787305383</v>
      </c>
      <c r="BD14">
        <f t="shared" si="41"/>
        <v>1.4165842404902944</v>
      </c>
      <c r="BE14">
        <f t="shared" si="17"/>
        <v>1.9454822619765644</v>
      </c>
      <c r="BF14" s="25"/>
      <c r="BG14">
        <f t="shared" ref="BG14:BG19" si="48">(COS((135-K14)/150*3.14159/2*F$28)*19.3+19.3)/38.6*19.3</f>
        <v>19.3</v>
      </c>
      <c r="BJ14" s="25"/>
      <c r="BK14">
        <v>0.59525704281394232</v>
      </c>
      <c r="BL14">
        <f t="shared" si="18"/>
        <v>0.44093114282514245</v>
      </c>
      <c r="BM14" s="25"/>
      <c r="BN14">
        <f t="shared" si="19"/>
        <v>897.6</v>
      </c>
      <c r="BO14" s="25"/>
      <c r="BP14" s="28"/>
      <c r="BQ14">
        <f t="shared" si="20"/>
        <v>0.13169127451254636</v>
      </c>
      <c r="BR14">
        <f t="shared" si="21"/>
        <v>0.10539832349982134</v>
      </c>
      <c r="BS14">
        <f t="shared" si="22"/>
        <v>-3.9351676500178651E-2</v>
      </c>
      <c r="BT14" s="28"/>
      <c r="BU14">
        <f t="shared" si="42"/>
        <v>0.1431426896875504</v>
      </c>
      <c r="BV14">
        <f t="shared" si="23"/>
        <v>0.1431426896875504</v>
      </c>
      <c r="BW14">
        <f t="shared" si="24"/>
        <v>0.13169127451254636</v>
      </c>
      <c r="BX14" s="28"/>
      <c r="BY14">
        <f t="shared" si="25"/>
        <v>0.13169127451254636</v>
      </c>
      <c r="BZ14">
        <f t="shared" si="26"/>
        <v>0.10539832349982134</v>
      </c>
      <c r="CA14">
        <f t="shared" si="27"/>
        <v>0.14474999999999999</v>
      </c>
      <c r="CB14" s="28"/>
      <c r="CC14">
        <f t="shared" si="28"/>
        <v>1.7699691787305383</v>
      </c>
      <c r="CD14">
        <f t="shared" si="29"/>
        <v>1.4165842404902944</v>
      </c>
      <c r="CE14">
        <f t="shared" si="30"/>
        <v>1.9454822619765644</v>
      </c>
      <c r="CF14" s="28"/>
      <c r="CG14" s="25"/>
      <c r="CH14">
        <f t="shared" si="31"/>
        <v>0.10080218973971836</v>
      </c>
      <c r="CI14" s="25"/>
      <c r="CJ14">
        <f t="shared" si="32"/>
        <v>0.1328702067917511</v>
      </c>
      <c r="CK14">
        <f t="shared" si="33"/>
        <v>2.7881151329407546E-2</v>
      </c>
      <c r="CL14">
        <f t="shared" si="34"/>
        <v>0.142875</v>
      </c>
      <c r="CM14">
        <f t="shared" si="43"/>
        <v>-3.7885944537656452E-2</v>
      </c>
      <c r="CN14">
        <f t="shared" si="44"/>
        <v>17.069288382905221</v>
      </c>
      <c r="CO14">
        <f t="shared" si="45"/>
        <v>20.181915117304214</v>
      </c>
      <c r="CP14" s="25"/>
      <c r="CQ14">
        <f t="shared" si="46"/>
        <v>0.10080218973971836</v>
      </c>
      <c r="CR14" s="25"/>
    </row>
    <row r="15" spans="1:96">
      <c r="A15" s="17"/>
      <c r="B15" s="6" t="s">
        <v>64</v>
      </c>
      <c r="C15" s="13" t="s">
        <v>102</v>
      </c>
      <c r="D15" s="8">
        <v>0.69</v>
      </c>
      <c r="E15" s="6" t="s">
        <v>101</v>
      </c>
      <c r="F15" s="6">
        <v>0.69</v>
      </c>
      <c r="G15" s="6" t="s">
        <v>65</v>
      </c>
      <c r="H15" s="17"/>
      <c r="I15" s="16"/>
      <c r="J15" s="15" t="s">
        <v>11</v>
      </c>
      <c r="K15" s="6">
        <f t="shared" si="47"/>
        <v>150</v>
      </c>
      <c r="L15" s="16"/>
      <c r="O15" s="16"/>
      <c r="P15">
        <v>0.32100000000000001</v>
      </c>
      <c r="Q15">
        <v>0.17</v>
      </c>
      <c r="R15">
        <f t="shared" si="0"/>
        <v>31.564564794246181</v>
      </c>
      <c r="S15">
        <v>15</v>
      </c>
      <c r="T15">
        <v>7.6</v>
      </c>
      <c r="U15">
        <v>18.8</v>
      </c>
      <c r="V15">
        <v>0.9</v>
      </c>
      <c r="W15">
        <f t="shared" si="35"/>
        <v>1</v>
      </c>
      <c r="X15" s="16"/>
      <c r="Y15" s="1">
        <f t="shared" si="1"/>
        <v>0.9</v>
      </c>
      <c r="Z15" s="1">
        <f t="shared" si="2"/>
        <v>31.564564794246181</v>
      </c>
      <c r="AA15" s="1">
        <f t="shared" si="3"/>
        <v>1</v>
      </c>
      <c r="AB15">
        <f t="shared" si="4"/>
        <v>18.8</v>
      </c>
      <c r="AC15" s="16"/>
      <c r="AD15" s="26"/>
      <c r="AE15">
        <v>0.13400000000000001</v>
      </c>
      <c r="AF15">
        <v>0.03</v>
      </c>
      <c r="AG15">
        <v>0.14099999999999999</v>
      </c>
      <c r="AH15">
        <v>-3.6999999999999998E-2</v>
      </c>
      <c r="AI15" s="3">
        <v>8.1999999999999993</v>
      </c>
      <c r="AJ15" s="26"/>
      <c r="AK15">
        <f t="shared" si="5"/>
        <v>0.13396910422028277</v>
      </c>
      <c r="AL15">
        <f t="shared" si="6"/>
        <v>2.9565285352606663E-2</v>
      </c>
      <c r="AM15">
        <f t="shared" si="7"/>
        <v>0.14099999999999999</v>
      </c>
      <c r="AN15">
        <f t="shared" si="8"/>
        <v>-3.6596181132323879E-2</v>
      </c>
      <c r="AO15">
        <f t="shared" si="9"/>
        <v>-0.28408066678320093</v>
      </c>
      <c r="AP15" s="3">
        <f t="shared" si="36"/>
        <v>7.7625768042853061</v>
      </c>
      <c r="AQ15">
        <f t="shared" si="37"/>
        <v>13.223794613795853</v>
      </c>
      <c r="AR15" s="26"/>
      <c r="AS15" s="25"/>
      <c r="AT15">
        <f t="shared" si="10"/>
        <v>0.14885456024475863</v>
      </c>
      <c r="AU15">
        <f t="shared" si="11"/>
        <v>0.13396910422028277</v>
      </c>
      <c r="AV15">
        <f t="shared" si="12"/>
        <v>0.14885456024475863</v>
      </c>
      <c r="AW15">
        <f t="shared" si="38"/>
        <v>1.4885456024475857E-2</v>
      </c>
      <c r="AX15">
        <f t="shared" si="39"/>
        <v>0</v>
      </c>
      <c r="AY15">
        <f t="shared" si="13"/>
        <v>0.10440381886767611</v>
      </c>
      <c r="AZ15">
        <f t="shared" si="14"/>
        <v>-3.6596181132323879E-2</v>
      </c>
      <c r="BA15">
        <f t="shared" si="40"/>
        <v>0.14099999999999999</v>
      </c>
      <c r="BB15">
        <f t="shared" si="15"/>
        <v>2.9565285352606663E-2</v>
      </c>
      <c r="BC15">
        <f t="shared" si="16"/>
        <v>1.0399454609112477</v>
      </c>
      <c r="BD15">
        <f t="shared" si="41"/>
        <v>0.81044266262102715</v>
      </c>
      <c r="BE15">
        <f t="shared" si="17"/>
        <v>1.094523329404228</v>
      </c>
      <c r="BF15" s="25"/>
      <c r="BG15">
        <f t="shared" si="48"/>
        <v>18.565438713662026</v>
      </c>
      <c r="BJ15" s="25"/>
      <c r="BK15">
        <v>0.52098254549312961</v>
      </c>
      <c r="BL15">
        <f t="shared" si="18"/>
        <v>0.38591299666157741</v>
      </c>
      <c r="BM15" s="25"/>
      <c r="BN15">
        <f t="shared" si="19"/>
        <v>941.6</v>
      </c>
      <c r="BO15" s="25"/>
      <c r="BP15" s="28"/>
      <c r="BQ15">
        <f t="shared" si="20"/>
        <v>0.13396910422028277</v>
      </c>
      <c r="BR15">
        <f t="shared" si="21"/>
        <v>0.10440381886767611</v>
      </c>
      <c r="BS15">
        <f t="shared" si="22"/>
        <v>-3.6596181132323879E-2</v>
      </c>
      <c r="BT15" s="28"/>
      <c r="BU15">
        <f t="shared" si="42"/>
        <v>0.14885456024475863</v>
      </c>
      <c r="BV15">
        <f t="shared" si="23"/>
        <v>0.14885456024475863</v>
      </c>
      <c r="BW15">
        <f t="shared" si="24"/>
        <v>0.13396910422028277</v>
      </c>
      <c r="BX15" s="28"/>
      <c r="BY15">
        <f t="shared" si="25"/>
        <v>0.13396910422028277</v>
      </c>
      <c r="BZ15">
        <f t="shared" si="26"/>
        <v>0.10440381886767611</v>
      </c>
      <c r="CA15">
        <f t="shared" si="27"/>
        <v>0.14099999999999999</v>
      </c>
      <c r="CB15" s="28"/>
      <c r="CC15">
        <f t="shared" si="28"/>
        <v>1.0399454609112477</v>
      </c>
      <c r="CD15">
        <f t="shared" si="29"/>
        <v>0.81044266262102715</v>
      </c>
      <c r="CE15">
        <f t="shared" si="30"/>
        <v>1.094523329404228</v>
      </c>
      <c r="CF15" s="28"/>
      <c r="CG15" s="25"/>
      <c r="CH15">
        <f t="shared" si="31"/>
        <v>5.8219326032139786E-2</v>
      </c>
      <c r="CI15" s="25"/>
      <c r="CJ15">
        <f t="shared" si="32"/>
        <v>0.13383212994719476</v>
      </c>
      <c r="CK15">
        <f t="shared" si="33"/>
        <v>3.1786792741754069E-2</v>
      </c>
      <c r="CL15">
        <f t="shared" si="34"/>
        <v>0.12299999999999998</v>
      </c>
      <c r="CM15">
        <f t="shared" si="43"/>
        <v>-2.0954662794559292E-2</v>
      </c>
      <c r="CN15">
        <f t="shared" si="44"/>
        <v>9.6696457966635236</v>
      </c>
      <c r="CO15">
        <f t="shared" si="45"/>
        <v>11.307935709192584</v>
      </c>
      <c r="CP15" s="25"/>
      <c r="CQ15">
        <f t="shared" si="46"/>
        <v>5.8219326032139786E-2</v>
      </c>
      <c r="CR15" s="25"/>
    </row>
    <row r="16" spans="1:96">
      <c r="A16" s="17"/>
      <c r="B16" s="6" t="s">
        <v>47</v>
      </c>
      <c r="C16" s="13" t="s">
        <v>103</v>
      </c>
      <c r="D16" s="8">
        <v>3.3769999999999998</v>
      </c>
      <c r="E16" s="6" t="s">
        <v>104</v>
      </c>
      <c r="F16" s="6">
        <v>3.3769999999999998</v>
      </c>
      <c r="G16" s="6"/>
      <c r="H16" s="17"/>
      <c r="I16" s="16"/>
      <c r="J16" s="15" t="s">
        <v>12</v>
      </c>
      <c r="K16" s="6">
        <f t="shared" si="47"/>
        <v>165</v>
      </c>
      <c r="L16" s="16"/>
      <c r="O16" s="16"/>
      <c r="P16">
        <v>0.32900000000000001</v>
      </c>
      <c r="Q16">
        <v>0.17</v>
      </c>
      <c r="R16">
        <f t="shared" si="0"/>
        <v>31.709368486218864</v>
      </c>
      <c r="S16">
        <v>11</v>
      </c>
      <c r="T16">
        <v>9.6999999999999993</v>
      </c>
      <c r="U16">
        <v>14</v>
      </c>
      <c r="V16">
        <v>0.88</v>
      </c>
      <c r="W16">
        <f t="shared" si="35"/>
        <v>1</v>
      </c>
      <c r="X16" s="16"/>
      <c r="Y16" s="1">
        <f t="shared" si="1"/>
        <v>0.88</v>
      </c>
      <c r="Z16" s="1">
        <f t="shared" si="2"/>
        <v>31.709368486218864</v>
      </c>
      <c r="AA16" s="1">
        <f t="shared" si="3"/>
        <v>1</v>
      </c>
      <c r="AB16">
        <f t="shared" si="4"/>
        <v>14</v>
      </c>
      <c r="AC16" s="16"/>
      <c r="AD16" s="26"/>
      <c r="AE16">
        <v>0.13400000000000001</v>
      </c>
      <c r="AF16">
        <v>3.5000000000000003E-2</v>
      </c>
      <c r="AG16">
        <v>0.105</v>
      </c>
      <c r="AH16">
        <v>-6.0000000000000001E-3</v>
      </c>
      <c r="AI16" s="3">
        <v>7.5</v>
      </c>
      <c r="AJ16" s="26"/>
      <c r="AK16">
        <f t="shared" si="5"/>
        <v>0.1336587733041614</v>
      </c>
      <c r="AL16">
        <f t="shared" si="6"/>
        <v>3.417522208078895E-2</v>
      </c>
      <c r="AM16">
        <f t="shared" si="7"/>
        <v>0.105</v>
      </c>
      <c r="AN16">
        <f t="shared" si="8"/>
        <v>-5.5164487766275472E-3</v>
      </c>
      <c r="AO16">
        <f t="shared" si="9"/>
        <v>-3.9421128366330806E-2</v>
      </c>
      <c r="AP16" s="3">
        <f t="shared" si="36"/>
        <v>7.1461061205449479</v>
      </c>
      <c r="AQ16">
        <f t="shared" si="37"/>
        <v>7.6375365653320166</v>
      </c>
      <c r="AR16" s="26"/>
      <c r="AS16" s="25"/>
      <c r="AT16">
        <f t="shared" si="10"/>
        <v>0.15188496966381976</v>
      </c>
      <c r="AU16">
        <f t="shared" si="11"/>
        <v>0.1336587733041614</v>
      </c>
      <c r="AV16">
        <f t="shared" si="12"/>
        <v>0.15188496966381976</v>
      </c>
      <c r="AW16">
        <f t="shared" si="38"/>
        <v>1.8226196359658359E-2</v>
      </c>
      <c r="AX16">
        <f t="shared" si="39"/>
        <v>0</v>
      </c>
      <c r="AY16">
        <f t="shared" si="13"/>
        <v>9.9483551223372449E-2</v>
      </c>
      <c r="AZ16">
        <f t="shared" si="14"/>
        <v>-5.5164487766275472E-3</v>
      </c>
      <c r="BA16">
        <f t="shared" si="40"/>
        <v>0.105</v>
      </c>
      <c r="BB16">
        <f t="shared" si="15"/>
        <v>3.417522208078895E-2</v>
      </c>
      <c r="BC16">
        <f t="shared" si="16"/>
        <v>0.95513977797339744</v>
      </c>
      <c r="BD16">
        <f t="shared" si="41"/>
        <v>0.71092001429088869</v>
      </c>
      <c r="BE16">
        <f t="shared" si="17"/>
        <v>0.75034114265721952</v>
      </c>
      <c r="BF16" s="25"/>
      <c r="BG16">
        <f t="shared" si="48"/>
        <v>16.473584965194533</v>
      </c>
      <c r="BJ16" s="25"/>
      <c r="BK16">
        <v>0.45731869064671871</v>
      </c>
      <c r="BL16">
        <f t="shared" si="18"/>
        <v>0.33875458566423611</v>
      </c>
      <c r="BM16" s="25"/>
      <c r="BN16">
        <f t="shared" si="19"/>
        <v>965.06666666666683</v>
      </c>
      <c r="BO16" s="25"/>
      <c r="BP16" s="28"/>
      <c r="BQ16">
        <f t="shared" si="20"/>
        <v>0.1336587733041614</v>
      </c>
      <c r="BR16">
        <f t="shared" si="21"/>
        <v>9.9483551223372449E-2</v>
      </c>
      <c r="BS16">
        <f t="shared" si="22"/>
        <v>-5.5164487766275472E-3</v>
      </c>
      <c r="BT16" s="28"/>
      <c r="BU16">
        <f t="shared" si="42"/>
        <v>0.15188496966381976</v>
      </c>
      <c r="BV16">
        <f t="shared" si="23"/>
        <v>0.15188496966381976</v>
      </c>
      <c r="BW16">
        <f t="shared" si="24"/>
        <v>0.1336587733041614</v>
      </c>
      <c r="BX16" s="28"/>
      <c r="BY16">
        <f t="shared" si="25"/>
        <v>0.1336587733041614</v>
      </c>
      <c r="BZ16">
        <f t="shared" si="26"/>
        <v>9.9483551223372449E-2</v>
      </c>
      <c r="CA16">
        <f t="shared" si="27"/>
        <v>0.105</v>
      </c>
      <c r="CB16" s="28"/>
      <c r="CC16">
        <f t="shared" si="28"/>
        <v>0.95513977797339744</v>
      </c>
      <c r="CD16">
        <f t="shared" si="29"/>
        <v>0.71092001429088869</v>
      </c>
      <c r="CE16">
        <f t="shared" si="30"/>
        <v>0.75034114265721952</v>
      </c>
      <c r="CF16" s="28"/>
      <c r="CG16" s="25"/>
      <c r="CH16">
        <f t="shared" si="31"/>
        <v>5.3595795904087105E-2</v>
      </c>
      <c r="CI16" s="25"/>
      <c r="CJ16">
        <f t="shared" si="32"/>
        <v>0.12749615030036232</v>
      </c>
      <c r="CK16">
        <f t="shared" si="33"/>
        <v>3.6743115726081736E-2</v>
      </c>
      <c r="CL16">
        <f t="shared" si="34"/>
        <v>7.8374999999999986E-2</v>
      </c>
      <c r="CM16">
        <f t="shared" si="43"/>
        <v>1.2378034574280591E-2</v>
      </c>
      <c r="CN16">
        <f t="shared" si="44"/>
        <v>7.0616005865246896</v>
      </c>
      <c r="CO16">
        <f t="shared" si="45"/>
        <v>7.3439248831501764</v>
      </c>
      <c r="CP16" s="25"/>
      <c r="CQ16">
        <f t="shared" si="46"/>
        <v>5.3595795904087105E-2</v>
      </c>
      <c r="CR16" s="25"/>
    </row>
    <row r="17" spans="1:96">
      <c r="A17" s="17"/>
      <c r="B17" s="6" t="s">
        <v>62</v>
      </c>
      <c r="C17" s="13" t="s">
        <v>111</v>
      </c>
      <c r="D17" s="8">
        <v>1.5E-3</v>
      </c>
      <c r="E17" s="6" t="s">
        <v>95</v>
      </c>
      <c r="F17" s="6">
        <v>1.5E-3</v>
      </c>
      <c r="G17" s="6"/>
      <c r="H17" s="17"/>
      <c r="I17" s="16"/>
      <c r="J17" s="15" t="s">
        <v>13</v>
      </c>
      <c r="K17" s="6">
        <f t="shared" si="47"/>
        <v>180</v>
      </c>
      <c r="L17" s="16"/>
      <c r="O17" s="16"/>
      <c r="P17">
        <v>0.31900000000000001</v>
      </c>
      <c r="Q17">
        <v>0.17</v>
      </c>
      <c r="R17">
        <f t="shared" si="0"/>
        <v>31.527799968686349</v>
      </c>
      <c r="S17">
        <v>10</v>
      </c>
      <c r="T17">
        <v>11.8</v>
      </c>
      <c r="U17">
        <v>6.9</v>
      </c>
      <c r="V17">
        <v>0.82</v>
      </c>
      <c r="W17">
        <f t="shared" si="35"/>
        <v>1</v>
      </c>
      <c r="X17" s="16"/>
      <c r="Y17" s="1">
        <f t="shared" si="1"/>
        <v>0.82</v>
      </c>
      <c r="Z17" s="1">
        <f t="shared" si="2"/>
        <v>31.527799968686349</v>
      </c>
      <c r="AA17" s="1">
        <f t="shared" si="3"/>
        <v>1</v>
      </c>
      <c r="AB17">
        <f t="shared" si="4"/>
        <v>6.9</v>
      </c>
      <c r="AC17" s="16"/>
      <c r="AD17" s="26"/>
      <c r="AE17">
        <v>0.122</v>
      </c>
      <c r="AF17">
        <v>3.7999999999999999E-2</v>
      </c>
      <c r="AG17">
        <v>5.1999999999999998E-2</v>
      </c>
      <c r="AH17">
        <v>3.2000000000000001E-2</v>
      </c>
      <c r="AI17" s="3">
        <v>12.1</v>
      </c>
      <c r="AJ17" s="26"/>
      <c r="AK17">
        <f t="shared" si="5"/>
        <v>0.12143811094941309</v>
      </c>
      <c r="AL17">
        <f t="shared" si="6"/>
        <v>3.9503958454717623E-2</v>
      </c>
      <c r="AM17">
        <f t="shared" si="7"/>
        <v>5.1749999999999997E-2</v>
      </c>
      <c r="AN17">
        <f t="shared" si="8"/>
        <v>3.0184152494695464E-2</v>
      </c>
      <c r="AO17">
        <f t="shared" si="9"/>
        <v>0.33921934450172736</v>
      </c>
      <c r="AP17" s="3">
        <f t="shared" si="36"/>
        <v>11.238325958011956</v>
      </c>
      <c r="AQ17">
        <f t="shared" si="37"/>
        <v>7.0309960431277148</v>
      </c>
      <c r="AR17" s="26"/>
      <c r="AS17" s="25"/>
      <c r="AT17">
        <f t="shared" si="10"/>
        <v>0.14809525725538181</v>
      </c>
      <c r="AU17">
        <f t="shared" si="11"/>
        <v>0.12143811094941308</v>
      </c>
      <c r="AV17">
        <f t="shared" si="12"/>
        <v>0.14809525725538181</v>
      </c>
      <c r="AW17">
        <f t="shared" si="38"/>
        <v>2.6657146305968729E-2</v>
      </c>
      <c r="AX17">
        <f t="shared" si="39"/>
        <v>0</v>
      </c>
      <c r="AY17">
        <f t="shared" si="13"/>
        <v>8.1934152494695461E-2</v>
      </c>
      <c r="AZ17">
        <f t="shared" si="14"/>
        <v>3.0184152494695464E-2</v>
      </c>
      <c r="BA17">
        <f t="shared" si="40"/>
        <v>5.1749999999999997E-2</v>
      </c>
      <c r="BB17">
        <f t="shared" si="15"/>
        <v>3.950395845471763E-2</v>
      </c>
      <c r="BC17">
        <f t="shared" si="16"/>
        <v>1.364761074574725</v>
      </c>
      <c r="BD17">
        <f t="shared" si="41"/>
        <v>0.92080271282884607</v>
      </c>
      <c r="BE17">
        <f t="shared" si="17"/>
        <v>0.58158336832711865</v>
      </c>
      <c r="BF17" s="25"/>
      <c r="BG17">
        <f t="shared" si="48"/>
        <v>13.342903994039011</v>
      </c>
      <c r="BJ17" s="25"/>
      <c r="BK17">
        <v>0.39365483580030775</v>
      </c>
      <c r="BL17">
        <f t="shared" si="18"/>
        <v>0.29159617466689469</v>
      </c>
      <c r="BM17" s="25"/>
      <c r="BN17">
        <f t="shared" si="19"/>
        <v>935.73333333333346</v>
      </c>
      <c r="BO17" s="25"/>
      <c r="BP17" s="28"/>
      <c r="BQ17">
        <f t="shared" si="20"/>
        <v>0.12143811094941309</v>
      </c>
      <c r="BR17">
        <f t="shared" si="21"/>
        <v>8.1934152494695461E-2</v>
      </c>
      <c r="BS17">
        <f t="shared" si="22"/>
        <v>3.0184152494695464E-2</v>
      </c>
      <c r="BT17" s="28"/>
      <c r="BU17">
        <f t="shared" si="42"/>
        <v>0.14809525725538181</v>
      </c>
      <c r="BV17">
        <f t="shared" si="23"/>
        <v>0.14809525725538181</v>
      </c>
      <c r="BW17">
        <f t="shared" si="24"/>
        <v>0.12143811094941308</v>
      </c>
      <c r="BX17" s="28"/>
      <c r="BY17">
        <f t="shared" si="25"/>
        <v>0.12143811094941309</v>
      </c>
      <c r="BZ17">
        <f t="shared" si="26"/>
        <v>8.1934152494695461E-2</v>
      </c>
      <c r="CA17">
        <f t="shared" si="27"/>
        <v>5.1749999999999997E-2</v>
      </c>
      <c r="CB17" s="28"/>
      <c r="CC17">
        <f t="shared" si="28"/>
        <v>1.364761074574725</v>
      </c>
      <c r="CD17">
        <f t="shared" si="29"/>
        <v>0.92080271282884607</v>
      </c>
      <c r="CE17">
        <f t="shared" si="30"/>
        <v>0.58158336832711865</v>
      </c>
      <c r="CF17" s="28"/>
      <c r="CG17" s="25"/>
      <c r="CH17">
        <f t="shared" si="31"/>
        <v>8.4287444685089655E-2</v>
      </c>
      <c r="CI17" s="25"/>
      <c r="CJ17">
        <f t="shared" si="32"/>
        <v>0.11444758530605692</v>
      </c>
      <c r="CK17">
        <f t="shared" si="33"/>
        <v>4.2472248277091694E-2</v>
      </c>
      <c r="CL17">
        <f t="shared" si="34"/>
        <v>4.9125000000000002E-2</v>
      </c>
      <c r="CM17">
        <f t="shared" si="43"/>
        <v>2.2850337028965217E-2</v>
      </c>
      <c r="CN17">
        <f t="shared" si="44"/>
        <v>8.5023471136470619</v>
      </c>
      <c r="CO17">
        <f t="shared" si="45"/>
        <v>7.7317507017072682</v>
      </c>
      <c r="CP17" s="25"/>
      <c r="CQ17">
        <f t="shared" si="46"/>
        <v>8.4287444685089655E-2</v>
      </c>
      <c r="CR17" s="25"/>
    </row>
    <row r="18" spans="1:96">
      <c r="A18" s="17"/>
      <c r="H18" s="17"/>
      <c r="I18" s="16"/>
      <c r="J18" s="15" t="s">
        <v>14</v>
      </c>
      <c r="K18" s="6">
        <f t="shared" si="47"/>
        <v>195</v>
      </c>
      <c r="L18" s="16"/>
      <c r="O18" s="16"/>
      <c r="P18">
        <v>0.30199999999999999</v>
      </c>
      <c r="Q18">
        <v>0.17</v>
      </c>
      <c r="R18">
        <f t="shared" si="0"/>
        <v>31.205658289804145</v>
      </c>
      <c r="S18">
        <v>9</v>
      </c>
      <c r="T18">
        <v>13.9</v>
      </c>
      <c r="U18">
        <v>6.2</v>
      </c>
      <c r="V18">
        <v>0.76</v>
      </c>
      <c r="W18">
        <f t="shared" si="35"/>
        <v>1</v>
      </c>
      <c r="X18" s="16"/>
      <c r="Y18" s="1">
        <f t="shared" si="1"/>
        <v>0.76</v>
      </c>
      <c r="Z18" s="1">
        <f t="shared" si="2"/>
        <v>31.205658289804145</v>
      </c>
      <c r="AA18" s="1">
        <f t="shared" si="3"/>
        <v>1</v>
      </c>
      <c r="AB18">
        <f t="shared" si="4"/>
        <v>6.2</v>
      </c>
      <c r="AC18" s="16"/>
      <c r="AD18" s="26"/>
      <c r="AE18">
        <v>0.108</v>
      </c>
      <c r="AF18">
        <v>4.4999999999999998E-2</v>
      </c>
      <c r="AG18">
        <v>4.7E-2</v>
      </c>
      <c r="AH18">
        <v>1.6E-2</v>
      </c>
      <c r="AI18" s="3">
        <v>15.4</v>
      </c>
      <c r="AJ18" s="26"/>
      <c r="AK18">
        <f t="shared" si="5"/>
        <v>0.10762565495572454</v>
      </c>
      <c r="AL18">
        <f t="shared" si="6"/>
        <v>4.5663572570295033E-2</v>
      </c>
      <c r="AM18">
        <f t="shared" si="7"/>
        <v>4.65E-2</v>
      </c>
      <c r="AN18">
        <f t="shared" si="8"/>
        <v>1.546208238542951E-2</v>
      </c>
      <c r="AO18">
        <f t="shared" si="9"/>
        <v>0.21912708584534768</v>
      </c>
      <c r="AP18" s="3">
        <f t="shared" si="36"/>
        <v>14.171900031514463</v>
      </c>
      <c r="AQ18">
        <f t="shared" si="37"/>
        <v>11.057298059846877</v>
      </c>
      <c r="AR18" s="26"/>
      <c r="AS18" s="25"/>
      <c r="AT18">
        <f t="shared" si="10"/>
        <v>0.14161270388911124</v>
      </c>
      <c r="AU18">
        <f t="shared" si="11"/>
        <v>0.10762565495572454</v>
      </c>
      <c r="AV18">
        <f t="shared" si="12"/>
        <v>0.14161270388911124</v>
      </c>
      <c r="AW18">
        <f t="shared" si="38"/>
        <v>3.3987048933386693E-2</v>
      </c>
      <c r="AX18">
        <f t="shared" si="39"/>
        <v>0</v>
      </c>
      <c r="AY18">
        <f t="shared" si="13"/>
        <v>6.1962082385429509E-2</v>
      </c>
      <c r="AZ18">
        <f t="shared" si="14"/>
        <v>1.546208238542951E-2</v>
      </c>
      <c r="BA18">
        <f t="shared" si="40"/>
        <v>4.65E-2</v>
      </c>
      <c r="BB18">
        <f t="shared" si="15"/>
        <v>4.5663572570295033E-2</v>
      </c>
      <c r="BC18">
        <f t="shared" si="16"/>
        <v>1.5252600228587974</v>
      </c>
      <c r="BD18">
        <f t="shared" si="41"/>
        <v>0.87812043731077016</v>
      </c>
      <c r="BE18">
        <f t="shared" si="17"/>
        <v>0.65899335146542248</v>
      </c>
      <c r="BF18" s="25"/>
      <c r="BG18">
        <f t="shared" si="48"/>
        <v>9.6500128035707498</v>
      </c>
      <c r="BJ18" s="25"/>
      <c r="BK18">
        <v>0.32999098095389678</v>
      </c>
      <c r="BL18">
        <f t="shared" si="18"/>
        <v>0.24443776366955317</v>
      </c>
      <c r="BM18" s="25"/>
      <c r="BN18">
        <f t="shared" si="19"/>
        <v>885.86666666666667</v>
      </c>
      <c r="BO18" s="25"/>
      <c r="BP18" s="28"/>
      <c r="BQ18">
        <f t="shared" si="20"/>
        <v>0.10762565495572454</v>
      </c>
      <c r="BR18">
        <f t="shared" si="21"/>
        <v>6.1962082385429509E-2</v>
      </c>
      <c r="BS18">
        <f t="shared" si="22"/>
        <v>1.546208238542951E-2</v>
      </c>
      <c r="BT18" s="28"/>
      <c r="BU18">
        <f t="shared" si="42"/>
        <v>0.14161270388911124</v>
      </c>
      <c r="BV18">
        <f t="shared" si="23"/>
        <v>0.14161270388911124</v>
      </c>
      <c r="BW18">
        <f t="shared" si="24"/>
        <v>0.10762565495572454</v>
      </c>
      <c r="BX18" s="28"/>
      <c r="BY18">
        <f t="shared" si="25"/>
        <v>0.10762565495572454</v>
      </c>
      <c r="BZ18">
        <f t="shared" si="26"/>
        <v>6.1962082385429509E-2</v>
      </c>
      <c r="CA18">
        <f t="shared" si="27"/>
        <v>4.65E-2</v>
      </c>
      <c r="CB18" s="28"/>
      <c r="CC18">
        <f t="shared" si="28"/>
        <v>1.5252600228587974</v>
      </c>
      <c r="CD18">
        <f t="shared" si="29"/>
        <v>0.87812043731077016</v>
      </c>
      <c r="CE18">
        <f t="shared" si="30"/>
        <v>0.65899335146542248</v>
      </c>
      <c r="CF18" s="28"/>
      <c r="CG18" s="25"/>
      <c r="CH18">
        <f t="shared" si="31"/>
        <v>0.10628925023635846</v>
      </c>
      <c r="CI18" s="25"/>
      <c r="CJ18">
        <f t="shared" si="32"/>
        <v>0.10016099000927585</v>
      </c>
      <c r="CK18">
        <f t="shared" si="33"/>
        <v>4.8255069080477608E-2</v>
      </c>
      <c r="CL18">
        <f t="shared" si="34"/>
        <v>4.5749999999999999E-2</v>
      </c>
      <c r="CM18">
        <f t="shared" si="43"/>
        <v>6.1559209287982419E-3</v>
      </c>
      <c r="CN18">
        <f t="shared" si="44"/>
        <v>11.978307574896711</v>
      </c>
      <c r="CO18">
        <f t="shared" si="45"/>
        <v>11.508593185448625</v>
      </c>
      <c r="CP18" s="25"/>
      <c r="CQ18">
        <f t="shared" si="46"/>
        <v>0.10628925023635846</v>
      </c>
      <c r="CR18" s="25"/>
    </row>
    <row r="19" spans="1:96">
      <c r="A19" s="17"/>
      <c r="C19" s="14" t="s">
        <v>105</v>
      </c>
      <c r="D19">
        <v>15</v>
      </c>
      <c r="E19" s="7" t="s">
        <v>97</v>
      </c>
      <c r="H19" s="17"/>
      <c r="I19" s="16"/>
      <c r="J19" s="15" t="s">
        <v>15</v>
      </c>
      <c r="K19" s="6">
        <f t="shared" si="47"/>
        <v>210</v>
      </c>
      <c r="L19" s="16"/>
      <c r="O19" s="16"/>
      <c r="P19">
        <v>0.28399999999999997</v>
      </c>
      <c r="Q19">
        <v>0.16500000000000001</v>
      </c>
      <c r="R19">
        <f t="shared" si="0"/>
        <v>31.778843212442673</v>
      </c>
      <c r="S19">
        <v>9</v>
      </c>
      <c r="T19">
        <v>15.5</v>
      </c>
      <c r="U19">
        <v>6</v>
      </c>
      <c r="V19">
        <v>0.69</v>
      </c>
      <c r="W19">
        <f t="shared" si="35"/>
        <v>1</v>
      </c>
      <c r="X19" s="16"/>
      <c r="Y19" s="1">
        <f t="shared" si="1"/>
        <v>0.69</v>
      </c>
      <c r="Z19" s="1">
        <f t="shared" si="2"/>
        <v>31.778843212442673</v>
      </c>
      <c r="AA19" s="1">
        <f t="shared" si="3"/>
        <v>1</v>
      </c>
      <c r="AB19">
        <f t="shared" si="4"/>
        <v>6</v>
      </c>
      <c r="AC19" s="16"/>
      <c r="AD19" s="26"/>
      <c r="AE19">
        <v>9.2999999999999999E-2</v>
      </c>
      <c r="AF19">
        <v>5.0999999999999997E-2</v>
      </c>
      <c r="AG19">
        <v>4.4999999999999998E-2</v>
      </c>
      <c r="AH19">
        <v>-3.0000000000000001E-3</v>
      </c>
      <c r="AI19" s="3">
        <v>14.8</v>
      </c>
      <c r="AJ19" s="26"/>
      <c r="AK19">
        <f t="shared" si="5"/>
        <v>9.2936330978615173E-2</v>
      </c>
      <c r="AL19">
        <f t="shared" si="6"/>
        <v>5.0993638055302534E-2</v>
      </c>
      <c r="AM19">
        <f t="shared" si="7"/>
        <v>4.4999999999999998E-2</v>
      </c>
      <c r="AN19">
        <f t="shared" si="8"/>
        <v>-3.05730707668736E-3</v>
      </c>
      <c r="AO19">
        <f t="shared" si="9"/>
        <v>-4.1385725019841765E-2</v>
      </c>
      <c r="AP19" s="3">
        <f t="shared" si="36"/>
        <v>13.536659544413132</v>
      </c>
      <c r="AQ19">
        <f t="shared" si="37"/>
        <v>13.943617875853933</v>
      </c>
      <c r="AR19" s="26"/>
      <c r="AS19" s="25"/>
      <c r="AT19">
        <f t="shared" si="10"/>
        <v>0.13469033475161618</v>
      </c>
      <c r="AU19">
        <f t="shared" si="11"/>
        <v>9.2936330978615159E-2</v>
      </c>
      <c r="AV19">
        <f t="shared" si="12"/>
        <v>0.13469033475161618</v>
      </c>
      <c r="AW19">
        <f t="shared" si="38"/>
        <v>4.1754003773001022E-2</v>
      </c>
      <c r="AX19">
        <f t="shared" si="39"/>
        <v>0</v>
      </c>
      <c r="AY19">
        <f t="shared" si="13"/>
        <v>4.1942692923312638E-2</v>
      </c>
      <c r="AZ19">
        <f t="shared" si="14"/>
        <v>-3.05730707668736E-3</v>
      </c>
      <c r="BA19">
        <f t="shared" si="40"/>
        <v>4.4999999999999998E-2</v>
      </c>
      <c r="BB19">
        <f t="shared" si="15"/>
        <v>5.0993638055302534E-2</v>
      </c>
      <c r="BC19">
        <f t="shared" si="16"/>
        <v>1.2580474717644088</v>
      </c>
      <c r="BD19">
        <f t="shared" si="41"/>
        <v>0.56776395447874917</v>
      </c>
      <c r="BE19">
        <f t="shared" si="17"/>
        <v>0.60914967949859089</v>
      </c>
      <c r="BF19" s="25"/>
      <c r="BG19">
        <f t="shared" si="48"/>
        <v>5.9571196638781636</v>
      </c>
      <c r="BJ19" s="25"/>
      <c r="BK19">
        <v>0.50683787451717299</v>
      </c>
      <c r="BL19">
        <f t="shared" si="18"/>
        <v>0.37543546260531335</v>
      </c>
      <c r="BM19" s="25"/>
      <c r="BN19">
        <f t="shared" si="19"/>
        <v>833.06666666666672</v>
      </c>
      <c r="BO19" s="25"/>
      <c r="BP19" s="28"/>
      <c r="BQ19">
        <f t="shared" si="20"/>
        <v>9.2936330978615173E-2</v>
      </c>
      <c r="BR19">
        <f t="shared" si="21"/>
        <v>4.1942692923312638E-2</v>
      </c>
      <c r="BS19">
        <f t="shared" si="22"/>
        <v>-3.05730707668736E-3</v>
      </c>
      <c r="BT19" s="28"/>
      <c r="BU19">
        <f t="shared" si="42"/>
        <v>0.13469033475161618</v>
      </c>
      <c r="BV19">
        <f t="shared" si="23"/>
        <v>0.13469033475161618</v>
      </c>
      <c r="BW19">
        <f t="shared" si="24"/>
        <v>9.2936330978615159E-2</v>
      </c>
      <c r="BX19" s="28"/>
      <c r="BY19">
        <f t="shared" si="25"/>
        <v>9.2936330978615173E-2</v>
      </c>
      <c r="BZ19">
        <f t="shared" si="26"/>
        <v>4.1942692923312638E-2</v>
      </c>
      <c r="CA19">
        <f t="shared" si="27"/>
        <v>4.4999999999999998E-2</v>
      </c>
      <c r="CB19" s="28"/>
      <c r="CC19">
        <f t="shared" si="28"/>
        <v>1.2580474717644088</v>
      </c>
      <c r="CD19">
        <f t="shared" si="29"/>
        <v>0.56776395447874917</v>
      </c>
      <c r="CE19">
        <f t="shared" si="30"/>
        <v>0.60914967949859089</v>
      </c>
      <c r="CF19" s="28"/>
      <c r="CG19" s="25"/>
      <c r="CH19">
        <f t="shared" si="31"/>
        <v>0.10152494658309848</v>
      </c>
      <c r="CI19" s="25"/>
      <c r="CJ19">
        <f t="shared" si="32"/>
        <v>8.6728636748288818E-2</v>
      </c>
      <c r="CK19">
        <f t="shared" si="33"/>
        <v>5.2420664848869335E-2</v>
      </c>
      <c r="CL19">
        <f t="shared" si="34"/>
        <v>4.3874999999999997E-2</v>
      </c>
      <c r="CM19">
        <f t="shared" si="43"/>
        <v>-9.5670281005805144E-3</v>
      </c>
      <c r="CN19">
        <f t="shared" si="44"/>
        <v>13.137045313210397</v>
      </c>
      <c r="CO19">
        <f t="shared" si="45"/>
        <v>13.534324507162653</v>
      </c>
      <c r="CP19" s="25"/>
      <c r="CQ19">
        <f t="shared" si="46"/>
        <v>0.10152494658309848</v>
      </c>
      <c r="CR19" s="25"/>
    </row>
    <row r="20" spans="1:96">
      <c r="A20" s="17"/>
      <c r="B20" s="17"/>
      <c r="C20" s="17"/>
      <c r="D20" s="17"/>
      <c r="E20" s="17"/>
      <c r="F20" s="17"/>
      <c r="G20" s="17"/>
      <c r="H20" s="17"/>
      <c r="I20" s="16"/>
      <c r="J20" s="15" t="s">
        <v>16</v>
      </c>
      <c r="K20" s="6">
        <f t="shared" si="47"/>
        <v>225</v>
      </c>
      <c r="L20" s="16"/>
      <c r="O20" s="16"/>
      <c r="P20">
        <v>0.26700000000000002</v>
      </c>
      <c r="Q20">
        <v>0.16200000000000001</v>
      </c>
      <c r="R20">
        <f t="shared" si="0"/>
        <v>31.986318211679535</v>
      </c>
      <c r="S20">
        <v>10</v>
      </c>
      <c r="T20">
        <v>16.3</v>
      </c>
      <c r="U20">
        <v>5.7</v>
      </c>
      <c r="V20">
        <v>0.63</v>
      </c>
      <c r="W20">
        <f t="shared" si="35"/>
        <v>1</v>
      </c>
      <c r="X20" s="16"/>
      <c r="Y20" s="1">
        <f t="shared" si="1"/>
        <v>0.63</v>
      </c>
      <c r="Z20" s="1">
        <f t="shared" si="2"/>
        <v>31.986318211679535</v>
      </c>
      <c r="AA20" s="1">
        <f t="shared" si="3"/>
        <v>1</v>
      </c>
      <c r="AB20">
        <f t="shared" si="4"/>
        <v>5.7</v>
      </c>
      <c r="AC20" s="16"/>
      <c r="AD20" s="26"/>
      <c r="AE20">
        <v>8.1000000000000003E-2</v>
      </c>
      <c r="AF20">
        <v>5.3999999999999999E-2</v>
      </c>
      <c r="AG20">
        <v>4.2999999999999997E-2</v>
      </c>
      <c r="AH20">
        <v>-1.6E-2</v>
      </c>
      <c r="AI20" s="3">
        <v>11.5</v>
      </c>
      <c r="AJ20" s="26"/>
      <c r="AK20">
        <f t="shared" si="5"/>
        <v>8.0698565646654452E-2</v>
      </c>
      <c r="AL20">
        <f t="shared" si="6"/>
        <v>5.3887626143036951E-2</v>
      </c>
      <c r="AM20">
        <f t="shared" si="7"/>
        <v>4.2749999999999996E-2</v>
      </c>
      <c r="AN20">
        <f t="shared" si="8"/>
        <v>-1.5939060496382496E-2</v>
      </c>
      <c r="AO20">
        <f t="shared" si="9"/>
        <v>-0.1698793282308787</v>
      </c>
      <c r="AP20" s="3">
        <f t="shared" si="36"/>
        <v>10.658051537569246</v>
      </c>
      <c r="AQ20">
        <f t="shared" si="37"/>
        <v>13.318609895857216</v>
      </c>
      <c r="AR20" s="26"/>
      <c r="AS20" s="25"/>
      <c r="AT20">
        <f t="shared" si="10"/>
        <v>0.12809296134389597</v>
      </c>
      <c r="AU20">
        <f t="shared" si="11"/>
        <v>8.0698565646654466E-2</v>
      </c>
      <c r="AV20">
        <f t="shared" si="12"/>
        <v>0.12809296134389597</v>
      </c>
      <c r="AW20">
        <f t="shared" si="38"/>
        <v>4.7394395697241506E-2</v>
      </c>
      <c r="AX20">
        <f t="shared" si="39"/>
        <v>0</v>
      </c>
      <c r="AY20">
        <f t="shared" si="13"/>
        <v>2.6810939503617501E-2</v>
      </c>
      <c r="AZ20">
        <f t="shared" si="14"/>
        <v>-1.5939060496382496E-2</v>
      </c>
      <c r="BA20">
        <f t="shared" si="40"/>
        <v>4.2749999999999996E-2</v>
      </c>
      <c r="BB20">
        <f t="shared" si="15"/>
        <v>5.3887626143036951E-2</v>
      </c>
      <c r="BC20">
        <f t="shared" si="16"/>
        <v>0.86008947166995819</v>
      </c>
      <c r="BD20">
        <f t="shared" si="41"/>
        <v>0.28575237500020656</v>
      </c>
      <c r="BE20">
        <f t="shared" si="17"/>
        <v>0.45563170323108526</v>
      </c>
      <c r="BF20" s="25"/>
      <c r="BG20">
        <v>0</v>
      </c>
      <c r="BJ20" s="25"/>
      <c r="BK20">
        <v>0.71040818457041444</v>
      </c>
      <c r="BL20">
        <f t="shared" si="18"/>
        <v>0.52622828486697359</v>
      </c>
      <c r="BM20" s="25"/>
      <c r="BN20">
        <f t="shared" si="19"/>
        <v>783.2</v>
      </c>
      <c r="BO20" s="25"/>
      <c r="BP20" s="28"/>
      <c r="BQ20">
        <f t="shared" si="20"/>
        <v>8.0698565646654452E-2</v>
      </c>
      <c r="BR20">
        <f t="shared" si="21"/>
        <v>2.6810939503617501E-2</v>
      </c>
      <c r="BS20">
        <f t="shared" si="22"/>
        <v>-1.5939060496382496E-2</v>
      </c>
      <c r="BT20" s="28"/>
      <c r="BU20">
        <f t="shared" si="42"/>
        <v>0.12809296134389597</v>
      </c>
      <c r="BV20">
        <f t="shared" si="23"/>
        <v>0.12809296134389597</v>
      </c>
      <c r="BW20">
        <f t="shared" si="24"/>
        <v>8.0698565646654466E-2</v>
      </c>
      <c r="BX20" s="28"/>
      <c r="BY20">
        <f t="shared" si="25"/>
        <v>8.0698565646654452E-2</v>
      </c>
      <c r="BZ20">
        <f t="shared" si="26"/>
        <v>2.6810939503617501E-2</v>
      </c>
      <c r="CA20">
        <f t="shared" si="27"/>
        <v>4.2749999999999996E-2</v>
      </c>
      <c r="CB20" s="28"/>
      <c r="CC20">
        <f t="shared" si="28"/>
        <v>0.86008947166995819</v>
      </c>
      <c r="CD20">
        <f t="shared" si="29"/>
        <v>0.28575237500020656</v>
      </c>
      <c r="CE20">
        <f t="shared" si="30"/>
        <v>0.45563170323108526</v>
      </c>
      <c r="CF20" s="28"/>
      <c r="CG20" s="25"/>
      <c r="CH20">
        <f t="shared" si="31"/>
        <v>7.9935386531769348E-2</v>
      </c>
      <c r="CI20" s="25"/>
      <c r="CJ20">
        <f t="shared" si="32"/>
        <v>7.6739973804050718E-2</v>
      </c>
      <c r="CK20">
        <f t="shared" si="33"/>
        <v>5.4448259345747839E-2</v>
      </c>
      <c r="CL20">
        <f t="shared" si="34"/>
        <v>4.0500000000000001E-2</v>
      </c>
      <c r="CM20">
        <f t="shared" si="43"/>
        <v>-1.8208285541697122E-2</v>
      </c>
      <c r="CN20">
        <f t="shared" si="44"/>
        <v>11.380833906379143</v>
      </c>
      <c r="CO20">
        <f t="shared" si="45"/>
        <v>12.31165655338909</v>
      </c>
      <c r="CP20" s="25"/>
      <c r="CQ20">
        <f t="shared" si="46"/>
        <v>7.9935386531769348E-2</v>
      </c>
      <c r="CR20" s="25"/>
    </row>
    <row r="21" spans="1:96">
      <c r="A21" s="17"/>
      <c r="B21" s="17"/>
      <c r="C21" s="1"/>
      <c r="D21" s="11" t="s">
        <v>98</v>
      </c>
      <c r="E21" s="12"/>
      <c r="F21" s="1"/>
      <c r="G21" s="17"/>
      <c r="H21" s="17"/>
      <c r="I21" s="16"/>
      <c r="J21" s="15" t="s">
        <v>17</v>
      </c>
      <c r="K21" s="6">
        <f t="shared" si="47"/>
        <v>240</v>
      </c>
      <c r="L21" s="16"/>
      <c r="O21" s="16"/>
      <c r="P21">
        <v>0.25</v>
      </c>
      <c r="Q21">
        <v>0.159</v>
      </c>
      <c r="R21">
        <f t="shared" si="0"/>
        <v>32.176074275182906</v>
      </c>
      <c r="S21">
        <v>11</v>
      </c>
      <c r="T21">
        <v>16.600000000000001</v>
      </c>
      <c r="U21">
        <v>5.0999999999999996</v>
      </c>
      <c r="V21">
        <v>0.6</v>
      </c>
      <c r="W21">
        <f t="shared" si="35"/>
        <v>1</v>
      </c>
      <c r="X21" s="16"/>
      <c r="Y21" s="1">
        <f t="shared" si="1"/>
        <v>0.6</v>
      </c>
      <c r="Z21" s="1">
        <f t="shared" si="2"/>
        <v>32.176074275182906</v>
      </c>
      <c r="AA21" s="1">
        <f t="shared" si="3"/>
        <v>1</v>
      </c>
      <c r="AB21">
        <f t="shared" si="4"/>
        <v>5.0999999999999996</v>
      </c>
      <c r="AC21" s="16"/>
      <c r="AD21" s="26"/>
      <c r="AE21">
        <v>7.2999999999999995E-2</v>
      </c>
      <c r="AF21">
        <v>5.6000000000000001E-2</v>
      </c>
      <c r="AG21">
        <v>3.7999999999999999E-2</v>
      </c>
      <c r="AH21">
        <v>-2.1000000000000001E-2</v>
      </c>
      <c r="AI21" s="3">
        <v>8.4</v>
      </c>
      <c r="AJ21" s="26"/>
      <c r="AK21">
        <f t="shared" si="5"/>
        <v>7.2859715656787741E-2</v>
      </c>
      <c r="AL21">
        <f t="shared" si="6"/>
        <v>5.5014725234187843E-2</v>
      </c>
      <c r="AM21">
        <f t="shared" si="7"/>
        <v>3.8249999999999999E-2</v>
      </c>
      <c r="AN21">
        <f t="shared" si="8"/>
        <v>-2.0405009577400102E-2</v>
      </c>
      <c r="AO21">
        <f t="shared" si="9"/>
        <v>-0.16013559322505605</v>
      </c>
      <c r="AP21" s="3">
        <f t="shared" si="36"/>
        <v>7.847856802891032</v>
      </c>
      <c r="AQ21">
        <f t="shared" si="37"/>
        <v>10.486370748491785</v>
      </c>
      <c r="AR21" s="26"/>
      <c r="AS21" s="25"/>
      <c r="AT21">
        <f t="shared" si="10"/>
        <v>0.12143285942797957</v>
      </c>
      <c r="AU21">
        <f t="shared" si="11"/>
        <v>7.2859715656787741E-2</v>
      </c>
      <c r="AV21">
        <f t="shared" si="12"/>
        <v>0.12143285942797957</v>
      </c>
      <c r="AW21">
        <f t="shared" si="38"/>
        <v>4.8573143771191832E-2</v>
      </c>
      <c r="AX21">
        <f t="shared" si="39"/>
        <v>0</v>
      </c>
      <c r="AY21">
        <f t="shared" si="13"/>
        <v>1.7844990422599898E-2</v>
      </c>
      <c r="AZ21">
        <f t="shared" si="14"/>
        <v>-2.0405009577400102E-2</v>
      </c>
      <c r="BA21">
        <f t="shared" si="40"/>
        <v>3.8249999999999999E-2</v>
      </c>
      <c r="BB21">
        <f t="shared" si="15"/>
        <v>5.5014725234187843E-2</v>
      </c>
      <c r="BC21">
        <f t="shared" si="16"/>
        <v>0.57179261517382796</v>
      </c>
      <c r="BD21">
        <f t="shared" si="41"/>
        <v>0.14004492948552591</v>
      </c>
      <c r="BE21">
        <f t="shared" si="17"/>
        <v>0.30018052271058199</v>
      </c>
      <c r="BF21" s="25"/>
      <c r="BG21">
        <v>0</v>
      </c>
      <c r="BJ21" s="25"/>
      <c r="BK21">
        <v>0.45254390153323787</v>
      </c>
      <c r="BL21">
        <f t="shared" si="18"/>
        <v>0.33521770483943547</v>
      </c>
      <c r="BM21" s="25"/>
      <c r="BN21">
        <f t="shared" si="19"/>
        <v>733.33333333333337</v>
      </c>
      <c r="BO21" s="25"/>
      <c r="BP21" s="28"/>
      <c r="BQ21">
        <f t="shared" si="20"/>
        <v>7.2859715656787741E-2</v>
      </c>
      <c r="BR21">
        <f t="shared" si="21"/>
        <v>1.7844990422599898E-2</v>
      </c>
      <c r="BS21">
        <f t="shared" si="22"/>
        <v>-2.0405009577400102E-2</v>
      </c>
      <c r="BT21" s="28"/>
      <c r="BU21">
        <f t="shared" si="42"/>
        <v>0.12143285942797957</v>
      </c>
      <c r="BV21">
        <f t="shared" si="23"/>
        <v>0.12143285942797957</v>
      </c>
      <c r="BW21">
        <f t="shared" si="24"/>
        <v>7.2859715656787741E-2</v>
      </c>
      <c r="BX21" s="28"/>
      <c r="BY21">
        <f t="shared" si="25"/>
        <v>7.2859715656787741E-2</v>
      </c>
      <c r="BZ21">
        <f t="shared" si="26"/>
        <v>1.7844990422599898E-2</v>
      </c>
      <c r="CA21">
        <f t="shared" si="27"/>
        <v>3.8249999999999999E-2</v>
      </c>
      <c r="CB21" s="28"/>
      <c r="CC21">
        <f t="shared" si="28"/>
        <v>0.57179261517382796</v>
      </c>
      <c r="CD21">
        <f t="shared" si="29"/>
        <v>0.14004492948552591</v>
      </c>
      <c r="CE21">
        <f t="shared" si="30"/>
        <v>0.30018052271058199</v>
      </c>
      <c r="CF21" s="28"/>
      <c r="CG21" s="25"/>
      <c r="CH21">
        <f t="shared" si="31"/>
        <v>5.8858926021682745E-2</v>
      </c>
      <c r="CI21" s="25"/>
      <c r="CJ21">
        <f t="shared" si="32"/>
        <v>6.9905975371360049E-2</v>
      </c>
      <c r="CK21">
        <f t="shared" si="33"/>
        <v>5.46364302486562E-2</v>
      </c>
      <c r="CL21">
        <f t="shared" si="34"/>
        <v>3.5999999999999997E-2</v>
      </c>
      <c r="CM21">
        <f t="shared" si="43"/>
        <v>-2.0730454877296148E-2</v>
      </c>
      <c r="CN21">
        <f t="shared" si="44"/>
        <v>8.6607941458912432</v>
      </c>
      <c r="CO21">
        <f t="shared" si="45"/>
        <v>9.5299684359489234</v>
      </c>
      <c r="CP21" s="25"/>
      <c r="CQ21">
        <f t="shared" si="46"/>
        <v>5.8858926021682745E-2</v>
      </c>
      <c r="CR21" s="25"/>
    </row>
    <row r="22" spans="1:96">
      <c r="A22" s="17"/>
      <c r="B22" s="17"/>
      <c r="C22" s="1"/>
      <c r="F22" s="1"/>
      <c r="G22" s="17"/>
      <c r="H22" s="17"/>
      <c r="I22" s="16"/>
      <c r="J22" s="15" t="s">
        <v>18</v>
      </c>
      <c r="K22" s="6">
        <f t="shared" si="47"/>
        <v>255</v>
      </c>
      <c r="L22" s="16"/>
      <c r="O22" s="16"/>
      <c r="P22">
        <v>0.23</v>
      </c>
      <c r="Q22">
        <v>0.154</v>
      </c>
      <c r="R22">
        <f t="shared" si="0"/>
        <v>32.679312992305398</v>
      </c>
      <c r="S22">
        <v>13</v>
      </c>
      <c r="T22">
        <v>16.399999999999999</v>
      </c>
      <c r="U22">
        <v>4.5</v>
      </c>
      <c r="V22">
        <v>0.59</v>
      </c>
      <c r="W22">
        <f t="shared" si="35"/>
        <v>1</v>
      </c>
      <c r="X22" s="16"/>
      <c r="Y22" s="1">
        <f t="shared" si="1"/>
        <v>0.59</v>
      </c>
      <c r="Z22" s="1">
        <f t="shared" si="2"/>
        <v>32.679312992305398</v>
      </c>
      <c r="AA22" s="1">
        <f t="shared" si="3"/>
        <v>1</v>
      </c>
      <c r="AB22">
        <f t="shared" si="4"/>
        <v>4.5</v>
      </c>
      <c r="AC22" s="16"/>
      <c r="AD22" s="26"/>
      <c r="AE22">
        <v>6.7000000000000004E-2</v>
      </c>
      <c r="AF22">
        <v>5.3999999999999999E-2</v>
      </c>
      <c r="AG22">
        <v>3.4000000000000002E-2</v>
      </c>
      <c r="AH22">
        <v>-2.1000000000000001E-2</v>
      </c>
      <c r="AI22" s="3">
        <v>6.1</v>
      </c>
      <c r="AJ22" s="26"/>
      <c r="AK22">
        <f t="shared" si="5"/>
        <v>6.6970661082150273E-2</v>
      </c>
      <c r="AL22">
        <f t="shared" si="6"/>
        <v>5.4260736513889116E-2</v>
      </c>
      <c r="AM22">
        <f t="shared" si="7"/>
        <v>3.3750000000000002E-2</v>
      </c>
      <c r="AN22">
        <f t="shared" si="8"/>
        <v>-2.1040075431738844E-2</v>
      </c>
      <c r="AO22">
        <f t="shared" si="9"/>
        <v>-0.12042995737395616</v>
      </c>
      <c r="AP22" s="3">
        <f t="shared" si="36"/>
        <v>5.7238367687735661</v>
      </c>
      <c r="AQ22">
        <f t="shared" si="37"/>
        <v>7.721442866559614</v>
      </c>
      <c r="AR22" s="26"/>
      <c r="AS22" s="25"/>
      <c r="AT22">
        <f t="shared" si="10"/>
        <v>0.11350959505449201</v>
      </c>
      <c r="AU22">
        <f t="shared" si="11"/>
        <v>6.6970661082150287E-2</v>
      </c>
      <c r="AV22">
        <f t="shared" si="12"/>
        <v>0.11350959505449201</v>
      </c>
      <c r="AW22">
        <f t="shared" si="38"/>
        <v>4.6538933972341726E-2</v>
      </c>
      <c r="AX22">
        <f t="shared" si="39"/>
        <v>0</v>
      </c>
      <c r="AY22">
        <f t="shared" si="13"/>
        <v>1.2709924568261158E-2</v>
      </c>
      <c r="AZ22">
        <f t="shared" si="14"/>
        <v>-2.1040075431738844E-2</v>
      </c>
      <c r="BA22">
        <f t="shared" si="40"/>
        <v>3.3750000000000002E-2</v>
      </c>
      <c r="BB22">
        <f t="shared" si="15"/>
        <v>5.4260736513889116E-2</v>
      </c>
      <c r="BC22">
        <f t="shared" si="16"/>
        <v>0.38332913233108462</v>
      </c>
      <c r="BD22">
        <f t="shared" si="41"/>
        <v>7.2749533572151706E-2</v>
      </c>
      <c r="BE22">
        <f t="shared" si="17"/>
        <v>0.19317949094610787</v>
      </c>
      <c r="BF22" s="25"/>
      <c r="BG22">
        <v>0</v>
      </c>
      <c r="BJ22" s="25"/>
      <c r="BK22">
        <v>0.10239269987797772</v>
      </c>
      <c r="BL22">
        <f t="shared" si="18"/>
        <v>7.5846444354057629E-2</v>
      </c>
      <c r="BM22" s="25"/>
      <c r="BN22">
        <f t="shared" si="19"/>
        <v>674.66666666666686</v>
      </c>
      <c r="BO22" s="25"/>
      <c r="BP22" s="28"/>
      <c r="BQ22">
        <f t="shared" si="20"/>
        <v>6.6970661082150273E-2</v>
      </c>
      <c r="BR22">
        <f t="shared" si="21"/>
        <v>1.2709924568261158E-2</v>
      </c>
      <c r="BS22">
        <f t="shared" si="22"/>
        <v>-2.1040075431738844E-2</v>
      </c>
      <c r="BT22" s="28"/>
      <c r="BU22">
        <f t="shared" si="42"/>
        <v>0.11350959505449201</v>
      </c>
      <c r="BV22">
        <f t="shared" si="23"/>
        <v>0.11350959505449201</v>
      </c>
      <c r="BW22">
        <f t="shared" si="24"/>
        <v>6.6970661082150287E-2</v>
      </c>
      <c r="BX22" s="28"/>
      <c r="BY22">
        <f t="shared" si="25"/>
        <v>6.6970661082150273E-2</v>
      </c>
      <c r="BZ22">
        <f t="shared" si="26"/>
        <v>1.2709924568261158E-2</v>
      </c>
      <c r="CA22">
        <f t="shared" si="27"/>
        <v>3.3750000000000002E-2</v>
      </c>
      <c r="CB22" s="28"/>
      <c r="CC22">
        <f t="shared" si="28"/>
        <v>0.38332913233108462</v>
      </c>
      <c r="CD22">
        <f t="shared" si="29"/>
        <v>7.2749533572151706E-2</v>
      </c>
      <c r="CE22">
        <f t="shared" si="30"/>
        <v>0.19317949094610787</v>
      </c>
      <c r="CF22" s="28"/>
      <c r="CG22" s="25"/>
      <c r="CH22">
        <f t="shared" si="31"/>
        <v>4.2928775765801751E-2</v>
      </c>
      <c r="CI22" s="25"/>
      <c r="CJ22">
        <f t="shared" si="32"/>
        <v>6.6053731128245585E-2</v>
      </c>
      <c r="CK22">
        <f t="shared" si="33"/>
        <v>5.2601828470153003E-2</v>
      </c>
      <c r="CL22">
        <f t="shared" si="34"/>
        <v>3.15E-2</v>
      </c>
      <c r="CM22">
        <f t="shared" si="43"/>
        <v>-1.8048097341907418E-2</v>
      </c>
      <c r="CN22">
        <f t="shared" si="44"/>
        <v>6.3461580478812918</v>
      </c>
      <c r="CO22">
        <f t="shared" si="45"/>
        <v>7.0001069126744655</v>
      </c>
      <c r="CP22" s="25"/>
      <c r="CQ22">
        <f t="shared" si="46"/>
        <v>4.2928775765801751E-2</v>
      </c>
      <c r="CR22" s="25"/>
    </row>
    <row r="23" spans="1:96">
      <c r="A23" s="17"/>
      <c r="B23" s="17"/>
      <c r="C23" s="22" t="b">
        <f>(F$27=1)*(F$30=1)*(F$33=1)*(F$35=1)*(D$12=2.5)*(D$13=0.0075)*(D$14=0.0175)*(D$15=0.69)*(D$16=3.377)*(D$17=0.0015)=1</f>
        <v>1</v>
      </c>
      <c r="D23" s="23" t="b">
        <f>(F$27=1)*(F$30=1)*(F$33=1)*(F$35=1)*(D$12=2.5)*(D$13=0.0075)*(D$14=0.0175)*(D$15=0.69)*(D$16=3.377)*(D$17=0.0015)=1</f>
        <v>1</v>
      </c>
      <c r="E23" s="23" t="b">
        <f>(F$27=1)*(F$30=1)*(F$33=1)*(F$35=1)*(D$12=2.5)*(D$13=0.0075)*(D$14=0.0175)*(D$15=0.69)*(D$16=3.377)*(D$17=0.0015)=1</f>
        <v>1</v>
      </c>
      <c r="F23" s="22" t="b">
        <f>(F$27=1)*(F$30=1)*(F$33=1)*(F$35=1)*(D$12=2.5)*(D$13=0.0075)*(D$14=0.0175)*(D$15=0.69)*(D$16=3.377)*(D$17=0.0015)=1</f>
        <v>1</v>
      </c>
      <c r="G23" s="17"/>
      <c r="H23" s="17"/>
      <c r="I23" s="16"/>
      <c r="J23" s="15" t="s">
        <v>19</v>
      </c>
      <c r="K23" s="6">
        <f t="shared" si="47"/>
        <v>270</v>
      </c>
      <c r="L23" s="16"/>
      <c r="O23" s="16"/>
      <c r="P23">
        <v>0.20399999999999999</v>
      </c>
      <c r="Q23">
        <v>0.14499999999999999</v>
      </c>
      <c r="R23">
        <f t="shared" si="0"/>
        <v>33.880378522317606</v>
      </c>
      <c r="S23">
        <v>16</v>
      </c>
      <c r="T23">
        <v>15.5</v>
      </c>
      <c r="U23">
        <v>3.9</v>
      </c>
      <c r="V23">
        <v>0.63</v>
      </c>
      <c r="W23">
        <f t="shared" si="35"/>
        <v>1</v>
      </c>
      <c r="X23" s="16"/>
      <c r="Y23" s="1">
        <f t="shared" si="1"/>
        <v>0.63</v>
      </c>
      <c r="Z23" s="1">
        <f t="shared" si="2"/>
        <v>33.880378522317606</v>
      </c>
      <c r="AA23" s="1">
        <f t="shared" si="3"/>
        <v>1</v>
      </c>
      <c r="AB23">
        <f t="shared" si="4"/>
        <v>3.9</v>
      </c>
      <c r="AC23" s="16"/>
      <c r="AD23" s="26"/>
      <c r="AE23">
        <v>6.5000000000000002E-2</v>
      </c>
      <c r="AF23">
        <v>5.0999999999999997E-2</v>
      </c>
      <c r="AG23">
        <v>2.9000000000000001E-2</v>
      </c>
      <c r="AH23">
        <v>-1.4999999999999999E-2</v>
      </c>
      <c r="AI23" s="3">
        <v>4.9000000000000004</v>
      </c>
      <c r="AJ23" s="26"/>
      <c r="AK23">
        <f t="shared" si="5"/>
        <v>6.4921617214764776E-2</v>
      </c>
      <c r="AL23">
        <f t="shared" si="6"/>
        <v>5.0993638055302534E-2</v>
      </c>
      <c r="AM23">
        <f t="shared" si="7"/>
        <v>2.9249999999999998E-2</v>
      </c>
      <c r="AN23">
        <f t="shared" si="8"/>
        <v>-1.5322020840537756E-2</v>
      </c>
      <c r="AO23">
        <f t="shared" si="9"/>
        <v>-6.9693014890007718E-2</v>
      </c>
      <c r="AP23" s="3">
        <f t="shared" si="36"/>
        <v>4.5485524145496274</v>
      </c>
      <c r="AQ23">
        <f t="shared" si="37"/>
        <v>5.631636725496449</v>
      </c>
      <c r="AR23" s="26"/>
      <c r="AS23" s="25"/>
      <c r="AT23">
        <f t="shared" si="10"/>
        <v>0.10305018605518218</v>
      </c>
      <c r="AU23">
        <f t="shared" si="11"/>
        <v>6.4921617214764776E-2</v>
      </c>
      <c r="AV23">
        <f t="shared" si="12"/>
        <v>0.10305018605518218</v>
      </c>
      <c r="AW23">
        <f t="shared" si="38"/>
        <v>3.8128568840417404E-2</v>
      </c>
      <c r="AX23">
        <f t="shared" si="39"/>
        <v>0</v>
      </c>
      <c r="AY23">
        <f t="shared" si="13"/>
        <v>1.3927979159462242E-2</v>
      </c>
      <c r="AZ23">
        <f t="shared" si="14"/>
        <v>-1.5322020840537756E-2</v>
      </c>
      <c r="BA23">
        <f t="shared" si="40"/>
        <v>2.9249999999999998E-2</v>
      </c>
      <c r="BB23">
        <f t="shared" si="15"/>
        <v>5.0993638055302534E-2</v>
      </c>
      <c r="BC23">
        <f t="shared" si="16"/>
        <v>0.295299378738685</v>
      </c>
      <c r="BD23">
        <f t="shared" si="41"/>
        <v>6.335214323556887E-2</v>
      </c>
      <c r="BE23">
        <f t="shared" si="17"/>
        <v>0.1330451581255766</v>
      </c>
      <c r="BF23" s="25"/>
      <c r="BG23">
        <v>0</v>
      </c>
      <c r="BJ23" s="25"/>
      <c r="BK23">
        <v>0.36341450474826248</v>
      </c>
      <c r="BL23">
        <f t="shared" si="18"/>
        <v>0.26919592944315729</v>
      </c>
      <c r="BM23" s="25"/>
      <c r="BN23">
        <f t="shared" si="19"/>
        <v>598.4</v>
      </c>
      <c r="BO23" s="25"/>
      <c r="BP23" s="28"/>
      <c r="BQ23">
        <f t="shared" si="20"/>
        <v>6.4921617214764776E-2</v>
      </c>
      <c r="BR23">
        <f t="shared" si="21"/>
        <v>1.3927979159462242E-2</v>
      </c>
      <c r="BS23">
        <f t="shared" si="22"/>
        <v>-1.5322020840537756E-2</v>
      </c>
      <c r="BT23" s="28"/>
      <c r="BU23">
        <f t="shared" si="42"/>
        <v>0.10305018605518218</v>
      </c>
      <c r="BV23">
        <f t="shared" si="23"/>
        <v>0.10305018605518218</v>
      </c>
      <c r="BW23">
        <f t="shared" si="24"/>
        <v>6.4921617214764776E-2</v>
      </c>
      <c r="BX23" s="28"/>
      <c r="BY23">
        <f t="shared" si="25"/>
        <v>6.4921617214764776E-2</v>
      </c>
      <c r="BZ23">
        <f t="shared" si="26"/>
        <v>1.3927979159462242E-2</v>
      </c>
      <c r="CA23">
        <f t="shared" si="27"/>
        <v>2.9249999999999998E-2</v>
      </c>
      <c r="CB23" s="28"/>
      <c r="CC23">
        <f t="shared" si="28"/>
        <v>0.295299378738685</v>
      </c>
      <c r="CD23">
        <f t="shared" si="29"/>
        <v>6.335214323556887E-2</v>
      </c>
      <c r="CE23">
        <f t="shared" si="30"/>
        <v>0.1330451581255766</v>
      </c>
      <c r="CF23" s="28"/>
      <c r="CG23" s="25"/>
      <c r="CH23">
        <f t="shared" si="31"/>
        <v>3.4114143109122204E-2</v>
      </c>
      <c r="CI23" s="25"/>
      <c r="CJ23">
        <f t="shared" si="32"/>
        <v>6.3997186578441195E-2</v>
      </c>
      <c r="CK23">
        <f t="shared" si="33"/>
        <v>4.8757102587275863E-2</v>
      </c>
      <c r="CL23">
        <f t="shared" si="34"/>
        <v>2.6999999999999996E-2</v>
      </c>
      <c r="CM23">
        <f t="shared" si="43"/>
        <v>-1.1759916008834664E-2</v>
      </c>
      <c r="CN23">
        <f t="shared" si="44"/>
        <v>4.8410330490538795</v>
      </c>
      <c r="CO23">
        <f t="shared" si="45"/>
        <v>5.2213924874877824</v>
      </c>
      <c r="CP23" s="25"/>
      <c r="CQ23">
        <f t="shared" si="46"/>
        <v>3.4114143109122204E-2</v>
      </c>
      <c r="CR23" s="25"/>
    </row>
    <row r="24" spans="1:96">
      <c r="A24" s="17"/>
      <c r="B24" s="17"/>
      <c r="C24" s="17"/>
      <c r="D24" s="17"/>
      <c r="E24" s="17"/>
      <c r="F24" s="17"/>
      <c r="G24" s="17"/>
      <c r="H24" s="17"/>
      <c r="I24" s="16"/>
      <c r="J24" s="15" t="s">
        <v>20</v>
      </c>
      <c r="K24" s="6">
        <f t="shared" si="47"/>
        <v>285</v>
      </c>
      <c r="L24" s="16"/>
      <c r="O24" s="16"/>
      <c r="P24">
        <v>0.17399999999999999</v>
      </c>
      <c r="Q24">
        <v>0.13800000000000001</v>
      </c>
      <c r="R24">
        <f t="shared" si="0"/>
        <v>34.446305732654814</v>
      </c>
      <c r="S24">
        <v>20</v>
      </c>
      <c r="T24">
        <v>14.2</v>
      </c>
      <c r="U24">
        <v>3.3</v>
      </c>
      <c r="V24">
        <v>0.69</v>
      </c>
      <c r="W24">
        <f t="shared" si="35"/>
        <v>1</v>
      </c>
      <c r="X24" s="16"/>
      <c r="Y24" s="1">
        <f t="shared" si="1"/>
        <v>0.69</v>
      </c>
      <c r="Z24" s="1">
        <f t="shared" si="2"/>
        <v>34.446305732654814</v>
      </c>
      <c r="AA24" s="1">
        <f t="shared" si="3"/>
        <v>1</v>
      </c>
      <c r="AB24">
        <f t="shared" si="4"/>
        <v>3.3</v>
      </c>
      <c r="AC24" s="16"/>
      <c r="AD24" s="26"/>
      <c r="AE24">
        <v>6.3E-2</v>
      </c>
      <c r="AF24">
        <v>4.4999999999999998E-2</v>
      </c>
      <c r="AG24">
        <v>2.5000000000000001E-2</v>
      </c>
      <c r="AH24">
        <v>-7.0000000000000001E-3</v>
      </c>
      <c r="AI24" s="3">
        <v>4.4000000000000004</v>
      </c>
      <c r="AJ24" s="26"/>
      <c r="AK24">
        <f t="shared" si="5"/>
        <v>6.2597423849602901E-2</v>
      </c>
      <c r="AL24">
        <f t="shared" si="6"/>
        <v>4.6618659569415556E-2</v>
      </c>
      <c r="AM24">
        <f t="shared" si="7"/>
        <v>2.4749999999999998E-2</v>
      </c>
      <c r="AN24">
        <f t="shared" si="8"/>
        <v>-8.7712357198126527E-3</v>
      </c>
      <c r="AO24">
        <f t="shared" si="9"/>
        <v>-3.4977961628633349E-2</v>
      </c>
      <c r="AP24" s="3">
        <f t="shared" si="36"/>
        <v>3.9878031723197669</v>
      </c>
      <c r="AQ24">
        <f t="shared" si="37"/>
        <v>4.4752839503338713</v>
      </c>
      <c r="AR24" s="26"/>
      <c r="AS24" s="25"/>
      <c r="AT24">
        <f t="shared" si="10"/>
        <v>9.0720904129859281E-2</v>
      </c>
      <c r="AU24">
        <f t="shared" si="11"/>
        <v>6.2597423849602901E-2</v>
      </c>
      <c r="AV24">
        <f t="shared" si="12"/>
        <v>9.0720904129859281E-2</v>
      </c>
      <c r="AW24">
        <f t="shared" si="38"/>
        <v>2.812348028025638E-2</v>
      </c>
      <c r="AX24">
        <f t="shared" si="39"/>
        <v>0</v>
      </c>
      <c r="AY24">
        <f t="shared" si="13"/>
        <v>1.5978764280187345E-2</v>
      </c>
      <c r="AZ24">
        <f t="shared" si="14"/>
        <v>-8.7712357198126527E-3</v>
      </c>
      <c r="BA24">
        <f t="shared" si="40"/>
        <v>2.4749999999999998E-2</v>
      </c>
      <c r="BB24">
        <f t="shared" si="15"/>
        <v>4.6618659569415556E-2</v>
      </c>
      <c r="BC24">
        <f t="shared" si="16"/>
        <v>0.2496262054064915</v>
      </c>
      <c r="BD24">
        <f t="shared" si="41"/>
        <v>6.3720166886280877E-2</v>
      </c>
      <c r="BE24">
        <f t="shared" si="17"/>
        <v>9.8698128514914218E-2</v>
      </c>
      <c r="BF24" s="25"/>
      <c r="BG24">
        <v>0</v>
      </c>
      <c r="BJ24" s="25"/>
      <c r="BK24">
        <v>0.77722956124993359</v>
      </c>
      <c r="BL24">
        <f t="shared" si="18"/>
        <v>0.57572560092587666</v>
      </c>
      <c r="BM24" s="25"/>
      <c r="BN24">
        <f t="shared" si="19"/>
        <v>510.40000000000003</v>
      </c>
      <c r="BO24" s="25"/>
      <c r="BP24" s="28"/>
      <c r="BQ24">
        <f t="shared" si="20"/>
        <v>6.2597423849602901E-2</v>
      </c>
      <c r="BR24">
        <f t="shared" si="21"/>
        <v>1.5978764280187345E-2</v>
      </c>
      <c r="BS24">
        <f t="shared" si="22"/>
        <v>-8.7712357198126527E-3</v>
      </c>
      <c r="BT24" s="28"/>
      <c r="BU24">
        <f t="shared" si="42"/>
        <v>9.0720904129859281E-2</v>
      </c>
      <c r="BV24">
        <f t="shared" si="23"/>
        <v>9.0720904129859281E-2</v>
      </c>
      <c r="BW24">
        <f t="shared" si="24"/>
        <v>6.2597423849602901E-2</v>
      </c>
      <c r="BX24" s="28"/>
      <c r="BY24">
        <f t="shared" si="25"/>
        <v>6.2597423849602901E-2</v>
      </c>
      <c r="BZ24">
        <f t="shared" si="26"/>
        <v>1.5978764280187345E-2</v>
      </c>
      <c r="CA24">
        <f t="shared" si="27"/>
        <v>2.4749999999999998E-2</v>
      </c>
      <c r="CB24" s="28"/>
      <c r="CC24">
        <f t="shared" si="28"/>
        <v>0.2496262054064915</v>
      </c>
      <c r="CD24">
        <f t="shared" si="29"/>
        <v>6.3720166886280877E-2</v>
      </c>
      <c r="CE24">
        <f t="shared" si="30"/>
        <v>9.8698128514914218E-2</v>
      </c>
      <c r="CF24" s="28"/>
      <c r="CG24" s="25"/>
      <c r="CH24">
        <f t="shared" si="31"/>
        <v>2.9908523792398251E-2</v>
      </c>
      <c r="CI24" s="25"/>
      <c r="CJ24">
        <f t="shared" si="32"/>
        <v>6.1684114544105564E-2</v>
      </c>
      <c r="CK24">
        <f t="shared" si="33"/>
        <v>4.3811698945472981E-2</v>
      </c>
      <c r="CL24">
        <f t="shared" si="34"/>
        <v>2.4375000000000001E-2</v>
      </c>
      <c r="CM24">
        <f t="shared" si="43"/>
        <v>-6.5025844013674172E-3</v>
      </c>
      <c r="CN24">
        <f t="shared" si="44"/>
        <v>4.0581588993946403</v>
      </c>
      <c r="CO24">
        <f t="shared" si="45"/>
        <v>4.2616209815474422</v>
      </c>
      <c r="CP24" s="25"/>
      <c r="CQ24">
        <f t="shared" si="46"/>
        <v>2.9908523792398251E-2</v>
      </c>
      <c r="CR24" s="25"/>
    </row>
    <row r="25" spans="1:96">
      <c r="A25" s="17"/>
      <c r="D25" s="11" t="s">
        <v>107</v>
      </c>
      <c r="H25" s="17"/>
      <c r="I25" s="16"/>
      <c r="J25" s="15" t="s">
        <v>21</v>
      </c>
      <c r="K25" s="6">
        <f t="shared" si="47"/>
        <v>300</v>
      </c>
      <c r="L25" s="16"/>
      <c r="O25" s="16"/>
      <c r="P25">
        <v>0.14399999999999999</v>
      </c>
      <c r="Q25">
        <v>0.13100000000000001</v>
      </c>
      <c r="R25">
        <f t="shared" si="0"/>
        <v>34.842352606624701</v>
      </c>
      <c r="S25">
        <v>27</v>
      </c>
      <c r="T25">
        <v>12.4</v>
      </c>
      <c r="U25">
        <v>3.2</v>
      </c>
      <c r="V25">
        <v>0.77</v>
      </c>
      <c r="W25">
        <f t="shared" si="35"/>
        <v>1</v>
      </c>
      <c r="X25" s="16"/>
      <c r="Y25" s="1">
        <f t="shared" si="1"/>
        <v>0.77</v>
      </c>
      <c r="Z25" s="1">
        <f t="shared" si="2"/>
        <v>34.842352606624701</v>
      </c>
      <c r="AA25" s="1">
        <f t="shared" si="3"/>
        <v>1</v>
      </c>
      <c r="AB25">
        <f t="shared" si="4"/>
        <v>3.2</v>
      </c>
      <c r="AC25" s="16"/>
      <c r="AD25" s="26"/>
      <c r="AE25">
        <v>0.06</v>
      </c>
      <c r="AF25">
        <v>0.04</v>
      </c>
      <c r="AG25">
        <v>2.4E-2</v>
      </c>
      <c r="AH25">
        <v>-4.0000000000000001E-3</v>
      </c>
      <c r="AI25" s="3">
        <v>4.2</v>
      </c>
      <c r="AJ25" s="26"/>
      <c r="AK25">
        <f t="shared" si="5"/>
        <v>6.0098942607571891E-2</v>
      </c>
      <c r="AL25">
        <f t="shared" si="6"/>
        <v>4.117374849936771E-2</v>
      </c>
      <c r="AM25">
        <f t="shared" si="7"/>
        <v>2.4E-2</v>
      </c>
      <c r="AN25">
        <f t="shared" si="8"/>
        <v>-5.0748058917958194E-3</v>
      </c>
      <c r="AO25">
        <f t="shared" si="9"/>
        <v>-1.8753992888420504E-2</v>
      </c>
      <c r="AP25" s="3">
        <f t="shared" si="36"/>
        <v>3.6955094023870214</v>
      </c>
      <c r="AQ25">
        <f t="shared" si="37"/>
        <v>3.9235673039815278</v>
      </c>
      <c r="AR25" s="26"/>
      <c r="AS25" s="25"/>
      <c r="AT25">
        <f t="shared" si="10"/>
        <v>7.8050574815028431E-2</v>
      </c>
      <c r="AU25">
        <f t="shared" si="11"/>
        <v>6.0098942607571891E-2</v>
      </c>
      <c r="AV25">
        <f t="shared" si="12"/>
        <v>7.8050574815028431E-2</v>
      </c>
      <c r="AW25">
        <f t="shared" si="38"/>
        <v>1.795163220745654E-2</v>
      </c>
      <c r="AX25">
        <f t="shared" si="39"/>
        <v>0</v>
      </c>
      <c r="AY25">
        <f t="shared" si="13"/>
        <v>1.8925194108204181E-2</v>
      </c>
      <c r="AZ25">
        <f t="shared" si="14"/>
        <v>-5.0748058917958194E-3</v>
      </c>
      <c r="BA25">
        <f t="shared" si="40"/>
        <v>2.4E-2</v>
      </c>
      <c r="BB25">
        <f t="shared" si="15"/>
        <v>4.117374849936771E-2</v>
      </c>
      <c r="BC25">
        <f t="shared" si="16"/>
        <v>0.22209620747979988</v>
      </c>
      <c r="BD25">
        <f t="shared" si="41"/>
        <v>6.9938232768868014E-2</v>
      </c>
      <c r="BE25">
        <f t="shared" si="17"/>
        <v>8.8692225657288515E-2</v>
      </c>
      <c r="BF25" s="25"/>
      <c r="BG25">
        <v>0</v>
      </c>
      <c r="BJ25" s="25"/>
      <c r="BK25">
        <v>1.4106849169717226</v>
      </c>
      <c r="BL25">
        <f t="shared" si="18"/>
        <v>1</v>
      </c>
      <c r="BM25" s="25"/>
      <c r="BN25">
        <f t="shared" si="19"/>
        <v>422.40000000000003</v>
      </c>
      <c r="BO25" s="25"/>
      <c r="BP25" s="28"/>
      <c r="BQ25">
        <f t="shared" si="20"/>
        <v>6.0098942607571891E-2</v>
      </c>
      <c r="BR25">
        <f t="shared" si="21"/>
        <v>1.8925194108204181E-2</v>
      </c>
      <c r="BS25">
        <f t="shared" si="22"/>
        <v>-5.0748058917958194E-3</v>
      </c>
      <c r="BT25" s="28"/>
      <c r="BU25">
        <f t="shared" si="42"/>
        <v>7.8050574815028431E-2</v>
      </c>
      <c r="BV25">
        <f t="shared" si="23"/>
        <v>7.8050574815028431E-2</v>
      </c>
      <c r="BW25">
        <f t="shared" si="24"/>
        <v>6.0098942607571891E-2</v>
      </c>
      <c r="BX25" s="28"/>
      <c r="BY25">
        <f t="shared" si="25"/>
        <v>6.0098942607571891E-2</v>
      </c>
      <c r="BZ25">
        <f t="shared" si="26"/>
        <v>1.8925194108204181E-2</v>
      </c>
      <c r="CA25">
        <f t="shared" si="27"/>
        <v>2.4E-2</v>
      </c>
      <c r="CB25" s="28"/>
      <c r="CC25">
        <f t="shared" si="28"/>
        <v>0.22209620747979988</v>
      </c>
      <c r="CD25">
        <f t="shared" si="29"/>
        <v>6.9938232768868014E-2</v>
      </c>
      <c r="CE25">
        <f t="shared" si="30"/>
        <v>8.8692225657288515E-2</v>
      </c>
      <c r="CF25" s="28"/>
      <c r="CG25" s="25"/>
      <c r="CH25">
        <f t="shared" si="31"/>
        <v>2.7716320517902661E-2</v>
      </c>
      <c r="CI25" s="25"/>
      <c r="CJ25">
        <f t="shared" si="32"/>
        <v>5.6210071992089793E-2</v>
      </c>
      <c r="CK25">
        <f t="shared" si="33"/>
        <v>3.8561365479551968E-2</v>
      </c>
      <c r="CL25">
        <f t="shared" si="34"/>
        <v>2.1750000000000002E-2</v>
      </c>
      <c r="CM25">
        <f t="shared" si="43"/>
        <v>-4.1012934874621772E-3</v>
      </c>
      <c r="CN25">
        <f t="shared" si="44"/>
        <v>3.6810227386774392</v>
      </c>
      <c r="CO25">
        <f t="shared" si="45"/>
        <v>3.8003605700890182</v>
      </c>
      <c r="CP25" s="25"/>
      <c r="CQ25">
        <f t="shared" si="46"/>
        <v>2.7716320517902661E-2</v>
      </c>
      <c r="CR25" s="25"/>
    </row>
    <row r="26" spans="1:96">
      <c r="A26" s="17"/>
      <c r="H26" s="17"/>
      <c r="I26" s="16"/>
      <c r="J26" s="15" t="s">
        <v>22</v>
      </c>
      <c r="K26" s="6">
        <f t="shared" si="47"/>
        <v>315</v>
      </c>
      <c r="L26" s="16"/>
      <c r="O26" s="16"/>
      <c r="P26">
        <v>0.115</v>
      </c>
      <c r="Q26">
        <v>0.126</v>
      </c>
      <c r="R26">
        <f t="shared" si="0"/>
        <v>34.440214446468936</v>
      </c>
      <c r="S26">
        <v>37</v>
      </c>
      <c r="T26">
        <v>10.5</v>
      </c>
      <c r="U26">
        <v>2.6</v>
      </c>
      <c r="V26">
        <v>0.85</v>
      </c>
      <c r="W26">
        <f t="shared" si="35"/>
        <v>0.9308166066613226</v>
      </c>
      <c r="X26" s="16"/>
      <c r="Y26" s="1">
        <f t="shared" si="1"/>
        <v>0.85</v>
      </c>
      <c r="Z26" s="1">
        <f t="shared" si="2"/>
        <v>34.440214446468936</v>
      </c>
      <c r="AA26" s="1">
        <f t="shared" si="3"/>
        <v>0.9308166066613226</v>
      </c>
      <c r="AB26">
        <f t="shared" si="4"/>
        <v>2.6</v>
      </c>
      <c r="AC26" s="16"/>
      <c r="AD26" s="26"/>
      <c r="AE26">
        <v>5.2999999999999999E-2</v>
      </c>
      <c r="AF26">
        <v>3.6999999999999998E-2</v>
      </c>
      <c r="AG26">
        <v>0.02</v>
      </c>
      <c r="AH26">
        <v>-4.0000000000000001E-3</v>
      </c>
      <c r="AI26" s="3">
        <v>3.9</v>
      </c>
      <c r="AJ26" s="26"/>
      <c r="AK26">
        <f t="shared" si="5"/>
        <v>5.1734770484770487E-2</v>
      </c>
      <c r="AL26">
        <f t="shared" si="6"/>
        <v>3.6114732368135422E-2</v>
      </c>
      <c r="AM26">
        <f t="shared" si="7"/>
        <v>1.95E-2</v>
      </c>
      <c r="AN26">
        <f t="shared" si="8"/>
        <v>-3.8799618833649345E-3</v>
      </c>
      <c r="AO26">
        <f t="shared" si="9"/>
        <v>-1.3527765932246591E-2</v>
      </c>
      <c r="AP26" s="3">
        <f t="shared" si="36"/>
        <v>3.4865718630499805</v>
      </c>
      <c r="AQ26">
        <f t="shared" si="37"/>
        <v>3.6359818266374972</v>
      </c>
      <c r="AR26" s="26"/>
      <c r="AS26" s="25"/>
      <c r="AT26">
        <f t="shared" si="10"/>
        <v>6.5388214422544541E-2</v>
      </c>
      <c r="AU26">
        <f t="shared" si="11"/>
        <v>5.5579982259162858E-2</v>
      </c>
      <c r="AV26">
        <f t="shared" si="12"/>
        <v>6.0864435864435865E-2</v>
      </c>
      <c r="AW26">
        <f t="shared" si="38"/>
        <v>9.8082321633816832E-3</v>
      </c>
      <c r="AX26">
        <f t="shared" si="39"/>
        <v>4.5237785581086765E-3</v>
      </c>
      <c r="AY26">
        <f t="shared" si="13"/>
        <v>1.5620038116635065E-2</v>
      </c>
      <c r="AZ26">
        <f t="shared" si="14"/>
        <v>-3.8799618833649345E-3</v>
      </c>
      <c r="BA26">
        <f t="shared" si="40"/>
        <v>1.95E-2</v>
      </c>
      <c r="BB26">
        <f t="shared" si="15"/>
        <v>3.6114732368135422E-2</v>
      </c>
      <c r="BC26">
        <f t="shared" si="16"/>
        <v>0.18037699511354938</v>
      </c>
      <c r="BD26">
        <f t="shared" si="41"/>
        <v>5.4460385397228028E-2</v>
      </c>
      <c r="BE26">
        <f t="shared" si="17"/>
        <v>6.7988151329474625E-2</v>
      </c>
      <c r="BF26" s="25"/>
      <c r="BG26">
        <v>0</v>
      </c>
      <c r="BJ26" s="25"/>
      <c r="BK26">
        <v>2.1109873202822431</v>
      </c>
      <c r="BL26">
        <f t="shared" si="18"/>
        <v>1</v>
      </c>
      <c r="BM26" s="25"/>
      <c r="BN26">
        <f t="shared" si="19"/>
        <v>337.33333333333343</v>
      </c>
      <c r="BO26" s="25"/>
      <c r="BP26" s="28"/>
      <c r="BQ26">
        <f t="shared" si="20"/>
        <v>5.1734770484770487E-2</v>
      </c>
      <c r="BR26">
        <f t="shared" si="21"/>
        <v>1.5620038116635065E-2</v>
      </c>
      <c r="BS26">
        <f t="shared" si="22"/>
        <v>-3.8799618833649345E-3</v>
      </c>
      <c r="BT26" s="28"/>
      <c r="BU26">
        <f t="shared" si="42"/>
        <v>6.5388214422544541E-2</v>
      </c>
      <c r="BV26">
        <f t="shared" si="23"/>
        <v>6.0864435864435865E-2</v>
      </c>
      <c r="BW26">
        <f t="shared" si="24"/>
        <v>5.1734770484770487E-2</v>
      </c>
      <c r="BX26" s="28"/>
      <c r="BY26">
        <f t="shared" si="25"/>
        <v>5.1734770484770487E-2</v>
      </c>
      <c r="BZ26">
        <f t="shared" si="26"/>
        <v>1.5620038116635065E-2</v>
      </c>
      <c r="CA26">
        <f t="shared" si="27"/>
        <v>1.95E-2</v>
      </c>
      <c r="CB26" s="28"/>
      <c r="CC26">
        <f t="shared" si="28"/>
        <v>0.18037699511354938</v>
      </c>
      <c r="CD26">
        <f t="shared" si="29"/>
        <v>5.4460385397228028E-2</v>
      </c>
      <c r="CE26">
        <f t="shared" si="30"/>
        <v>6.7988151329474625E-2</v>
      </c>
      <c r="CF26" s="28"/>
      <c r="CG26" s="25"/>
      <c r="CH26">
        <f t="shared" si="31"/>
        <v>2.6149288972874853E-2</v>
      </c>
      <c r="CI26" s="25"/>
      <c r="CJ26">
        <f t="shared" si="32"/>
        <v>4.5450556958983444E-2</v>
      </c>
      <c r="CK26">
        <f t="shared" si="33"/>
        <v>3.3706843263064612E-2</v>
      </c>
      <c r="CL26">
        <f t="shared" si="34"/>
        <v>1.7249999999999998E-2</v>
      </c>
      <c r="CM26">
        <f t="shared" si="43"/>
        <v>-5.5062863040811656E-3</v>
      </c>
      <c r="CN26">
        <f t="shared" si="44"/>
        <v>3.4613934159628466</v>
      </c>
      <c r="CO26">
        <f t="shared" si="45"/>
        <v>3.5476137832751165</v>
      </c>
      <c r="CP26" s="25"/>
      <c r="CQ26">
        <f t="shared" si="46"/>
        <v>2.6149288972874853E-2</v>
      </c>
      <c r="CR26" s="25"/>
    </row>
    <row r="27" spans="1:96">
      <c r="A27" s="17"/>
      <c r="B27" t="s">
        <v>58</v>
      </c>
      <c r="E27" s="5" t="s">
        <v>110</v>
      </c>
      <c r="F27" s="2">
        <v>1</v>
      </c>
      <c r="H27" s="17"/>
      <c r="I27" s="16"/>
      <c r="J27" s="15" t="s">
        <v>23</v>
      </c>
      <c r="K27" s="6">
        <f t="shared" si="47"/>
        <v>330</v>
      </c>
      <c r="L27" s="16"/>
      <c r="O27" s="16"/>
      <c r="P27">
        <v>9.4E-2</v>
      </c>
      <c r="Q27">
        <v>0.121</v>
      </c>
      <c r="R27">
        <f t="shared" si="0"/>
        <v>34.196939455882969</v>
      </c>
      <c r="S27">
        <v>45</v>
      </c>
      <c r="T27">
        <v>8.5</v>
      </c>
      <c r="U27">
        <v>2</v>
      </c>
      <c r="V27">
        <v>0.92</v>
      </c>
      <c r="W27">
        <f t="shared" si="35"/>
        <v>0.75993198790851046</v>
      </c>
      <c r="X27" s="16"/>
      <c r="Y27" s="1">
        <f t="shared" si="1"/>
        <v>0.92</v>
      </c>
      <c r="Z27" s="1">
        <f t="shared" si="2"/>
        <v>34.196939455882969</v>
      </c>
      <c r="AA27" s="1">
        <f t="shared" si="3"/>
        <v>0.75993198790851046</v>
      </c>
      <c r="AB27">
        <f t="shared" si="4"/>
        <v>2</v>
      </c>
      <c r="AC27" s="16"/>
      <c r="AD27" s="26"/>
      <c r="AE27">
        <v>3.9E-2</v>
      </c>
      <c r="AF27">
        <v>3.1E-2</v>
      </c>
      <c r="AG27">
        <v>1.4999999999999999E-2</v>
      </c>
      <c r="AH27">
        <v>-7.0000000000000001E-3</v>
      </c>
      <c r="AI27" s="3">
        <v>3.5</v>
      </c>
      <c r="AJ27" s="26"/>
      <c r="AK27">
        <f t="shared" si="5"/>
        <v>3.9072543617998168E-2</v>
      </c>
      <c r="AL27">
        <f t="shared" si="6"/>
        <v>3.1459496118632399E-2</v>
      </c>
      <c r="AM27">
        <f t="shared" si="7"/>
        <v>1.4999999999999999E-2</v>
      </c>
      <c r="AN27">
        <f t="shared" si="8"/>
        <v>-7.3869525006342307E-3</v>
      </c>
      <c r="AO27">
        <f t="shared" si="9"/>
        <v>-2.3053784906661882E-2</v>
      </c>
      <c r="AP27" s="3">
        <f t="shared" si="36"/>
        <v>3.1208789964037975</v>
      </c>
      <c r="AQ27">
        <f t="shared" si="37"/>
        <v>3.4304098707276749</v>
      </c>
      <c r="AR27" s="26"/>
      <c r="AS27" s="25"/>
      <c r="AT27">
        <f t="shared" si="10"/>
        <v>5.5886785636444086E-2</v>
      </c>
      <c r="AU27">
        <f t="shared" si="11"/>
        <v>5.1415842785528562E-2</v>
      </c>
      <c r="AV27">
        <f t="shared" si="12"/>
        <v>4.2470156106519746E-2</v>
      </c>
      <c r="AW27">
        <f t="shared" si="38"/>
        <v>4.4709428509155241E-3</v>
      </c>
      <c r="AX27">
        <f t="shared" si="39"/>
        <v>1.341662952992434E-2</v>
      </c>
      <c r="AY27">
        <f t="shared" si="13"/>
        <v>7.6130474993657687E-3</v>
      </c>
      <c r="AZ27">
        <f t="shared" si="14"/>
        <v>-7.3869525006342307E-3</v>
      </c>
      <c r="BA27">
        <f t="shared" si="40"/>
        <v>1.4999999999999999E-2</v>
      </c>
      <c r="BB27">
        <f t="shared" si="15"/>
        <v>3.1459496118632399E-2</v>
      </c>
      <c r="BC27">
        <f t="shared" si="16"/>
        <v>0.12194068071348173</v>
      </c>
      <c r="BD27">
        <f t="shared" si="41"/>
        <v>2.3759400039395081E-2</v>
      </c>
      <c r="BE27">
        <f t="shared" si="17"/>
        <v>4.6813184946056963E-2</v>
      </c>
      <c r="BF27" s="25"/>
      <c r="BG27">
        <v>0</v>
      </c>
      <c r="BJ27" s="25"/>
      <c r="BK27">
        <v>2.998037031142236</v>
      </c>
      <c r="BL27">
        <f t="shared" si="18"/>
        <v>1</v>
      </c>
      <c r="BM27" s="25"/>
      <c r="BN27">
        <f t="shared" si="19"/>
        <v>275.73333333333335</v>
      </c>
      <c r="BO27" s="25"/>
      <c r="BP27" s="28"/>
      <c r="BQ27">
        <f t="shared" si="20"/>
        <v>3.9072543617998168E-2</v>
      </c>
      <c r="BR27">
        <f t="shared" si="21"/>
        <v>7.6130474993657687E-3</v>
      </c>
      <c r="BS27">
        <f t="shared" si="22"/>
        <v>-7.3869525006342307E-3</v>
      </c>
      <c r="BT27" s="28"/>
      <c r="BU27">
        <f t="shared" si="42"/>
        <v>5.5886785636444086E-2</v>
      </c>
      <c r="BV27">
        <f t="shared" si="23"/>
        <v>4.2470156106519746E-2</v>
      </c>
      <c r="BW27">
        <f t="shared" si="24"/>
        <v>3.9072543617998168E-2</v>
      </c>
      <c r="BX27" s="28"/>
      <c r="BY27">
        <f t="shared" si="25"/>
        <v>3.9072543617998168E-2</v>
      </c>
      <c r="BZ27">
        <f t="shared" si="26"/>
        <v>7.6130474993657687E-3</v>
      </c>
      <c r="CA27">
        <f t="shared" si="27"/>
        <v>1.4999999999999999E-2</v>
      </c>
      <c r="CB27" s="28"/>
      <c r="CC27">
        <f t="shared" si="28"/>
        <v>0.12194068071348173</v>
      </c>
      <c r="CD27">
        <f t="shared" si="29"/>
        <v>2.3759400039395081E-2</v>
      </c>
      <c r="CE27">
        <f t="shared" si="30"/>
        <v>4.6813184946056963E-2</v>
      </c>
      <c r="CF27" s="28"/>
      <c r="CG27" s="25"/>
      <c r="CH27">
        <f t="shared" si="31"/>
        <v>2.3406592473028481E-2</v>
      </c>
      <c r="CI27" s="25"/>
      <c r="CJ27">
        <f t="shared" si="32"/>
        <v>3.6499070265784736E-2</v>
      </c>
      <c r="CK27">
        <f t="shared" si="33"/>
        <v>2.9565285352606663E-2</v>
      </c>
      <c r="CL27">
        <f t="shared" si="34"/>
        <v>1.35E-2</v>
      </c>
      <c r="CM27">
        <f t="shared" si="43"/>
        <v>-6.5662150868219266E-3</v>
      </c>
      <c r="CN27">
        <f t="shared" si="44"/>
        <v>3.1869901183370621</v>
      </c>
      <c r="CO27">
        <f t="shared" si="45"/>
        <v>3.3064606998806152</v>
      </c>
      <c r="CP27" s="25"/>
      <c r="CQ27">
        <f t="shared" si="46"/>
        <v>2.3406592473028481E-2</v>
      </c>
      <c r="CR27" s="25"/>
    </row>
    <row r="28" spans="1:96">
      <c r="A28" s="17"/>
      <c r="B28" t="s">
        <v>59</v>
      </c>
      <c r="F28" s="2">
        <v>2.5</v>
      </c>
      <c r="H28" s="17"/>
      <c r="I28" s="16"/>
      <c r="J28" s="15" t="s">
        <v>24</v>
      </c>
      <c r="K28" s="6">
        <f t="shared" si="47"/>
        <v>345</v>
      </c>
      <c r="L28" s="16"/>
      <c r="O28" s="16"/>
      <c r="P28">
        <v>8.5999999999999993E-2</v>
      </c>
      <c r="Q28">
        <v>0.121</v>
      </c>
      <c r="R28">
        <f t="shared" si="0"/>
        <v>33.461836265663997</v>
      </c>
      <c r="S28">
        <v>50</v>
      </c>
      <c r="T28">
        <v>6.7</v>
      </c>
      <c r="U28">
        <v>1.6</v>
      </c>
      <c r="V28">
        <v>0.97</v>
      </c>
      <c r="W28">
        <f t="shared" si="35"/>
        <v>0.66923672531327993</v>
      </c>
      <c r="X28" s="16"/>
      <c r="Y28" s="1">
        <f t="shared" si="1"/>
        <v>0.97</v>
      </c>
      <c r="Z28" s="1">
        <f t="shared" si="2"/>
        <v>33.461836265663997</v>
      </c>
      <c r="AA28" s="1">
        <f t="shared" si="3"/>
        <v>0.66923672531327993</v>
      </c>
      <c r="AB28">
        <f t="shared" si="4"/>
        <v>1.6</v>
      </c>
      <c r="AC28" s="16"/>
      <c r="AD28" s="26"/>
      <c r="AE28">
        <v>3.3000000000000002E-2</v>
      </c>
      <c r="AF28">
        <v>2.8000000000000001E-2</v>
      </c>
      <c r="AG28">
        <v>1.2E-2</v>
      </c>
      <c r="AH28">
        <v>-7.0000000000000001E-3</v>
      </c>
      <c r="AI28" s="3">
        <v>3.2</v>
      </c>
      <c r="AJ28" s="26"/>
      <c r="AK28">
        <f t="shared" si="5"/>
        <v>3.3869834710743799E-2</v>
      </c>
      <c r="AL28">
        <f t="shared" si="6"/>
        <v>2.7785127094370542E-2</v>
      </c>
      <c r="AM28">
        <f t="shared" si="7"/>
        <v>1.2E-2</v>
      </c>
      <c r="AN28">
        <f t="shared" si="8"/>
        <v>-5.915292383626744E-3</v>
      </c>
      <c r="AO28">
        <f t="shared" si="9"/>
        <v>-1.6893454396534436E-2</v>
      </c>
      <c r="AP28" s="3">
        <f t="shared" si="36"/>
        <v>2.8558950768511018</v>
      </c>
      <c r="AQ28">
        <f t="shared" si="37"/>
        <v>3.0706076154830702</v>
      </c>
      <c r="AR28" s="26"/>
      <c r="AS28" s="25"/>
      <c r="AT28">
        <f t="shared" si="10"/>
        <v>5.2174894250693542E-2</v>
      </c>
      <c r="AU28">
        <f t="shared" si="11"/>
        <v>5.0609647423172734E-2</v>
      </c>
      <c r="AV28">
        <f t="shared" si="12"/>
        <v>3.491735537190082E-2</v>
      </c>
      <c r="AW28">
        <f t="shared" si="38"/>
        <v>1.5652468275208081E-3</v>
      </c>
      <c r="AX28">
        <f t="shared" si="39"/>
        <v>1.7257538878792722E-2</v>
      </c>
      <c r="AY28">
        <f t="shared" si="13"/>
        <v>6.0847076163732562E-3</v>
      </c>
      <c r="AZ28">
        <f t="shared" si="14"/>
        <v>-5.915292383626744E-3</v>
      </c>
      <c r="BA28">
        <f t="shared" si="40"/>
        <v>1.2E-2</v>
      </c>
      <c r="BB28">
        <f t="shared" si="15"/>
        <v>2.7785127094370542E-2</v>
      </c>
      <c r="BC28">
        <f t="shared" si="16"/>
        <v>9.6728694204173779E-2</v>
      </c>
      <c r="BD28">
        <f t="shared" si="41"/>
        <v>1.7377286525678784E-2</v>
      </c>
      <c r="BE28">
        <f t="shared" si="17"/>
        <v>3.4270740922213223E-2</v>
      </c>
      <c r="BF28" s="25"/>
      <c r="BG28">
        <v>0</v>
      </c>
      <c r="BJ28" s="25"/>
      <c r="BK28">
        <v>3.9529948538384003</v>
      </c>
      <c r="BL28">
        <f t="shared" si="18"/>
        <v>1</v>
      </c>
      <c r="BM28" s="25"/>
      <c r="BN28">
        <f t="shared" si="19"/>
        <v>252.26666666666668</v>
      </c>
      <c r="BO28" s="25"/>
      <c r="BP28" s="28"/>
      <c r="BQ28">
        <f t="shared" si="20"/>
        <v>3.3869834710743799E-2</v>
      </c>
      <c r="BR28">
        <f t="shared" si="21"/>
        <v>6.0847076163732562E-3</v>
      </c>
      <c r="BS28">
        <f t="shared" si="22"/>
        <v>-5.915292383626744E-3</v>
      </c>
      <c r="BT28" s="28"/>
      <c r="BU28">
        <f t="shared" si="42"/>
        <v>5.2174894250693542E-2</v>
      </c>
      <c r="BV28">
        <f t="shared" si="23"/>
        <v>3.491735537190082E-2</v>
      </c>
      <c r="BW28">
        <f t="shared" si="24"/>
        <v>3.3869834710743792E-2</v>
      </c>
      <c r="BX28" s="28"/>
      <c r="BY28">
        <f t="shared" si="25"/>
        <v>3.3869834710743799E-2</v>
      </c>
      <c r="BZ28">
        <f t="shared" si="26"/>
        <v>6.0847076163732562E-3</v>
      </c>
      <c r="CA28">
        <f t="shared" si="27"/>
        <v>1.2E-2</v>
      </c>
      <c r="CB28" s="28"/>
      <c r="CC28">
        <f t="shared" si="28"/>
        <v>9.6728694204173779E-2</v>
      </c>
      <c r="CD28">
        <f t="shared" si="29"/>
        <v>1.7377286525678784E-2</v>
      </c>
      <c r="CE28">
        <f t="shared" si="30"/>
        <v>3.4270740922213223E-2</v>
      </c>
      <c r="CF28" s="28"/>
      <c r="CG28" s="25"/>
      <c r="CH28">
        <f t="shared" si="31"/>
        <v>2.1419213076383264E-2</v>
      </c>
      <c r="CI28" s="25"/>
      <c r="CJ28">
        <f t="shared" si="32"/>
        <v>1.0971951462839174E-2</v>
      </c>
      <c r="CK28">
        <f t="shared" si="33"/>
        <v>2.2050844068912296E-2</v>
      </c>
      <c r="CL28">
        <f t="shared" si="34"/>
        <v>6.0000000000000001E-3</v>
      </c>
      <c r="CM28">
        <f t="shared" si="43"/>
        <v>-1.7078892606073121E-2</v>
      </c>
      <c r="CN28">
        <f t="shared" si="44"/>
        <v>2.8880562803951353</v>
      </c>
      <c r="CO28">
        <f t="shared" si="45"/>
        <v>2.9779334459529148</v>
      </c>
      <c r="CP28" s="25"/>
      <c r="CQ28">
        <f t="shared" si="46"/>
        <v>2.1419213076383264E-2</v>
      </c>
      <c r="CR28" s="25"/>
    </row>
    <row r="29" spans="1:96">
      <c r="A29" s="17"/>
      <c r="H29" s="17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</row>
    <row r="30" spans="1:96">
      <c r="A30" s="17"/>
      <c r="B30" t="s">
        <v>69</v>
      </c>
      <c r="E30" s="5" t="s">
        <v>109</v>
      </c>
      <c r="F30" s="2">
        <v>1</v>
      </c>
      <c r="H30" s="17"/>
      <c r="I30" s="16"/>
      <c r="K30" s="6">
        <v>8</v>
      </c>
      <c r="L30" s="16"/>
      <c r="M30">
        <v>2.0060000000000002</v>
      </c>
      <c r="N30">
        <v>4.6100000000000003</v>
      </c>
      <c r="O30" s="16"/>
      <c r="AQ30" s="1"/>
      <c r="AR30" s="1"/>
    </row>
    <row r="31" spans="1:96">
      <c r="A31" s="17"/>
      <c r="B31" t="s">
        <v>75</v>
      </c>
      <c r="F31" s="2">
        <v>1.35</v>
      </c>
      <c r="H31" s="17"/>
      <c r="I31" s="16"/>
      <c r="K31" s="6">
        <v>89</v>
      </c>
      <c r="L31" s="16"/>
      <c r="M31">
        <v>14.076000000000001</v>
      </c>
      <c r="N31">
        <v>2.6</v>
      </c>
      <c r="O31" s="16"/>
    </row>
    <row r="32" spans="1:96">
      <c r="A32" s="17"/>
      <c r="H32" s="17"/>
      <c r="I32" s="16"/>
      <c r="K32" s="6">
        <v>111</v>
      </c>
      <c r="L32" s="16"/>
      <c r="M32">
        <v>39.151000000000003</v>
      </c>
      <c r="N32">
        <v>3.81</v>
      </c>
      <c r="O32" s="16"/>
    </row>
    <row r="33" spans="1:15">
      <c r="A33" s="17"/>
      <c r="B33" s="5" t="s">
        <v>108</v>
      </c>
      <c r="E33" t="s">
        <v>110</v>
      </c>
      <c r="F33" s="2">
        <v>1</v>
      </c>
      <c r="G33" s="1"/>
      <c r="H33" s="17"/>
      <c r="I33" s="16"/>
      <c r="K33" s="6">
        <v>132</v>
      </c>
      <c r="L33" s="16"/>
      <c r="M33">
        <v>14.807</v>
      </c>
      <c r="N33">
        <v>5.14</v>
      </c>
      <c r="O33" s="16"/>
    </row>
    <row r="34" spans="1:15">
      <c r="A34" s="17"/>
      <c r="H34" s="17"/>
      <c r="I34" s="16"/>
      <c r="K34" s="6">
        <v>173</v>
      </c>
      <c r="L34" s="16"/>
      <c r="M34">
        <v>8.1260000000000012</v>
      </c>
      <c r="N34">
        <v>9.66</v>
      </c>
      <c r="O34" s="16"/>
    </row>
    <row r="35" spans="1:15">
      <c r="A35" s="17"/>
      <c r="B35" t="s">
        <v>73</v>
      </c>
      <c r="E35" t="s">
        <v>74</v>
      </c>
      <c r="F35" s="4">
        <v>1</v>
      </c>
      <c r="H35" s="17"/>
      <c r="I35" s="16"/>
      <c r="K35" s="6">
        <v>251</v>
      </c>
      <c r="L35" s="16"/>
      <c r="M35">
        <v>9.52</v>
      </c>
      <c r="N35">
        <v>15.24</v>
      </c>
      <c r="O35" s="16"/>
    </row>
    <row r="36" spans="1:15">
      <c r="A36" s="17"/>
      <c r="B36" s="17"/>
      <c r="C36" s="17"/>
      <c r="D36" s="17"/>
      <c r="E36" s="17"/>
      <c r="F36" s="17"/>
      <c r="G36" s="17"/>
      <c r="H36" s="17"/>
      <c r="I36" s="16"/>
      <c r="J36" s="16"/>
      <c r="K36" s="16"/>
      <c r="L36" s="16"/>
      <c r="M36" s="16"/>
      <c r="N36" s="16"/>
      <c r="O36" s="16"/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NOC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NOCS</cp:lastModifiedBy>
  <dcterms:created xsi:type="dcterms:W3CDTF">2007-08-14T13:55:15Z</dcterms:created>
  <dcterms:modified xsi:type="dcterms:W3CDTF">2011-07-05T11:47:57Z</dcterms:modified>
</cp:coreProperties>
</file>